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1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</externalReferences>
  <definedNames>
    <definedName name="_xlnm._FilterDatabase" localSheetId="6" hidden="1">BCA!$A$6:$AW$6</definedName>
    <definedName name="_xlnm._FilterDatabase" localSheetId="11" hidden="1">UOB!$B$2:$B$36</definedName>
    <definedName name="_xlnm.Print_Area" localSheetId="6">BCA!$A$4:$O$24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HSBC!$A$1:$O$23</definedName>
    <definedName name="_xlnm.Print_Area" localSheetId="8">'HSBC 15 HR'!$A$4:$R$42</definedName>
    <definedName name="_xlnm.Print_Area" localSheetId="7">'HSBC ITF'!$A$1:$R$19</definedName>
    <definedName name="_xlnm.Print_Area" localSheetId="10">OCBC!$A$1:$O$28</definedName>
    <definedName name="_xlnm.Print_Area" localSheetId="5">PROJECT!$A$1:$AH$68</definedName>
    <definedName name="_xlnm.Print_Area" localSheetId="1">RECEIPT!#REF!</definedName>
    <definedName name="_xlnm.Print_Area" localSheetId="14">'REKAP DISCOST'!$A$40:$E$57</definedName>
    <definedName name="_xlnm.Print_Area" localSheetId="11">UOB!$A$4:$Q$8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R103" i="135" l="1"/>
  <c r="AB108" i="135" l="1"/>
  <c r="AB101" i="135"/>
  <c r="AB109" i="135"/>
  <c r="AB103" i="135"/>
  <c r="AB105" i="135"/>
  <c r="AB111" i="135"/>
  <c r="N88" i="169"/>
  <c r="AB120" i="135"/>
  <c r="AB110" i="135"/>
  <c r="Z166" i="135"/>
  <c r="Z167" i="135"/>
  <c r="Z149" i="135"/>
  <c r="X105" i="135"/>
  <c r="AH24" i="128"/>
  <c r="AB141" i="135"/>
  <c r="AC94" i="128"/>
  <c r="AB51" i="128"/>
  <c r="X10" i="135"/>
  <c r="X7" i="135"/>
  <c r="U7" i="135"/>
  <c r="V19" i="128"/>
  <c r="U166" i="135"/>
  <c r="U47" i="128"/>
  <c r="T110" i="135"/>
  <c r="T148" i="135"/>
  <c r="H86" i="169"/>
  <c r="T149" i="135"/>
  <c r="U155" i="135" l="1"/>
  <c r="T47" i="135"/>
  <c r="S47" i="135" l="1"/>
  <c r="S141" i="135"/>
  <c r="D36" i="168"/>
  <c r="S23" i="135"/>
  <c r="T73" i="128"/>
  <c r="T9" i="128"/>
  <c r="R48" i="135" l="1"/>
  <c r="R18" i="135"/>
  <c r="R47" i="135"/>
  <c r="R52" i="135"/>
  <c r="R46" i="135"/>
  <c r="N90" i="169"/>
  <c r="R120" i="135"/>
  <c r="S47" i="128"/>
  <c r="S11" i="128"/>
  <c r="O101" i="128"/>
  <c r="O90" i="128"/>
  <c r="O27" i="128"/>
  <c r="R111" i="135"/>
  <c r="R110" i="135"/>
  <c r="R104" i="135"/>
  <c r="R102" i="135"/>
  <c r="R100" i="135"/>
  <c r="R156" i="135"/>
  <c r="R147" i="135"/>
  <c r="R92" i="135"/>
  <c r="O31" i="128"/>
  <c r="L166" i="135"/>
  <c r="K143" i="135"/>
  <c r="K123" i="135" l="1"/>
  <c r="J112" i="135" l="1"/>
  <c r="J111" i="135"/>
  <c r="J105" i="135"/>
  <c r="J110" i="135"/>
  <c r="J104" i="135"/>
  <c r="J103" i="135"/>
  <c r="J109" i="135"/>
  <c r="J102" i="135"/>
  <c r="J101" i="135"/>
  <c r="J108" i="135"/>
  <c r="J107" i="135"/>
  <c r="J106" i="135"/>
  <c r="J100" i="135"/>
  <c r="AC38" i="161"/>
  <c r="J125" i="135"/>
  <c r="CH19" i="164" l="1"/>
  <c r="AL22" i="164"/>
  <c r="AD33" i="164"/>
  <c r="V35" i="164"/>
  <c r="V34" i="164"/>
  <c r="CH18" i="164"/>
  <c r="AD29" i="164" l="1"/>
  <c r="AD30" i="164"/>
  <c r="AD31" i="164"/>
  <c r="AD32" i="164"/>
  <c r="N37" i="164"/>
  <c r="N36" i="164"/>
  <c r="N35" i="164"/>
  <c r="F38" i="164"/>
  <c r="F37" i="164"/>
  <c r="F36" i="164"/>
  <c r="F35" i="164"/>
  <c r="F34" i="164"/>
  <c r="BR34" i="164"/>
  <c r="BZ37" i="164"/>
  <c r="BB22" i="164"/>
  <c r="BJ32" i="164"/>
  <c r="D102" i="128" l="1"/>
  <c r="D27" i="128"/>
  <c r="M161" i="135" l="1"/>
  <c r="L45" i="135"/>
  <c r="L7" i="135"/>
  <c r="L46" i="135"/>
  <c r="J161" i="135"/>
  <c r="E57" i="167" l="1"/>
  <c r="CO42" i="161" l="1"/>
  <c r="CM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W42" i="161"/>
  <c r="AU42" i="161"/>
  <c r="AS42" i="161"/>
  <c r="AQ42" i="161"/>
  <c r="AO42" i="161"/>
  <c r="AM42" i="161"/>
  <c r="AK42" i="161"/>
  <c r="AI42" i="161"/>
  <c r="AG42" i="161"/>
  <c r="AE42" i="161"/>
  <c r="AC42" i="161"/>
  <c r="AA42" i="161"/>
  <c r="Y42" i="161"/>
  <c r="U42" i="161"/>
  <c r="S42" i="161"/>
  <c r="Q42" i="161"/>
  <c r="M42" i="161"/>
  <c r="K42" i="161"/>
  <c r="I42" i="161"/>
  <c r="G42" i="161"/>
  <c r="E42" i="161"/>
  <c r="W38" i="161"/>
  <c r="W42" i="161" s="1"/>
  <c r="O38" i="161"/>
  <c r="O42" i="161" s="1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W30" i="161"/>
  <c r="U30" i="161"/>
  <c r="S30" i="161"/>
  <c r="Q30" i="161"/>
  <c r="M30" i="161"/>
  <c r="K30" i="161"/>
  <c r="I30" i="161"/>
  <c r="G30" i="161"/>
  <c r="E30" i="161"/>
  <c r="CU26" i="161"/>
  <c r="CU23" i="161"/>
  <c r="CM23" i="161"/>
  <c r="CM30" i="161" s="1"/>
  <c r="CE23" i="161"/>
  <c r="BW23" i="161"/>
  <c r="AW23" i="161"/>
  <c r="AW30" i="161" s="1"/>
  <c r="AO23" i="161"/>
  <c r="AO30" i="161" s="1"/>
  <c r="W23" i="161"/>
  <c r="O23" i="161"/>
  <c r="O30" i="161" s="1"/>
  <c r="CM14" i="161"/>
  <c r="CI14" i="161"/>
  <c r="CG14" i="161"/>
  <c r="CC14" i="161"/>
  <c r="CA14" i="161"/>
  <c r="BY14" i="161"/>
  <c r="BU14" i="161"/>
  <c r="BS14" i="161"/>
  <c r="BQ14" i="161"/>
  <c r="BO14" i="161"/>
  <c r="BI14" i="161"/>
  <c r="BG14" i="161"/>
  <c r="BA14" i="161"/>
  <c r="AY14" i="161"/>
  <c r="AW14" i="161"/>
  <c r="AS14" i="161"/>
  <c r="AQ14" i="161"/>
  <c r="AM14" i="161"/>
  <c r="AI14" i="161"/>
  <c r="AG14" i="161"/>
  <c r="AE14" i="161"/>
  <c r="AC14" i="161"/>
  <c r="AA14" i="161"/>
  <c r="Y14" i="161"/>
  <c r="W14" i="161"/>
  <c r="U14" i="161"/>
  <c r="S14" i="161"/>
  <c r="Q14" i="161"/>
  <c r="M14" i="161"/>
  <c r="K14" i="161"/>
  <c r="I14" i="161"/>
  <c r="G14" i="161"/>
  <c r="E14" i="161"/>
  <c r="BE11" i="161"/>
  <c r="BE14" i="161" s="1"/>
  <c r="BM9" i="161"/>
  <c r="AU9" i="161"/>
  <c r="AU14" i="161" s="1"/>
  <c r="AM9" i="161"/>
  <c r="AK9" i="161"/>
  <c r="CU8" i="161"/>
  <c r="CO7" i="161"/>
  <c r="CO14" i="161" s="1"/>
  <c r="CM7" i="161"/>
  <c r="CK7" i="161"/>
  <c r="CK14" i="161" s="1"/>
  <c r="BO7" i="161"/>
  <c r="BM7" i="161"/>
  <c r="BM14" i="161" s="1"/>
  <c r="AO7" i="161"/>
  <c r="AO14" i="161" s="1"/>
  <c r="AK7" i="161"/>
  <c r="AK14" i="161" s="1"/>
  <c r="W7" i="161"/>
  <c r="O7" i="161"/>
  <c r="O14" i="161" s="1"/>
  <c r="G7" i="161"/>
  <c r="BZ36" i="164"/>
  <c r="BZ35" i="164"/>
  <c r="BZ34" i="164"/>
  <c r="N34" i="164"/>
  <c r="BZ33" i="164"/>
  <c r="BR33" i="164"/>
  <c r="V33" i="164"/>
  <c r="N33" i="164"/>
  <c r="F33" i="164"/>
  <c r="BZ32" i="164"/>
  <c r="BR32" i="164"/>
  <c r="V32" i="164"/>
  <c r="N32" i="164"/>
  <c r="F32" i="164"/>
  <c r="BZ31" i="164"/>
  <c r="BR31" i="164"/>
  <c r="BJ31" i="164"/>
  <c r="V31" i="164"/>
  <c r="N31" i="164"/>
  <c r="F31" i="164"/>
  <c r="BZ30" i="164"/>
  <c r="BR30" i="164"/>
  <c r="BJ30" i="164"/>
  <c r="V30" i="164"/>
  <c r="N30" i="164"/>
  <c r="F30" i="164"/>
  <c r="BZ29" i="164"/>
  <c r="BR29" i="164"/>
  <c r="BJ29" i="164"/>
  <c r="V29" i="164"/>
  <c r="N29" i="164"/>
  <c r="F29" i="164"/>
  <c r="BZ28" i="164"/>
  <c r="BR28" i="164"/>
  <c r="BJ28" i="164"/>
  <c r="AD28" i="164"/>
  <c r="V28" i="164"/>
  <c r="N28" i="164"/>
  <c r="F28" i="164"/>
  <c r="BZ27" i="164"/>
  <c r="BR27" i="164"/>
  <c r="BJ27" i="164"/>
  <c r="AD27" i="164"/>
  <c r="V27" i="164"/>
  <c r="N27" i="164"/>
  <c r="F27" i="164"/>
  <c r="BZ26" i="164"/>
  <c r="BR26" i="164"/>
  <c r="BJ26" i="164"/>
  <c r="AD26" i="164"/>
  <c r="V26" i="164"/>
  <c r="N26" i="164"/>
  <c r="F26" i="164"/>
  <c r="BZ25" i="164"/>
  <c r="BR25" i="164"/>
  <c r="BJ25" i="164"/>
  <c r="AD25" i="164"/>
  <c r="V25" i="164"/>
  <c r="N25" i="164"/>
  <c r="F25" i="164"/>
  <c r="BZ24" i="164"/>
  <c r="BR24" i="164"/>
  <c r="BJ24" i="164"/>
  <c r="AD24" i="164"/>
  <c r="V24" i="164"/>
  <c r="N24" i="164"/>
  <c r="F24" i="164"/>
  <c r="BZ23" i="164"/>
  <c r="BR23" i="164"/>
  <c r="BJ23" i="164"/>
  <c r="AD23" i="164"/>
  <c r="V23" i="164"/>
  <c r="N23" i="164"/>
  <c r="F23" i="164"/>
  <c r="BZ22" i="164"/>
  <c r="BR22" i="164"/>
  <c r="BJ22" i="164"/>
  <c r="AD22" i="164"/>
  <c r="V22" i="164"/>
  <c r="N22" i="164"/>
  <c r="F22" i="164"/>
  <c r="BZ21" i="164"/>
  <c r="BR21" i="164"/>
  <c r="BJ21" i="164"/>
  <c r="BB21" i="164"/>
  <c r="AT21" i="164"/>
  <c r="AL21" i="164"/>
  <c r="AD21" i="164"/>
  <c r="V21" i="164"/>
  <c r="N21" i="164"/>
  <c r="F21" i="164"/>
  <c r="BZ20" i="164"/>
  <c r="BR20" i="164"/>
  <c r="BJ20" i="164"/>
  <c r="BB20" i="164"/>
  <c r="AT20" i="164"/>
  <c r="AL20" i="164"/>
  <c r="AD20" i="164"/>
  <c r="V20" i="164"/>
  <c r="N20" i="164"/>
  <c r="F20" i="164"/>
  <c r="BZ19" i="164"/>
  <c r="BR19" i="164"/>
  <c r="BJ19" i="164"/>
  <c r="BB19" i="164"/>
  <c r="AT19" i="164"/>
  <c r="AL19" i="164"/>
  <c r="AD19" i="164"/>
  <c r="V19" i="164"/>
  <c r="N19" i="164"/>
  <c r="F19" i="164"/>
  <c r="BZ18" i="164"/>
  <c r="BR18" i="164"/>
  <c r="BJ18" i="164"/>
  <c r="BB18" i="164"/>
  <c r="AT18" i="164"/>
  <c r="AL18" i="164"/>
  <c r="AD18" i="164"/>
  <c r="V18" i="164"/>
  <c r="N18" i="164"/>
  <c r="F18" i="164"/>
  <c r="CH17" i="164"/>
  <c r="BZ17" i="164"/>
  <c r="BR17" i="164"/>
  <c r="BJ17" i="164"/>
  <c r="BB17" i="164"/>
  <c r="AT17" i="164"/>
  <c r="AL17" i="164"/>
  <c r="AD17" i="164"/>
  <c r="V17" i="164"/>
  <c r="N17" i="164"/>
  <c r="F17" i="164"/>
  <c r="CH16" i="164"/>
  <c r="BZ16" i="164"/>
  <c r="BR16" i="164"/>
  <c r="BJ16" i="164"/>
  <c r="BB16" i="164"/>
  <c r="AT16" i="164"/>
  <c r="AL16" i="164"/>
  <c r="AD16" i="164"/>
  <c r="V16" i="164"/>
  <c r="N16" i="164"/>
  <c r="F16" i="164"/>
  <c r="CH15" i="164"/>
  <c r="BZ15" i="164"/>
  <c r="BR15" i="164"/>
  <c r="BJ15" i="164"/>
  <c r="BB15" i="164"/>
  <c r="AT15" i="164"/>
  <c r="AL15" i="164"/>
  <c r="AD15" i="164"/>
  <c r="V15" i="164"/>
  <c r="N15" i="164"/>
  <c r="F15" i="164"/>
  <c r="CH14" i="164"/>
  <c r="BZ14" i="164"/>
  <c r="BR14" i="164"/>
  <c r="BJ14" i="164"/>
  <c r="BB14" i="164"/>
  <c r="AT14" i="164"/>
  <c r="AL14" i="164"/>
  <c r="AD14" i="164"/>
  <c r="V14" i="164"/>
  <c r="N14" i="164"/>
  <c r="F14" i="164"/>
  <c r="CH13" i="164"/>
  <c r="BZ13" i="164"/>
  <c r="BR13" i="164"/>
  <c r="BJ13" i="164"/>
  <c r="BB13" i="164"/>
  <c r="AT13" i="164"/>
  <c r="AL13" i="164"/>
  <c r="AD13" i="164"/>
  <c r="V13" i="164"/>
  <c r="N13" i="164"/>
  <c r="F13" i="164"/>
  <c r="CH12" i="164"/>
  <c r="BZ12" i="164"/>
  <c r="BR12" i="164"/>
  <c r="BJ12" i="164"/>
  <c r="BB12" i="164"/>
  <c r="AT12" i="164"/>
  <c r="AL12" i="164"/>
  <c r="AD12" i="164"/>
  <c r="V12" i="164"/>
  <c r="N12" i="164"/>
  <c r="F12" i="164"/>
  <c r="CH11" i="164"/>
  <c r="BZ11" i="164"/>
  <c r="BR11" i="164"/>
  <c r="BJ11" i="164"/>
  <c r="BB11" i="164"/>
  <c r="AT11" i="164"/>
  <c r="AL11" i="164"/>
  <c r="AD11" i="164"/>
  <c r="V11" i="164"/>
  <c r="N11" i="164"/>
  <c r="F11" i="164"/>
  <c r="CH10" i="164"/>
  <c r="BZ10" i="164"/>
  <c r="BR10" i="164"/>
  <c r="BJ10" i="164"/>
  <c r="BB10" i="164"/>
  <c r="AT10" i="164"/>
  <c r="AL10" i="164"/>
  <c r="AD10" i="164"/>
  <c r="V10" i="164"/>
  <c r="N10" i="164"/>
  <c r="F10" i="164"/>
  <c r="CH9" i="164"/>
  <c r="BZ9" i="164"/>
  <c r="BR9" i="164"/>
  <c r="BJ9" i="164"/>
  <c r="BB9" i="164"/>
  <c r="AT9" i="164"/>
  <c r="AL9" i="164"/>
  <c r="AD9" i="164"/>
  <c r="V9" i="164"/>
  <c r="N9" i="164"/>
  <c r="F9" i="164"/>
  <c r="CH8" i="164"/>
  <c r="BZ8" i="164"/>
  <c r="BR8" i="164"/>
  <c r="BJ8" i="164"/>
  <c r="BB8" i="164"/>
  <c r="AT8" i="164"/>
  <c r="AL8" i="164"/>
  <c r="AD8" i="164"/>
  <c r="V8" i="164"/>
  <c r="N8" i="164"/>
  <c r="F8" i="164"/>
  <c r="CH7" i="164"/>
  <c r="BZ7" i="164"/>
  <c r="BR7" i="164"/>
  <c r="BB7" i="164"/>
  <c r="AT7" i="164"/>
  <c r="AL7" i="164"/>
  <c r="AD7" i="164"/>
  <c r="V7" i="164"/>
  <c r="N7" i="164"/>
  <c r="F7" i="164"/>
  <c r="CH93" i="156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C57" i="167"/>
  <c r="E38" i="167"/>
  <c r="C38" i="167"/>
  <c r="E19" i="167"/>
  <c r="C19" i="167"/>
  <c r="E109" i="165"/>
  <c r="V88" i="165"/>
  <c r="Z85" i="165"/>
  <c r="AB84" i="165"/>
  <c r="Z84" i="165"/>
  <c r="AB83" i="165"/>
  <c r="Z83" i="165"/>
  <c r="N83" i="165"/>
  <c r="L83" i="165"/>
  <c r="J83" i="165"/>
  <c r="H83" i="165"/>
  <c r="F83" i="165"/>
  <c r="H73" i="165"/>
  <c r="F41" i="165"/>
  <c r="H39" i="165"/>
  <c r="F37" i="165"/>
  <c r="H36" i="165"/>
  <c r="F36" i="165"/>
  <c r="H35" i="165"/>
  <c r="F35" i="165"/>
  <c r="H34" i="165"/>
  <c r="F34" i="165"/>
  <c r="H10" i="165"/>
  <c r="F10" i="165"/>
  <c r="H8" i="165"/>
  <c r="R5" i="165"/>
  <c r="E115" i="169"/>
  <c r="J101" i="169"/>
  <c r="L92" i="169"/>
  <c r="L90" i="169"/>
  <c r="J90" i="169"/>
  <c r="H90" i="169"/>
  <c r="F90" i="169"/>
  <c r="N89" i="169"/>
  <c r="L89" i="169"/>
  <c r="J89" i="169"/>
  <c r="H89" i="169"/>
  <c r="F89" i="169"/>
  <c r="L88" i="169"/>
  <c r="J88" i="169"/>
  <c r="H88" i="169"/>
  <c r="F88" i="169"/>
  <c r="F57" i="169"/>
  <c r="F56" i="169"/>
  <c r="F43" i="169"/>
  <c r="F40" i="169"/>
  <c r="F39" i="169"/>
  <c r="F38" i="169"/>
  <c r="F15" i="169"/>
  <c r="E9001" i="158" l="1"/>
  <c r="F9001" i="158"/>
  <c r="G9001" i="158"/>
  <c r="D9001" i="158"/>
  <c r="G9000" i="158"/>
  <c r="G8999" i="158"/>
  <c r="G8998" i="158"/>
  <c r="G8997" i="158"/>
  <c r="G8996" i="158"/>
  <c r="G8995" i="158"/>
  <c r="G8994" i="158"/>
  <c r="G8993" i="158"/>
  <c r="G8992" i="158"/>
  <c r="G8991" i="158"/>
  <c r="G8990" i="158"/>
  <c r="G8989" i="158"/>
  <c r="G8988" i="158"/>
  <c r="G8987" i="158"/>
  <c r="G8986" i="158"/>
  <c r="G8984" i="158"/>
  <c r="G8983" i="158"/>
  <c r="G8982" i="158"/>
  <c r="G8981" i="158"/>
  <c r="G8980" i="158"/>
  <c r="G8979" i="158"/>
  <c r="G8978" i="158"/>
  <c r="G8977" i="158"/>
  <c r="G8976" i="158"/>
  <c r="G8975" i="158"/>
  <c r="G8974" i="158"/>
  <c r="G8973" i="158"/>
  <c r="G8972" i="158"/>
  <c r="G8971" i="158"/>
  <c r="G8970" i="158"/>
  <c r="E8969" i="158"/>
  <c r="F8969" i="158"/>
  <c r="D8969" i="158"/>
  <c r="G8968" i="158"/>
  <c r="G8967" i="158"/>
  <c r="G8966" i="158"/>
  <c r="G8965" i="158"/>
  <c r="G8964" i="158"/>
  <c r="G8963" i="158"/>
  <c r="G8962" i="158"/>
  <c r="G8961" i="158"/>
  <c r="G8960" i="158"/>
  <c r="G8959" i="158"/>
  <c r="G8958" i="158"/>
  <c r="G8957" i="158"/>
  <c r="G8956" i="158"/>
  <c r="G8955" i="158"/>
  <c r="G8954" i="158"/>
  <c r="E8953" i="158"/>
  <c r="F8953" i="158"/>
  <c r="G8953" i="158"/>
  <c r="D8953" i="158"/>
  <c r="G8939" i="158"/>
  <c r="G8940" i="158"/>
  <c r="G8941" i="158"/>
  <c r="G8942" i="158"/>
  <c r="G8943" i="158"/>
  <c r="G8944" i="158"/>
  <c r="G8945" i="158"/>
  <c r="G8946" i="158"/>
  <c r="G8947" i="158"/>
  <c r="G8948" i="158"/>
  <c r="G8949" i="158"/>
  <c r="G8950" i="158"/>
  <c r="G8951" i="158"/>
  <c r="G8952" i="158"/>
  <c r="G8938" i="158"/>
  <c r="G8969" i="158" l="1"/>
  <c r="F22" i="78"/>
  <c r="F21" i="78"/>
  <c r="F20" i="78"/>
  <c r="I17" i="78"/>
  <c r="C17" i="78"/>
  <c r="I9" i="78"/>
  <c r="I10" i="78"/>
  <c r="I11" i="78"/>
  <c r="I12" i="78"/>
  <c r="I13" i="78"/>
  <c r="I14" i="78"/>
  <c r="I15" i="78"/>
  <c r="H9" i="78"/>
  <c r="J9" i="78" s="1"/>
  <c r="H10" i="78"/>
  <c r="J10" i="78" s="1"/>
  <c r="H11" i="78"/>
  <c r="J11" i="78" s="1"/>
  <c r="H12" i="78"/>
  <c r="J12" i="78" s="1"/>
  <c r="H13" i="78"/>
  <c r="J13" i="78" s="1"/>
  <c r="H14" i="78"/>
  <c r="J14" i="78" s="1"/>
  <c r="H15" i="78"/>
  <c r="J15" i="78" s="1"/>
  <c r="H8" i="78"/>
  <c r="J8" i="78" s="1"/>
  <c r="D9" i="78"/>
  <c r="E9" i="78" s="1"/>
  <c r="D10" i="78"/>
  <c r="E10" i="78" s="1"/>
  <c r="D11" i="78"/>
  <c r="E11" i="78" s="1"/>
  <c r="D12" i="78"/>
  <c r="E12" i="78" s="1"/>
  <c r="D13" i="78"/>
  <c r="E13" i="78" s="1"/>
  <c r="D14" i="78"/>
  <c r="E14" i="78" s="1"/>
  <c r="D15" i="78"/>
  <c r="E15" i="78" s="1"/>
  <c r="D8" i="78"/>
  <c r="E8" i="78" s="1"/>
  <c r="F43" i="115"/>
  <c r="C42" i="76"/>
  <c r="C40" i="15" l="1"/>
  <c r="I38" i="15"/>
  <c r="D38" i="15"/>
  <c r="N23" i="15"/>
  <c r="N22" i="15"/>
  <c r="N21" i="15"/>
  <c r="D33" i="76"/>
  <c r="E33" i="76" s="1"/>
  <c r="D34" i="76"/>
  <c r="E34" i="76" s="1"/>
  <c r="D35" i="76"/>
  <c r="E35" i="76" s="1"/>
  <c r="D36" i="76"/>
  <c r="E36" i="76" s="1"/>
  <c r="D37" i="76"/>
  <c r="E37" i="76" s="1"/>
  <c r="D38" i="76"/>
  <c r="E38" i="76" s="1"/>
  <c r="D39" i="76"/>
  <c r="E39" i="76" s="1"/>
  <c r="D40" i="76"/>
  <c r="E40" i="76" s="1"/>
  <c r="I40" i="76"/>
  <c r="I39" i="76"/>
  <c r="I38" i="76"/>
  <c r="I37" i="76"/>
  <c r="I36" i="76"/>
  <c r="I35" i="76"/>
  <c r="I34" i="76"/>
  <c r="N24" i="76"/>
  <c r="N23" i="76"/>
  <c r="N22" i="76"/>
  <c r="N21" i="76"/>
  <c r="N28" i="115"/>
  <c r="N27" i="115"/>
  <c r="N26" i="115"/>
  <c r="N25" i="115"/>
  <c r="N24" i="115"/>
  <c r="N23" i="115"/>
  <c r="H21" i="15"/>
  <c r="J21" i="15" s="1"/>
  <c r="H22" i="15"/>
  <c r="J22" i="15" s="1"/>
  <c r="H23" i="15"/>
  <c r="J23" i="15" s="1"/>
  <c r="F40" i="15"/>
  <c r="H19" i="76"/>
  <c r="J19" i="76" s="1"/>
  <c r="H20" i="76"/>
  <c r="J20" i="76" s="1"/>
  <c r="H21" i="76"/>
  <c r="J21" i="76" s="1"/>
  <c r="H22" i="76"/>
  <c r="J22" i="76" s="1"/>
  <c r="H23" i="76"/>
  <c r="J23" i="76" s="1"/>
  <c r="H24" i="76"/>
  <c r="J24" i="76" s="1"/>
  <c r="E8937" i="158" l="1"/>
  <c r="F8937" i="158"/>
  <c r="D8937" i="158"/>
  <c r="G8923" i="158"/>
  <c r="G8924" i="158"/>
  <c r="G8925" i="158"/>
  <c r="G8926" i="158"/>
  <c r="G8927" i="158"/>
  <c r="G8928" i="158"/>
  <c r="G8929" i="158"/>
  <c r="G8930" i="158"/>
  <c r="G8931" i="158"/>
  <c r="G8932" i="158"/>
  <c r="G8933" i="158"/>
  <c r="G8934" i="158"/>
  <c r="G8935" i="158"/>
  <c r="G8936" i="158"/>
  <c r="G8922" i="158"/>
  <c r="G8937" i="158" l="1"/>
  <c r="E8921" i="158"/>
  <c r="F8921" i="158"/>
  <c r="D8921" i="158"/>
  <c r="G8907" i="158"/>
  <c r="G8908" i="158"/>
  <c r="G8909" i="158"/>
  <c r="G8910" i="158"/>
  <c r="G8911" i="158"/>
  <c r="G8912" i="158"/>
  <c r="G8913" i="158"/>
  <c r="G8914" i="158"/>
  <c r="G8915" i="158"/>
  <c r="G8916" i="158"/>
  <c r="G8917" i="158"/>
  <c r="G8918" i="158"/>
  <c r="G8919" i="158"/>
  <c r="G8920" i="158"/>
  <c r="G8906" i="158"/>
  <c r="G8921" i="158" l="1"/>
  <c r="E8905" i="158"/>
  <c r="F8905" i="158"/>
  <c r="D8905" i="158"/>
  <c r="G8891" i="158"/>
  <c r="G8892" i="158"/>
  <c r="G8893" i="158"/>
  <c r="G8894" i="158"/>
  <c r="G8895" i="158"/>
  <c r="G8896" i="158"/>
  <c r="G8897" i="158"/>
  <c r="G8898" i="158"/>
  <c r="G8899" i="158"/>
  <c r="G8900" i="158"/>
  <c r="G8901" i="158"/>
  <c r="G8902" i="158"/>
  <c r="G8903" i="158"/>
  <c r="G8904" i="158"/>
  <c r="G8890" i="158"/>
  <c r="G8905" i="158" l="1"/>
  <c r="E8889" i="158"/>
  <c r="F8889" i="158"/>
  <c r="D8889" i="158"/>
  <c r="G8875" i="158"/>
  <c r="G8876" i="158"/>
  <c r="G8877" i="158"/>
  <c r="G8878" i="158"/>
  <c r="G8879" i="158"/>
  <c r="G8880" i="158"/>
  <c r="G8881" i="158"/>
  <c r="G8882" i="158"/>
  <c r="G8883" i="158"/>
  <c r="G8884" i="158"/>
  <c r="G8885" i="158"/>
  <c r="G8886" i="158"/>
  <c r="G8887" i="158"/>
  <c r="G8888" i="158"/>
  <c r="G8874" i="158"/>
  <c r="G8889" i="158" l="1"/>
  <c r="N20" i="15"/>
  <c r="N22" i="115"/>
  <c r="D36" i="115"/>
  <c r="E36" i="115" s="1"/>
  <c r="D37" i="115"/>
  <c r="E37" i="115" s="1"/>
  <c r="D38" i="115"/>
  <c r="E38" i="115" s="1"/>
  <c r="D39" i="115"/>
  <c r="E39" i="115" s="1"/>
  <c r="D40" i="115"/>
  <c r="E40" i="115" s="1"/>
  <c r="D41" i="115"/>
  <c r="E41" i="115" s="1"/>
  <c r="C43" i="115"/>
  <c r="I41" i="115"/>
  <c r="I40" i="115"/>
  <c r="I39" i="115"/>
  <c r="I38" i="115"/>
  <c r="D32" i="15"/>
  <c r="D33" i="15"/>
  <c r="D34" i="15"/>
  <c r="D35" i="15"/>
  <c r="D36" i="15"/>
  <c r="D37" i="15"/>
  <c r="I37" i="15"/>
  <c r="I36" i="15"/>
  <c r="I35" i="15"/>
  <c r="I34" i="15"/>
  <c r="I33" i="15"/>
  <c r="N19" i="15"/>
  <c r="E8873" i="158" l="1"/>
  <c r="F8873" i="158"/>
  <c r="D8873" i="158"/>
  <c r="G8872" i="158"/>
  <c r="G8871" i="158"/>
  <c r="G8870" i="158"/>
  <c r="G8869" i="158"/>
  <c r="G8868" i="158"/>
  <c r="G8867" i="158"/>
  <c r="G8866" i="158"/>
  <c r="G8865" i="158"/>
  <c r="G8864" i="158"/>
  <c r="G8863" i="158"/>
  <c r="G8862" i="158"/>
  <c r="G8861" i="158"/>
  <c r="G8860" i="158"/>
  <c r="G8859" i="158"/>
  <c r="G8858" i="158"/>
  <c r="G8873" i="158" l="1"/>
  <c r="E8857" i="158"/>
  <c r="F8857" i="158"/>
  <c r="D8857" i="158"/>
  <c r="G8843" i="158"/>
  <c r="G8844" i="158"/>
  <c r="G8845" i="158"/>
  <c r="G8846" i="158"/>
  <c r="G8847" i="158"/>
  <c r="G8848" i="158"/>
  <c r="G8849" i="158"/>
  <c r="G8850" i="158"/>
  <c r="G8851" i="158"/>
  <c r="G8852" i="158"/>
  <c r="G8853" i="158"/>
  <c r="G8854" i="158"/>
  <c r="G8855" i="158"/>
  <c r="G8856" i="158"/>
  <c r="G8842" i="158"/>
  <c r="G8857" i="158" l="1"/>
  <c r="E8841" i="158"/>
  <c r="F8841" i="158"/>
  <c r="D8841" i="158"/>
  <c r="G8827" i="158"/>
  <c r="G8828" i="158"/>
  <c r="G8829" i="158"/>
  <c r="G8830" i="158"/>
  <c r="G8831" i="158"/>
  <c r="G8832" i="158"/>
  <c r="G8833" i="158"/>
  <c r="G8834" i="158"/>
  <c r="G8835" i="158"/>
  <c r="G8836" i="158"/>
  <c r="G8837" i="158"/>
  <c r="G8838" i="158"/>
  <c r="G8839" i="158"/>
  <c r="G8840" i="158"/>
  <c r="G8826" i="158"/>
  <c r="G8841" i="158" l="1"/>
  <c r="D33" i="115"/>
  <c r="E33" i="115" s="1"/>
  <c r="D34" i="115"/>
  <c r="E34" i="115" s="1"/>
  <c r="D35" i="115"/>
  <c r="E35" i="115" s="1"/>
  <c r="I37" i="115"/>
  <c r="I36" i="115"/>
  <c r="I35" i="115"/>
  <c r="H35" i="115"/>
  <c r="N13" i="115"/>
  <c r="N14" i="115"/>
  <c r="N15" i="115"/>
  <c r="N16" i="115"/>
  <c r="N17" i="115"/>
  <c r="N18" i="115"/>
  <c r="N19" i="115"/>
  <c r="N20" i="115"/>
  <c r="N21" i="115"/>
  <c r="D27" i="15"/>
  <c r="D28" i="15"/>
  <c r="D29" i="15"/>
  <c r="D30" i="15"/>
  <c r="D31" i="15"/>
  <c r="I32" i="15"/>
  <c r="I31" i="15"/>
  <c r="I30" i="15"/>
  <c r="N18" i="15"/>
  <c r="N17" i="15"/>
  <c r="N20" i="76"/>
  <c r="H18" i="76"/>
  <c r="E8825" i="158" l="1"/>
  <c r="F8825" i="158"/>
  <c r="D8825" i="158"/>
  <c r="G8811" i="158"/>
  <c r="G8812" i="158"/>
  <c r="G8813" i="158"/>
  <c r="G8814" i="158"/>
  <c r="G8815" i="158"/>
  <c r="G8816" i="158"/>
  <c r="G8817" i="158"/>
  <c r="G8818" i="158"/>
  <c r="G8819" i="158"/>
  <c r="G8820" i="158"/>
  <c r="G8821" i="158"/>
  <c r="G8822" i="158"/>
  <c r="G8823" i="158"/>
  <c r="G8824" i="158"/>
  <c r="G8810" i="158"/>
  <c r="G8825" i="158" l="1"/>
  <c r="E8809" i="158"/>
  <c r="F8809" i="158"/>
  <c r="D8809" i="158"/>
  <c r="G8795" i="158"/>
  <c r="G8796" i="158"/>
  <c r="G8797" i="158"/>
  <c r="G8798" i="158"/>
  <c r="G8799" i="158"/>
  <c r="G8800" i="158"/>
  <c r="G8801" i="158"/>
  <c r="G8802" i="158"/>
  <c r="G8803" i="158"/>
  <c r="G8804" i="158"/>
  <c r="G8805" i="158"/>
  <c r="G8806" i="158"/>
  <c r="G8807" i="158"/>
  <c r="G8808" i="158"/>
  <c r="G8794" i="158"/>
  <c r="G8809" i="158" s="1"/>
  <c r="N9" i="115" l="1"/>
  <c r="N10" i="115"/>
  <c r="N11" i="115"/>
  <c r="N12" i="115"/>
  <c r="H21" i="115"/>
  <c r="J21" i="115" s="1"/>
  <c r="H22" i="115"/>
  <c r="J22" i="115" s="1"/>
  <c r="H23" i="115"/>
  <c r="J23" i="115" s="1"/>
  <c r="H24" i="115"/>
  <c r="J24" i="115" s="1"/>
  <c r="H25" i="115"/>
  <c r="J25" i="115" s="1"/>
  <c r="H26" i="115"/>
  <c r="J26" i="115" s="1"/>
  <c r="H27" i="115"/>
  <c r="J27" i="115" s="1"/>
  <c r="H28" i="115"/>
  <c r="J28" i="115" s="1"/>
  <c r="H29" i="115"/>
  <c r="H30" i="115"/>
  <c r="H31" i="115"/>
  <c r="H32" i="115"/>
  <c r="H33" i="115"/>
  <c r="H34" i="115"/>
  <c r="D27" i="115"/>
  <c r="E27" i="115" s="1"/>
  <c r="D28" i="115"/>
  <c r="E28" i="115" s="1"/>
  <c r="D29" i="115"/>
  <c r="E29" i="115" s="1"/>
  <c r="D30" i="115"/>
  <c r="E30" i="115" s="1"/>
  <c r="D31" i="115"/>
  <c r="E31" i="115" s="1"/>
  <c r="D32" i="115"/>
  <c r="E32" i="115" s="1"/>
  <c r="I34" i="115"/>
  <c r="I33" i="115"/>
  <c r="I32" i="115"/>
  <c r="I31" i="115"/>
  <c r="N16" i="15"/>
  <c r="N15" i="15"/>
  <c r="D25" i="15"/>
  <c r="D26" i="15"/>
  <c r="I29" i="15"/>
  <c r="I28" i="15"/>
  <c r="I27" i="15"/>
  <c r="N19" i="76"/>
  <c r="N18" i="76"/>
  <c r="D24" i="76"/>
  <c r="E24" i="76" s="1"/>
  <c r="D25" i="76"/>
  <c r="E25" i="76" s="1"/>
  <c r="D26" i="76"/>
  <c r="E26" i="76" s="1"/>
  <c r="D27" i="76"/>
  <c r="E27" i="76" s="1"/>
  <c r="D28" i="76"/>
  <c r="E28" i="76" s="1"/>
  <c r="D29" i="76"/>
  <c r="E29" i="76" s="1"/>
  <c r="D30" i="76"/>
  <c r="E30" i="76" s="1"/>
  <c r="D31" i="76"/>
  <c r="E31" i="76" s="1"/>
  <c r="D32" i="76"/>
  <c r="E32" i="76" s="1"/>
  <c r="I33" i="76"/>
  <c r="I32" i="76"/>
  <c r="I31" i="76"/>
  <c r="I30" i="76"/>
  <c r="I29" i="76"/>
  <c r="I28" i="76"/>
  <c r="E8793" i="158" l="1"/>
  <c r="F8793" i="158"/>
  <c r="D8793" i="158"/>
  <c r="G8779" i="158"/>
  <c r="G8780" i="158"/>
  <c r="G8781" i="158"/>
  <c r="G8782" i="158"/>
  <c r="G8783" i="158"/>
  <c r="G8784" i="158"/>
  <c r="G8785" i="158"/>
  <c r="G8786" i="158"/>
  <c r="G8787" i="158"/>
  <c r="G8788" i="158"/>
  <c r="G8789" i="158"/>
  <c r="G8790" i="158"/>
  <c r="G8791" i="158"/>
  <c r="G8792" i="158"/>
  <c r="G8778" i="158"/>
  <c r="E8761" i="158"/>
  <c r="F8761" i="158"/>
  <c r="D8761" i="158"/>
  <c r="G8747" i="158"/>
  <c r="G8748" i="158"/>
  <c r="G8749" i="158"/>
  <c r="G8750" i="158"/>
  <c r="G8751" i="158"/>
  <c r="G8752" i="158"/>
  <c r="G8753" i="158"/>
  <c r="G8754" i="158"/>
  <c r="G8755" i="158"/>
  <c r="G8756" i="158"/>
  <c r="G8757" i="158"/>
  <c r="G8758" i="158"/>
  <c r="G8759" i="158"/>
  <c r="G8760" i="158"/>
  <c r="G8746" i="158"/>
  <c r="G8761" i="158" s="1"/>
  <c r="G8793" i="158" l="1"/>
  <c r="H15" i="76"/>
  <c r="H16" i="76"/>
  <c r="H17" i="76"/>
  <c r="J18" i="76"/>
  <c r="N14" i="15" l="1"/>
  <c r="F45" i="76"/>
  <c r="F44" i="76"/>
  <c r="F42" i="76"/>
  <c r="N17" i="76"/>
  <c r="N16" i="76"/>
  <c r="N15" i="76"/>
  <c r="N14" i="76"/>
  <c r="J15" i="76" l="1"/>
  <c r="J16" i="76"/>
  <c r="J17" i="76"/>
  <c r="H13" i="76"/>
  <c r="J13" i="76" s="1"/>
  <c r="H14" i="76"/>
  <c r="J14" i="76" s="1"/>
  <c r="E8745" i="158" l="1"/>
  <c r="F8745" i="158"/>
  <c r="D8745" i="158"/>
  <c r="G8731" i="158"/>
  <c r="G8732" i="158"/>
  <c r="G8733" i="158"/>
  <c r="G8734" i="158"/>
  <c r="G8735" i="158"/>
  <c r="G8736" i="158"/>
  <c r="G8737" i="158"/>
  <c r="G8738" i="158"/>
  <c r="G8739" i="158"/>
  <c r="G8740" i="158"/>
  <c r="G8741" i="158"/>
  <c r="G8742" i="158"/>
  <c r="G8743" i="158"/>
  <c r="G8744" i="158"/>
  <c r="G8730" i="158"/>
  <c r="G8745" i="158" l="1"/>
  <c r="E8729" i="158"/>
  <c r="F8729" i="158"/>
  <c r="D8729" i="158"/>
  <c r="G8715" i="158"/>
  <c r="G8716" i="158"/>
  <c r="G8717" i="158"/>
  <c r="G8718" i="158"/>
  <c r="G8719" i="158"/>
  <c r="G8720" i="158"/>
  <c r="G8721" i="158"/>
  <c r="G8722" i="158"/>
  <c r="G8723" i="158"/>
  <c r="G8724" i="158"/>
  <c r="G8725" i="158"/>
  <c r="G8726" i="158"/>
  <c r="G8727" i="158"/>
  <c r="G8728" i="158"/>
  <c r="G8714" i="158"/>
  <c r="G8729" i="158" l="1"/>
  <c r="I30" i="115" l="1"/>
  <c r="I29" i="115"/>
  <c r="D21" i="15"/>
  <c r="E21" i="15" s="1"/>
  <c r="D22" i="15"/>
  <c r="E22" i="15" s="1"/>
  <c r="D23" i="15"/>
  <c r="E23" i="15" s="1"/>
  <c r="D24" i="15"/>
  <c r="I26" i="15"/>
  <c r="I25" i="15"/>
  <c r="I24" i="15"/>
  <c r="N11" i="15"/>
  <c r="N12" i="15"/>
  <c r="N13" i="15"/>
  <c r="I27" i="76"/>
  <c r="I26" i="76"/>
  <c r="I25" i="76"/>
  <c r="D19" i="76"/>
  <c r="D20" i="76"/>
  <c r="E20" i="76" s="1"/>
  <c r="D21" i="76"/>
  <c r="E21" i="76" s="1"/>
  <c r="D22" i="76"/>
  <c r="E22" i="76" s="1"/>
  <c r="D23" i="76"/>
  <c r="E23" i="76" s="1"/>
  <c r="N13" i="76"/>
  <c r="N12" i="76"/>
  <c r="H9" i="76"/>
  <c r="H10" i="76"/>
  <c r="J10" i="76" s="1"/>
  <c r="H11" i="76"/>
  <c r="J11" i="76" s="1"/>
  <c r="H12" i="76"/>
  <c r="J12" i="76" s="1"/>
  <c r="E8713" i="158" l="1"/>
  <c r="F8713" i="158"/>
  <c r="D8713" i="158"/>
  <c r="G8699" i="158"/>
  <c r="G8700" i="158"/>
  <c r="G8701" i="158"/>
  <c r="G8702" i="158"/>
  <c r="G8703" i="158"/>
  <c r="G8704" i="158"/>
  <c r="G8705" i="158"/>
  <c r="G8706" i="158"/>
  <c r="G8707" i="158"/>
  <c r="G8708" i="158"/>
  <c r="G8709" i="158"/>
  <c r="G8710" i="158"/>
  <c r="G8711" i="158"/>
  <c r="G8712" i="158"/>
  <c r="G8698" i="158"/>
  <c r="G8713" i="158" l="1"/>
  <c r="D21" i="115"/>
  <c r="E21" i="115" s="1"/>
  <c r="D22" i="115"/>
  <c r="E22" i="115" s="1"/>
  <c r="D23" i="115"/>
  <c r="E23" i="115" s="1"/>
  <c r="D24" i="115"/>
  <c r="E24" i="115" s="1"/>
  <c r="D25" i="115"/>
  <c r="E25" i="115" s="1"/>
  <c r="D26" i="115"/>
  <c r="E26" i="115" s="1"/>
  <c r="I28" i="115"/>
  <c r="I27" i="115"/>
  <c r="I26" i="115"/>
  <c r="I25" i="115"/>
  <c r="I24" i="115"/>
  <c r="I23" i="115"/>
  <c r="I22" i="115"/>
  <c r="N6" i="115"/>
  <c r="N7" i="115"/>
  <c r="N8" i="115"/>
  <c r="N5" i="115"/>
  <c r="D15" i="15" l="1"/>
  <c r="D16" i="15"/>
  <c r="D17" i="15"/>
  <c r="D18" i="15"/>
  <c r="D19" i="15"/>
  <c r="E19" i="15" s="1"/>
  <c r="D20" i="15"/>
  <c r="E20" i="15" s="1"/>
  <c r="I23" i="15"/>
  <c r="I22" i="15"/>
  <c r="N10" i="15"/>
  <c r="N9" i="76"/>
  <c r="N10" i="76"/>
  <c r="N11" i="76"/>
  <c r="N8" i="76"/>
  <c r="J9" i="76"/>
  <c r="H8" i="76"/>
  <c r="E19" i="76"/>
  <c r="D16" i="76"/>
  <c r="D17" i="76"/>
  <c r="E17" i="76" s="1"/>
  <c r="D18" i="76"/>
  <c r="E18" i="76" s="1"/>
  <c r="I24" i="76"/>
  <c r="I23" i="76"/>
  <c r="I22" i="76"/>
  <c r="I21" i="76"/>
  <c r="E8697" i="158" l="1"/>
  <c r="F8697" i="158"/>
  <c r="D8697" i="158"/>
  <c r="G8683" i="158"/>
  <c r="G8684" i="158"/>
  <c r="G8685" i="158"/>
  <c r="G8686" i="158"/>
  <c r="G8687" i="158"/>
  <c r="G8688" i="158"/>
  <c r="G8689" i="158"/>
  <c r="G8690" i="158"/>
  <c r="G8691" i="158"/>
  <c r="G8692" i="158"/>
  <c r="G8693" i="158"/>
  <c r="G8694" i="158"/>
  <c r="G8695" i="158"/>
  <c r="G8696" i="158"/>
  <c r="G8682" i="158"/>
  <c r="G8697" i="158" l="1"/>
  <c r="E8665" i="158"/>
  <c r="F8665" i="158"/>
  <c r="D8665" i="158"/>
  <c r="G8651" i="158"/>
  <c r="G8652" i="158"/>
  <c r="G8653" i="158"/>
  <c r="G8654" i="158"/>
  <c r="G8655" i="158"/>
  <c r="G8656" i="158"/>
  <c r="G8657" i="158"/>
  <c r="G8658" i="158"/>
  <c r="G8659" i="158"/>
  <c r="G8660" i="158"/>
  <c r="G8661" i="158"/>
  <c r="G8662" i="158"/>
  <c r="G8663" i="158"/>
  <c r="G8664" i="158"/>
  <c r="G8650" i="158"/>
  <c r="E8681" i="158"/>
  <c r="F8681" i="158"/>
  <c r="D8681" i="158"/>
  <c r="G8667" i="158"/>
  <c r="G8668" i="158"/>
  <c r="G8669" i="158"/>
  <c r="G8670" i="158"/>
  <c r="G8671" i="158"/>
  <c r="G8672" i="158"/>
  <c r="G8673" i="158"/>
  <c r="G8674" i="158"/>
  <c r="G8675" i="158"/>
  <c r="G8676" i="158"/>
  <c r="G8677" i="158"/>
  <c r="G8678" i="158"/>
  <c r="G8679" i="158"/>
  <c r="G8680" i="158"/>
  <c r="G8666" i="158"/>
  <c r="G8665" i="158" l="1"/>
  <c r="G8681" i="158"/>
  <c r="H9" i="15" l="1"/>
  <c r="J9" i="15" s="1"/>
  <c r="H10" i="15"/>
  <c r="J10" i="15" s="1"/>
  <c r="H11" i="15"/>
  <c r="J11" i="15" s="1"/>
  <c r="H12" i="15"/>
  <c r="J12" i="15" s="1"/>
  <c r="H13" i="15"/>
  <c r="J13" i="15" s="1"/>
  <c r="H14" i="15"/>
  <c r="J14" i="15" s="1"/>
  <c r="H15" i="15"/>
  <c r="J15" i="15" s="1"/>
  <c r="H16" i="15"/>
  <c r="J16" i="15" s="1"/>
  <c r="H17" i="15"/>
  <c r="J17" i="15" s="1"/>
  <c r="H18" i="15"/>
  <c r="J18" i="15" s="1"/>
  <c r="H19" i="15"/>
  <c r="J19" i="15" s="1"/>
  <c r="H20" i="15"/>
  <c r="J20" i="15" s="1"/>
  <c r="E16" i="15"/>
  <c r="I21" i="15"/>
  <c r="I20" i="15"/>
  <c r="I19" i="15"/>
  <c r="S6" i="15"/>
  <c r="S7" i="15"/>
  <c r="S8" i="15"/>
  <c r="S9" i="15"/>
  <c r="S5" i="15"/>
  <c r="H6" i="15" l="1"/>
  <c r="H7" i="15"/>
  <c r="H8" i="15"/>
  <c r="J8" i="15" s="1"/>
  <c r="H5" i="15"/>
  <c r="J6" i="15"/>
  <c r="J7" i="15"/>
  <c r="P17" i="78" l="1"/>
  <c r="N17" i="78"/>
  <c r="J17" i="78"/>
  <c r="F47" i="115"/>
  <c r="F46" i="115"/>
  <c r="F43" i="15"/>
  <c r="F42" i="15"/>
  <c r="H5" i="115" l="1"/>
  <c r="H6" i="115"/>
  <c r="H7" i="115"/>
  <c r="H8" i="115"/>
  <c r="H9" i="115"/>
  <c r="J9" i="115" s="1"/>
  <c r="H10" i="115"/>
  <c r="J10" i="115" s="1"/>
  <c r="H11" i="115"/>
  <c r="J11" i="115" s="1"/>
  <c r="H12" i="115"/>
  <c r="J12" i="115" s="1"/>
  <c r="H13" i="115"/>
  <c r="J13" i="115" s="1"/>
  <c r="H14" i="115"/>
  <c r="J14" i="115" s="1"/>
  <c r="H15" i="115"/>
  <c r="J15" i="115" s="1"/>
  <c r="H16" i="115"/>
  <c r="J16" i="115" s="1"/>
  <c r="H17" i="115"/>
  <c r="J17" i="115" s="1"/>
  <c r="H18" i="115"/>
  <c r="J18" i="115" s="1"/>
  <c r="H19" i="115"/>
  <c r="J19" i="115" s="1"/>
  <c r="H20" i="115"/>
  <c r="J20" i="115" s="1"/>
  <c r="I5" i="115"/>
  <c r="I6" i="115"/>
  <c r="I7" i="115"/>
  <c r="I8" i="115"/>
  <c r="I9" i="115"/>
  <c r="I10" i="115"/>
  <c r="I11" i="115"/>
  <c r="I12" i="115"/>
  <c r="I13" i="115"/>
  <c r="I14" i="115"/>
  <c r="I15" i="115"/>
  <c r="I16" i="115"/>
  <c r="I17" i="115"/>
  <c r="I18" i="115"/>
  <c r="I19" i="115"/>
  <c r="I20" i="115"/>
  <c r="I21" i="115"/>
  <c r="D8" i="115"/>
  <c r="E8" i="115" s="1"/>
  <c r="D9" i="115"/>
  <c r="E9" i="115" s="1"/>
  <c r="D10" i="115"/>
  <c r="E10" i="115" s="1"/>
  <c r="D11" i="115"/>
  <c r="E11" i="115" s="1"/>
  <c r="D12" i="115"/>
  <c r="E12" i="115" s="1"/>
  <c r="D13" i="115"/>
  <c r="E13" i="115" s="1"/>
  <c r="D14" i="115"/>
  <c r="E14" i="115" s="1"/>
  <c r="D15" i="115"/>
  <c r="E15" i="115" s="1"/>
  <c r="D16" i="115"/>
  <c r="E16" i="115" s="1"/>
  <c r="D17" i="115"/>
  <c r="E17" i="115" s="1"/>
  <c r="D18" i="115"/>
  <c r="E18" i="115" s="1"/>
  <c r="D19" i="115"/>
  <c r="E19" i="115" s="1"/>
  <c r="D20" i="115"/>
  <c r="E20" i="115" s="1"/>
  <c r="I43" i="115" l="1"/>
  <c r="N6" i="15"/>
  <c r="N5" i="15"/>
  <c r="J5" i="15"/>
  <c r="N40" i="15" l="1"/>
  <c r="E8649" i="158"/>
  <c r="F8649" i="158"/>
  <c r="D8649" i="158"/>
  <c r="G8635" i="158"/>
  <c r="G8636" i="158"/>
  <c r="G8637" i="158"/>
  <c r="G8638" i="158"/>
  <c r="G8639" i="158"/>
  <c r="G8640" i="158"/>
  <c r="G8641" i="158"/>
  <c r="G8642" i="158"/>
  <c r="G8643" i="158"/>
  <c r="G8644" i="158"/>
  <c r="G8645" i="158"/>
  <c r="G8646" i="158"/>
  <c r="G8647" i="158"/>
  <c r="G8648" i="158"/>
  <c r="G8634" i="158"/>
  <c r="G8649" i="158" l="1"/>
  <c r="E8633" i="158"/>
  <c r="F8633" i="158"/>
  <c r="D8633" i="158"/>
  <c r="G8619" i="158"/>
  <c r="G8620" i="158"/>
  <c r="G8621" i="158"/>
  <c r="G8622" i="158"/>
  <c r="G8623" i="158"/>
  <c r="G8624" i="158"/>
  <c r="G8625" i="158"/>
  <c r="G8626" i="158"/>
  <c r="G8627" i="158"/>
  <c r="G8628" i="158"/>
  <c r="G8629" i="158"/>
  <c r="G8630" i="158"/>
  <c r="G8631" i="158"/>
  <c r="G8632" i="158"/>
  <c r="G8618" i="158"/>
  <c r="G8633" i="158" l="1"/>
  <c r="E8617" i="158"/>
  <c r="F8617" i="158"/>
  <c r="D8617" i="158"/>
  <c r="G8616" i="158"/>
  <c r="G8615" i="158"/>
  <c r="G8614" i="158"/>
  <c r="G8613" i="158"/>
  <c r="G8612" i="158"/>
  <c r="G8611" i="158"/>
  <c r="G8610" i="158"/>
  <c r="G8609" i="158"/>
  <c r="G8608" i="158"/>
  <c r="G8607" i="158"/>
  <c r="G8606" i="158"/>
  <c r="G8605" i="158"/>
  <c r="G8604" i="158"/>
  <c r="G8603" i="158"/>
  <c r="G8602" i="158"/>
  <c r="G8617" i="158" l="1"/>
  <c r="E8601" i="158" l="1"/>
  <c r="F8601" i="158"/>
  <c r="D8601" i="158"/>
  <c r="G8587" i="158"/>
  <c r="G8588" i="158"/>
  <c r="G8589" i="158"/>
  <c r="G8590" i="158"/>
  <c r="G8591" i="158"/>
  <c r="G8592" i="158"/>
  <c r="G8593" i="158"/>
  <c r="G8594" i="158"/>
  <c r="G8595" i="158"/>
  <c r="G8596" i="158"/>
  <c r="G8597" i="158"/>
  <c r="G8598" i="158"/>
  <c r="G8599" i="158"/>
  <c r="G8600" i="158"/>
  <c r="G8586" i="158"/>
  <c r="E17" i="15"/>
  <c r="E18" i="15"/>
  <c r="I18" i="15"/>
  <c r="I17" i="15"/>
  <c r="G8601" i="158" l="1"/>
  <c r="E8585" i="158"/>
  <c r="F8585" i="158"/>
  <c r="D8585" i="158"/>
  <c r="G8571" i="158"/>
  <c r="G8572" i="158"/>
  <c r="G8573" i="158"/>
  <c r="G8574" i="158"/>
  <c r="G8575" i="158"/>
  <c r="G8576" i="158"/>
  <c r="G8577" i="158"/>
  <c r="G8578" i="158"/>
  <c r="G8579" i="158"/>
  <c r="G8580" i="158"/>
  <c r="G8581" i="158"/>
  <c r="G8582" i="158"/>
  <c r="G8583" i="158"/>
  <c r="G8584" i="158"/>
  <c r="G8570" i="158"/>
  <c r="G8585" i="158" l="1"/>
  <c r="I20" i="76"/>
  <c r="I19" i="76"/>
  <c r="I18" i="76"/>
  <c r="J8" i="76" l="1"/>
  <c r="E8569" i="158"/>
  <c r="F8569" i="158"/>
  <c r="D8569" i="158"/>
  <c r="E8553" i="158"/>
  <c r="F8553" i="158"/>
  <c r="D8553" i="158"/>
  <c r="E8537" i="158"/>
  <c r="F8537" i="158"/>
  <c r="D8537" i="158"/>
  <c r="G8555" i="158"/>
  <c r="G8556" i="158"/>
  <c r="G8557" i="158"/>
  <c r="G8558" i="158"/>
  <c r="G8559" i="158"/>
  <c r="G8560" i="158"/>
  <c r="G8561" i="158"/>
  <c r="G8562" i="158"/>
  <c r="G8563" i="158"/>
  <c r="G8564" i="158"/>
  <c r="G8565" i="158"/>
  <c r="G8566" i="158"/>
  <c r="G8567" i="158"/>
  <c r="G8568" i="158"/>
  <c r="G8554" i="158"/>
  <c r="G8539" i="158"/>
  <c r="G8540" i="158"/>
  <c r="G8541" i="158"/>
  <c r="G8542" i="158"/>
  <c r="G8543" i="158"/>
  <c r="G8544" i="158"/>
  <c r="G8545" i="158"/>
  <c r="G8546" i="158"/>
  <c r="G8547" i="158"/>
  <c r="G8548" i="158"/>
  <c r="G8549" i="158"/>
  <c r="G8550" i="158"/>
  <c r="G8551" i="158"/>
  <c r="G8552" i="158"/>
  <c r="G8538" i="158"/>
  <c r="G8523" i="158"/>
  <c r="G8524" i="158"/>
  <c r="G8525" i="158"/>
  <c r="G8526" i="158"/>
  <c r="G8527" i="158"/>
  <c r="G8528" i="158"/>
  <c r="G8529" i="158"/>
  <c r="G8530" i="158"/>
  <c r="G8531" i="158"/>
  <c r="G8532" i="158"/>
  <c r="G8533" i="158"/>
  <c r="G8534" i="158"/>
  <c r="G8535" i="158"/>
  <c r="G8536" i="158"/>
  <c r="G8522" i="158"/>
  <c r="G8569" i="158" l="1"/>
  <c r="G8553" i="158"/>
  <c r="G8537" i="158"/>
  <c r="E15" i="15" l="1"/>
  <c r="D13" i="15"/>
  <c r="E13" i="15" s="1"/>
  <c r="D14" i="15"/>
  <c r="E14" i="15" s="1"/>
  <c r="I16" i="15"/>
  <c r="I15" i="15"/>
  <c r="E8521" i="158" l="1"/>
  <c r="F8521" i="158"/>
  <c r="D8521" i="158"/>
  <c r="G8507" i="158"/>
  <c r="G8508" i="158"/>
  <c r="G8509" i="158"/>
  <c r="G8510" i="158"/>
  <c r="G8511" i="158"/>
  <c r="G8512" i="158"/>
  <c r="G8513" i="158"/>
  <c r="G8514" i="158"/>
  <c r="G8515" i="158"/>
  <c r="G8516" i="158"/>
  <c r="G8517" i="158"/>
  <c r="G8518" i="158"/>
  <c r="G8519" i="158"/>
  <c r="G8520" i="158"/>
  <c r="G8506" i="158"/>
  <c r="G8521" i="158" l="1"/>
  <c r="J5" i="115"/>
  <c r="J6" i="115"/>
  <c r="J7" i="115"/>
  <c r="J8" i="115"/>
  <c r="D6" i="115"/>
  <c r="E6" i="115" s="1"/>
  <c r="D7" i="115"/>
  <c r="E7" i="115" s="1"/>
  <c r="D5" i="115"/>
  <c r="E5" i="115" s="1"/>
  <c r="D10" i="76"/>
  <c r="D11" i="76"/>
  <c r="E11" i="76" s="1"/>
  <c r="D12" i="76"/>
  <c r="E12" i="76" s="1"/>
  <c r="D13" i="76"/>
  <c r="E13" i="76" s="1"/>
  <c r="D14" i="76"/>
  <c r="E14" i="76" s="1"/>
  <c r="D15" i="76"/>
  <c r="E15" i="76" s="1"/>
  <c r="E16" i="76"/>
  <c r="I17" i="76"/>
  <c r="I16" i="76"/>
  <c r="I15" i="76"/>
  <c r="I14" i="76"/>
  <c r="I13" i="76"/>
  <c r="I12" i="76"/>
  <c r="I14" i="15"/>
  <c r="D101" i="128"/>
  <c r="N43" i="115" l="1"/>
  <c r="E8505" i="158" l="1"/>
  <c r="F8505" i="158"/>
  <c r="D8505" i="158"/>
  <c r="G8491" i="158"/>
  <c r="G8492" i="158"/>
  <c r="G8493" i="158"/>
  <c r="G8494" i="158"/>
  <c r="G8495" i="158"/>
  <c r="G8496" i="158"/>
  <c r="G8497" i="158"/>
  <c r="G8498" i="158"/>
  <c r="G8499" i="158"/>
  <c r="G8500" i="158"/>
  <c r="G8501" i="158"/>
  <c r="G8502" i="158"/>
  <c r="G8503" i="158"/>
  <c r="G8504" i="158"/>
  <c r="G8490" i="158"/>
  <c r="G8505" i="158" l="1"/>
  <c r="H39" i="163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8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I8" i="78" l="1"/>
  <c r="E8489" i="158" l="1"/>
  <c r="F8489" i="158"/>
  <c r="D8489" i="158"/>
  <c r="G8475" i="158"/>
  <c r="G8476" i="158"/>
  <c r="G8477" i="158"/>
  <c r="G8478" i="158"/>
  <c r="G8479" i="158"/>
  <c r="G8480" i="158"/>
  <c r="G8481" i="158"/>
  <c r="G8482" i="158"/>
  <c r="G8483" i="158"/>
  <c r="G8484" i="158"/>
  <c r="G8485" i="158"/>
  <c r="G8486" i="158"/>
  <c r="G8487" i="158"/>
  <c r="G8488" i="158"/>
  <c r="G8474" i="158"/>
  <c r="G8489" i="158" l="1"/>
  <c r="D10" i="15"/>
  <c r="E10" i="15" s="1"/>
  <c r="D11" i="15"/>
  <c r="E11" i="15" s="1"/>
  <c r="D12" i="15"/>
  <c r="E12" i="15" s="1"/>
  <c r="I13" i="15"/>
  <c r="I12" i="15"/>
  <c r="I11" i="15"/>
  <c r="I10" i="15"/>
  <c r="D8" i="76"/>
  <c r="E8" i="76" s="1"/>
  <c r="D9" i="76"/>
  <c r="E9" i="76" s="1"/>
  <c r="E10" i="76"/>
  <c r="I11" i="76"/>
  <c r="I10" i="76"/>
  <c r="I9" i="76"/>
  <c r="I8" i="76"/>
  <c r="I42" i="76" l="1"/>
  <c r="F8451" i="158"/>
  <c r="F8443" i="158"/>
  <c r="E8473" i="158"/>
  <c r="F8473" i="158"/>
  <c r="D8473" i="158"/>
  <c r="G8459" i="158"/>
  <c r="G8460" i="158"/>
  <c r="G8461" i="158"/>
  <c r="G8462" i="158"/>
  <c r="G8463" i="158"/>
  <c r="G8464" i="158"/>
  <c r="G8465" i="158"/>
  <c r="G8466" i="158"/>
  <c r="G8467" i="158"/>
  <c r="G8468" i="158"/>
  <c r="G8469" i="158"/>
  <c r="G8470" i="158"/>
  <c r="G8471" i="158"/>
  <c r="G8472" i="158"/>
  <c r="G8458" i="158"/>
  <c r="G8473" i="158" l="1"/>
  <c r="F8435" i="158"/>
  <c r="E8457" i="158"/>
  <c r="F8457" i="158"/>
  <c r="D8457" i="158"/>
  <c r="G8443" i="158"/>
  <c r="G8444" i="158"/>
  <c r="G8445" i="158"/>
  <c r="G8446" i="158"/>
  <c r="G8447" i="158"/>
  <c r="G8448" i="158"/>
  <c r="G8449" i="158"/>
  <c r="G8450" i="158"/>
  <c r="G8451" i="158"/>
  <c r="G8452" i="158"/>
  <c r="G8453" i="158"/>
  <c r="G8454" i="158"/>
  <c r="G8455" i="158"/>
  <c r="G8456" i="158"/>
  <c r="G8442" i="158"/>
  <c r="G8457" i="158" l="1"/>
  <c r="E8441" i="158"/>
  <c r="F8441" i="158"/>
  <c r="D8441" i="158"/>
  <c r="G8427" i="158"/>
  <c r="G8428" i="158"/>
  <c r="G8429" i="158"/>
  <c r="G8430" i="158"/>
  <c r="G8431" i="158"/>
  <c r="G8432" i="158"/>
  <c r="G8433" i="158"/>
  <c r="G8434" i="158"/>
  <c r="G8435" i="158"/>
  <c r="G8436" i="158"/>
  <c r="G8437" i="158"/>
  <c r="G8438" i="158"/>
  <c r="G8439" i="158"/>
  <c r="G8440" i="158"/>
  <c r="G8426" i="158"/>
  <c r="G8441" i="158" l="1"/>
  <c r="E8425" i="158" l="1"/>
  <c r="F8425" i="158"/>
  <c r="D8425" i="158"/>
  <c r="G8411" i="158"/>
  <c r="G8412" i="158"/>
  <c r="G8413" i="158"/>
  <c r="G8414" i="158"/>
  <c r="G8415" i="158"/>
  <c r="G8416" i="158"/>
  <c r="G8417" i="158"/>
  <c r="G8418" i="158"/>
  <c r="G8419" i="158"/>
  <c r="G8420" i="158"/>
  <c r="G8421" i="158"/>
  <c r="G8422" i="158"/>
  <c r="G8423" i="158"/>
  <c r="G8424" i="158"/>
  <c r="G8410" i="158"/>
  <c r="G8425" i="158" l="1"/>
  <c r="I9" i="15"/>
  <c r="D9" i="15"/>
  <c r="E9" i="15" s="1"/>
  <c r="E8409" i="158"/>
  <c r="F8409" i="158"/>
  <c r="H8409" i="158"/>
  <c r="D8409" i="158"/>
  <c r="G8395" i="158"/>
  <c r="G8396" i="158"/>
  <c r="G8397" i="158"/>
  <c r="G8398" i="158"/>
  <c r="G8399" i="158"/>
  <c r="G8400" i="158"/>
  <c r="G8401" i="158"/>
  <c r="G8402" i="158"/>
  <c r="G8403" i="158"/>
  <c r="G8404" i="158"/>
  <c r="G8405" i="158"/>
  <c r="G8406" i="158"/>
  <c r="G8407" i="158"/>
  <c r="G8408" i="158"/>
  <c r="G8394" i="158"/>
  <c r="G8409" i="158" l="1"/>
  <c r="E8393" i="158" l="1"/>
  <c r="F8393" i="158"/>
  <c r="D8393" i="158"/>
  <c r="E8377" i="158"/>
  <c r="F8377" i="158"/>
  <c r="D8377" i="158"/>
  <c r="G8392" i="158"/>
  <c r="G8391" i="158"/>
  <c r="G8390" i="158"/>
  <c r="G8389" i="158"/>
  <c r="G8388" i="158"/>
  <c r="G8387" i="158"/>
  <c r="G8386" i="158"/>
  <c r="G8385" i="158"/>
  <c r="G8384" i="158"/>
  <c r="G8383" i="158"/>
  <c r="G8382" i="158"/>
  <c r="G8381" i="158"/>
  <c r="G8380" i="158"/>
  <c r="G8379" i="158"/>
  <c r="G8378" i="158"/>
  <c r="G8376" i="158"/>
  <c r="G8375" i="158"/>
  <c r="G8374" i="158"/>
  <c r="G8373" i="158"/>
  <c r="G8372" i="158"/>
  <c r="G8371" i="158"/>
  <c r="G8370" i="158"/>
  <c r="G8369" i="158"/>
  <c r="G8368" i="158"/>
  <c r="G8367" i="158"/>
  <c r="G8366" i="158"/>
  <c r="G8365" i="158"/>
  <c r="G8364" i="158"/>
  <c r="G8363" i="158"/>
  <c r="G8362" i="158"/>
  <c r="G8377" i="158" l="1"/>
  <c r="G8393" i="158"/>
  <c r="D6" i="15" l="1"/>
  <c r="E6" i="15" s="1"/>
  <c r="D7" i="15"/>
  <c r="E7" i="15" s="1"/>
  <c r="D8" i="15"/>
  <c r="E8" i="15" s="1"/>
  <c r="I8" i="15"/>
  <c r="I7" i="15"/>
  <c r="E8361" i="158" l="1"/>
  <c r="F8361" i="158"/>
  <c r="D8361" i="158"/>
  <c r="G8347" i="158"/>
  <c r="G8348" i="158"/>
  <c r="G8349" i="158"/>
  <c r="G8350" i="158"/>
  <c r="G8351" i="158"/>
  <c r="G8352" i="158"/>
  <c r="G8353" i="158"/>
  <c r="G8354" i="158"/>
  <c r="G8355" i="158"/>
  <c r="G8356" i="158"/>
  <c r="G8357" i="158"/>
  <c r="G8358" i="158"/>
  <c r="G8359" i="158"/>
  <c r="G8360" i="158"/>
  <c r="G8346" i="158"/>
  <c r="G8361" i="158" l="1"/>
  <c r="E8345" i="158"/>
  <c r="F8345" i="158"/>
  <c r="D8345" i="158"/>
  <c r="G8331" i="158"/>
  <c r="G8332" i="158"/>
  <c r="G8333" i="158"/>
  <c r="G8334" i="158"/>
  <c r="G8335" i="158"/>
  <c r="G8336" i="158"/>
  <c r="G8337" i="158"/>
  <c r="G8338" i="158"/>
  <c r="G8339" i="158"/>
  <c r="G8340" i="158"/>
  <c r="G8341" i="158"/>
  <c r="G8342" i="158"/>
  <c r="G8343" i="158"/>
  <c r="G8344" i="158"/>
  <c r="G8330" i="158"/>
  <c r="G8345" i="158" l="1"/>
  <c r="E8329" i="158"/>
  <c r="F8329" i="158"/>
  <c r="D8329" i="158"/>
  <c r="G8315" i="158"/>
  <c r="G8316" i="158"/>
  <c r="G8317" i="158"/>
  <c r="G8318" i="158"/>
  <c r="G8319" i="158"/>
  <c r="G8320" i="158"/>
  <c r="G8321" i="158"/>
  <c r="G8322" i="158"/>
  <c r="G8323" i="158"/>
  <c r="G8324" i="158"/>
  <c r="G8325" i="158"/>
  <c r="G8326" i="158"/>
  <c r="G8327" i="158"/>
  <c r="G8328" i="158"/>
  <c r="G8314" i="158"/>
  <c r="G8329" i="158" l="1"/>
  <c r="I6" i="15"/>
  <c r="I5" i="15"/>
  <c r="I40" i="15" s="1"/>
  <c r="D5" i="15"/>
  <c r="E5" i="15" s="1"/>
  <c r="E8313" i="158" l="1"/>
  <c r="F8313" i="158"/>
  <c r="D8313" i="158"/>
  <c r="G8299" i="158"/>
  <c r="G8300" i="158"/>
  <c r="G8301" i="158"/>
  <c r="G8302" i="158"/>
  <c r="G8303" i="158"/>
  <c r="G8304" i="158"/>
  <c r="G8305" i="158"/>
  <c r="G8306" i="158"/>
  <c r="G8307" i="158"/>
  <c r="G8308" i="158"/>
  <c r="G8309" i="158"/>
  <c r="G8310" i="158"/>
  <c r="G8311" i="158"/>
  <c r="G8312" i="158"/>
  <c r="G8298" i="158"/>
  <c r="G8313" i="158" l="1"/>
  <c r="E8297" i="158" l="1"/>
  <c r="F8297" i="158"/>
  <c r="D8297" i="158"/>
  <c r="G8283" i="158"/>
  <c r="G8284" i="158"/>
  <c r="G8285" i="158"/>
  <c r="G8286" i="158"/>
  <c r="G8287" i="158"/>
  <c r="G8288" i="158"/>
  <c r="G8289" i="158"/>
  <c r="G8290" i="158"/>
  <c r="G8291" i="158"/>
  <c r="G8292" i="158"/>
  <c r="G8293" i="158"/>
  <c r="G8294" i="158"/>
  <c r="G8295" i="158"/>
  <c r="G8296" i="158"/>
  <c r="G8282" i="158"/>
  <c r="G8297" i="158" l="1"/>
  <c r="E8281" i="158" l="1"/>
  <c r="F8281" i="158"/>
  <c r="D8281" i="158"/>
  <c r="G8267" i="158"/>
  <c r="G8268" i="158"/>
  <c r="G8269" i="158"/>
  <c r="G8270" i="158"/>
  <c r="G8271" i="158"/>
  <c r="G8272" i="158"/>
  <c r="G8273" i="158"/>
  <c r="G8274" i="158"/>
  <c r="G8275" i="158"/>
  <c r="G8276" i="158"/>
  <c r="G8277" i="158"/>
  <c r="G8278" i="158"/>
  <c r="G8279" i="158"/>
  <c r="G8280" i="158"/>
  <c r="G8266" i="158"/>
  <c r="G8281" i="158" l="1"/>
  <c r="E8265" i="158" l="1"/>
  <c r="F8265" i="158"/>
  <c r="D8265" i="158"/>
  <c r="G8251" i="158"/>
  <c r="G8252" i="158"/>
  <c r="G8253" i="158"/>
  <c r="G8254" i="158"/>
  <c r="G8255" i="158"/>
  <c r="G8256" i="158"/>
  <c r="G8257" i="158"/>
  <c r="G8258" i="158"/>
  <c r="G8259" i="158"/>
  <c r="G8260" i="158"/>
  <c r="G8261" i="158"/>
  <c r="G8262" i="158"/>
  <c r="G8263" i="158"/>
  <c r="G8264" i="158"/>
  <c r="G8250" i="158"/>
  <c r="G8265" i="158" l="1"/>
  <c r="F44" i="15"/>
  <c r="E8249" i="158" l="1"/>
  <c r="F8249" i="158"/>
  <c r="D8249" i="158"/>
  <c r="G8235" i="158"/>
  <c r="G8236" i="158"/>
  <c r="G8237" i="158"/>
  <c r="G8238" i="158"/>
  <c r="G8239" i="158"/>
  <c r="G8240" i="158"/>
  <c r="G8241" i="158"/>
  <c r="G8242" i="158"/>
  <c r="G8243" i="158"/>
  <c r="G8244" i="158"/>
  <c r="G8245" i="158"/>
  <c r="G8246" i="158"/>
  <c r="G8247" i="158"/>
  <c r="G8248" i="158"/>
  <c r="G8234" i="158"/>
  <c r="G8249" i="158" l="1"/>
  <c r="W47" i="15" l="1"/>
  <c r="X40" i="15" l="1"/>
  <c r="S40" i="15" l="1"/>
  <c r="E8233" i="158" l="1"/>
  <c r="F8233" i="158"/>
  <c r="D8233" i="158"/>
  <c r="G8219" i="158"/>
  <c r="G8220" i="158"/>
  <c r="G8221" i="158"/>
  <c r="G8222" i="158"/>
  <c r="G8223" i="158"/>
  <c r="G8224" i="158"/>
  <c r="G8225" i="158"/>
  <c r="G8226" i="158"/>
  <c r="G8227" i="158"/>
  <c r="G8228" i="158"/>
  <c r="G8229" i="158"/>
  <c r="G8230" i="158"/>
  <c r="G8231" i="158"/>
  <c r="G8232" i="158"/>
  <c r="G8218" i="158"/>
  <c r="G8233" i="158" l="1"/>
  <c r="E8217" i="158" l="1"/>
  <c r="F8217" i="158"/>
  <c r="D8217" i="158"/>
  <c r="G8203" i="158"/>
  <c r="G8204" i="158"/>
  <c r="G8205" i="158"/>
  <c r="G8206" i="158"/>
  <c r="G8207" i="158"/>
  <c r="G8208" i="158"/>
  <c r="G8209" i="158"/>
  <c r="G8210" i="158"/>
  <c r="G8211" i="158"/>
  <c r="G8212" i="158"/>
  <c r="G8213" i="158"/>
  <c r="G8214" i="158"/>
  <c r="G8215" i="158"/>
  <c r="G8216" i="158"/>
  <c r="G8202" i="158"/>
  <c r="G8217" i="158" l="1"/>
  <c r="E8201" i="158" l="1"/>
  <c r="F8201" i="158"/>
  <c r="D8201" i="158"/>
  <c r="G8187" i="158"/>
  <c r="G8188" i="158"/>
  <c r="G8189" i="158"/>
  <c r="G8190" i="158"/>
  <c r="G8191" i="158"/>
  <c r="G8192" i="158"/>
  <c r="G8193" i="158"/>
  <c r="G8194" i="158"/>
  <c r="G8195" i="158"/>
  <c r="G8196" i="158"/>
  <c r="G8197" i="158"/>
  <c r="G8198" i="158"/>
  <c r="G8199" i="158"/>
  <c r="G8200" i="158"/>
  <c r="G8186" i="158"/>
  <c r="G8201" i="158" l="1"/>
  <c r="E8185" i="158" l="1"/>
  <c r="F8185" i="158"/>
  <c r="D8185" i="158"/>
  <c r="G8171" i="158"/>
  <c r="G8172" i="158"/>
  <c r="G8173" i="158"/>
  <c r="G8174" i="158"/>
  <c r="G8175" i="158"/>
  <c r="G8176" i="158"/>
  <c r="G8177" i="158"/>
  <c r="G8178" i="158"/>
  <c r="G8179" i="158"/>
  <c r="G8180" i="158"/>
  <c r="G8181" i="158"/>
  <c r="G8182" i="158"/>
  <c r="G8183" i="158"/>
  <c r="G8184" i="158"/>
  <c r="G8170" i="158"/>
  <c r="G8185" i="158" l="1"/>
  <c r="E8169" i="158" l="1"/>
  <c r="F8169" i="158"/>
  <c r="D8169" i="158"/>
  <c r="G8155" i="158"/>
  <c r="G8156" i="158"/>
  <c r="G8157" i="158"/>
  <c r="G8158" i="158"/>
  <c r="G8159" i="158"/>
  <c r="G8160" i="158"/>
  <c r="G8161" i="158"/>
  <c r="G8162" i="158"/>
  <c r="G8163" i="158"/>
  <c r="G8164" i="158"/>
  <c r="G8165" i="158"/>
  <c r="G8166" i="158"/>
  <c r="G8167" i="158"/>
  <c r="G8168" i="158"/>
  <c r="G8154" i="158"/>
  <c r="G8169" i="158" l="1"/>
  <c r="E8153" i="158" l="1"/>
  <c r="F8153" i="158"/>
  <c r="D8153" i="158"/>
  <c r="G8139" i="158"/>
  <c r="G8140" i="158"/>
  <c r="G8141" i="158"/>
  <c r="G8142" i="158"/>
  <c r="G8143" i="158"/>
  <c r="G8144" i="158"/>
  <c r="G8145" i="158"/>
  <c r="G8146" i="158"/>
  <c r="G8147" i="158"/>
  <c r="G8148" i="158"/>
  <c r="G8149" i="158"/>
  <c r="G8150" i="158"/>
  <c r="G8151" i="158"/>
  <c r="G8152" i="158"/>
  <c r="G8138" i="158"/>
  <c r="G8153" i="158" l="1"/>
  <c r="E8137" i="158" l="1"/>
  <c r="F8137" i="158"/>
  <c r="D8137" i="158"/>
  <c r="G8123" i="158"/>
  <c r="G8124" i="158"/>
  <c r="G8125" i="158"/>
  <c r="G8126" i="158"/>
  <c r="G8127" i="158"/>
  <c r="G8128" i="158"/>
  <c r="G8129" i="158"/>
  <c r="G8130" i="158"/>
  <c r="G8131" i="158"/>
  <c r="G8132" i="158"/>
  <c r="G8133" i="158"/>
  <c r="G8134" i="158"/>
  <c r="G8135" i="158"/>
  <c r="G8136" i="158"/>
  <c r="G8122" i="158"/>
  <c r="G8137" i="158" l="1"/>
  <c r="D68" i="128"/>
  <c r="D64" i="128"/>
  <c r="D60" i="128"/>
  <c r="D56" i="128"/>
  <c r="D52" i="128"/>
  <c r="D48" i="128"/>
  <c r="D44" i="128"/>
  <c r="D40" i="128"/>
  <c r="D36" i="128"/>
  <c r="D32" i="128"/>
  <c r="D28" i="128"/>
  <c r="D24" i="128"/>
  <c r="D20" i="128"/>
  <c r="D16" i="128"/>
  <c r="D12" i="128"/>
  <c r="D69" i="128" l="1"/>
  <c r="E8121" i="158"/>
  <c r="F8121" i="158"/>
  <c r="D8121" i="158"/>
  <c r="G8107" i="158"/>
  <c r="G8108" i="158"/>
  <c r="G8109" i="158"/>
  <c r="G8110" i="158"/>
  <c r="G8111" i="158"/>
  <c r="G8112" i="158"/>
  <c r="G8113" i="158"/>
  <c r="G8114" i="158"/>
  <c r="G8115" i="158"/>
  <c r="G8116" i="158"/>
  <c r="G8117" i="158"/>
  <c r="G8118" i="158"/>
  <c r="G8119" i="158"/>
  <c r="G8120" i="158"/>
  <c r="G8106" i="158"/>
  <c r="D104" i="128" l="1"/>
  <c r="C20" i="134" s="1"/>
  <c r="G8121" i="158"/>
  <c r="E8105" i="158" l="1"/>
  <c r="F8105" i="158"/>
  <c r="D8105" i="158"/>
  <c r="G8091" i="158"/>
  <c r="G8092" i="158"/>
  <c r="G8093" i="158"/>
  <c r="G8094" i="158"/>
  <c r="G8095" i="158"/>
  <c r="G8096" i="158"/>
  <c r="G8097" i="158"/>
  <c r="G8098" i="158"/>
  <c r="G8099" i="158"/>
  <c r="G8100" i="158"/>
  <c r="G8101" i="158"/>
  <c r="G8102" i="158"/>
  <c r="G8103" i="158"/>
  <c r="G8104" i="158"/>
  <c r="G8090" i="158"/>
  <c r="G8105" i="158" l="1"/>
  <c r="E8089" i="158"/>
  <c r="F8089" i="158"/>
  <c r="D8089" i="158"/>
  <c r="G8088" i="158"/>
  <c r="G8087" i="158"/>
  <c r="G8086" i="158"/>
  <c r="G8085" i="158"/>
  <c r="G8084" i="158"/>
  <c r="G8083" i="158"/>
  <c r="G8082" i="158"/>
  <c r="G8081" i="158"/>
  <c r="G8080" i="158"/>
  <c r="G8079" i="158"/>
  <c r="G8078" i="158"/>
  <c r="G8077" i="158"/>
  <c r="G8076" i="158"/>
  <c r="G8075" i="158"/>
  <c r="G8074" i="158"/>
  <c r="G8089" i="158" l="1"/>
  <c r="E8073" i="158" l="1"/>
  <c r="F8073" i="158"/>
  <c r="D8073" i="158"/>
  <c r="G8059" i="158"/>
  <c r="G8060" i="158"/>
  <c r="G8061" i="158"/>
  <c r="G8062" i="158"/>
  <c r="G8063" i="158"/>
  <c r="G8064" i="158"/>
  <c r="G8065" i="158"/>
  <c r="G8066" i="158"/>
  <c r="G8067" i="158"/>
  <c r="G8068" i="158"/>
  <c r="G8069" i="158"/>
  <c r="G8070" i="158"/>
  <c r="G8071" i="158"/>
  <c r="G8072" i="158"/>
  <c r="G8058" i="158"/>
  <c r="G8073" i="158" l="1"/>
  <c r="E8057" i="158"/>
  <c r="F8057" i="158"/>
  <c r="D8057" i="158"/>
  <c r="G8043" i="158"/>
  <c r="G8044" i="158"/>
  <c r="G8045" i="158"/>
  <c r="G8046" i="158"/>
  <c r="G8047" i="158"/>
  <c r="G8048" i="158"/>
  <c r="G8049" i="158"/>
  <c r="G8050" i="158"/>
  <c r="G8051" i="158"/>
  <c r="G8052" i="158"/>
  <c r="G8053" i="158"/>
  <c r="G8054" i="158"/>
  <c r="G8055" i="158"/>
  <c r="G8056" i="158"/>
  <c r="G8042" i="158"/>
  <c r="G8057" i="158" l="1"/>
  <c r="E8041" i="158" l="1"/>
  <c r="F8041" i="158"/>
  <c r="D8041" i="158"/>
  <c r="G8027" i="158"/>
  <c r="G8028" i="158"/>
  <c r="G8029" i="158"/>
  <c r="G8030" i="158"/>
  <c r="G8031" i="158"/>
  <c r="G8032" i="158"/>
  <c r="G8033" i="158"/>
  <c r="G8034" i="158"/>
  <c r="G8035" i="158"/>
  <c r="G8036" i="158"/>
  <c r="G8037" i="158"/>
  <c r="G8038" i="158"/>
  <c r="G8039" i="158"/>
  <c r="G8040" i="158"/>
  <c r="G8026" i="158"/>
  <c r="G8041" i="158" l="1"/>
  <c r="E7993" i="158" l="1"/>
  <c r="F7993" i="158"/>
  <c r="D7993" i="158"/>
  <c r="G7979" i="158"/>
  <c r="G7980" i="158"/>
  <c r="G7981" i="158"/>
  <c r="G7982" i="158"/>
  <c r="G7983" i="158"/>
  <c r="G7984" i="158"/>
  <c r="G7985" i="158"/>
  <c r="G7986" i="158"/>
  <c r="G7987" i="158"/>
  <c r="G7988" i="158"/>
  <c r="G7989" i="158"/>
  <c r="G7990" i="158"/>
  <c r="G7991" i="158"/>
  <c r="G7992" i="158"/>
  <c r="G7978" i="158"/>
  <c r="E7977" i="158"/>
  <c r="F7977" i="158"/>
  <c r="D7977" i="158"/>
  <c r="G7963" i="158"/>
  <c r="G7964" i="158"/>
  <c r="G7965" i="158"/>
  <c r="G7966" i="158"/>
  <c r="G7967" i="158"/>
  <c r="G7968" i="158"/>
  <c r="G7969" i="158"/>
  <c r="G7970" i="158"/>
  <c r="G7971" i="158"/>
  <c r="G7972" i="158"/>
  <c r="G7973" i="158"/>
  <c r="G7974" i="158"/>
  <c r="G7975" i="158"/>
  <c r="G7976" i="158"/>
  <c r="G7962" i="158"/>
  <c r="G7993" i="158" l="1"/>
  <c r="G7977" i="158"/>
  <c r="E8025" i="158"/>
  <c r="F8025" i="158"/>
  <c r="D8025" i="158"/>
  <c r="G8011" i="158"/>
  <c r="G8012" i="158"/>
  <c r="G8013" i="158"/>
  <c r="G8014" i="158"/>
  <c r="G8015" i="158"/>
  <c r="G8016" i="158"/>
  <c r="G8017" i="158"/>
  <c r="G8018" i="158"/>
  <c r="G8019" i="158"/>
  <c r="G8020" i="158"/>
  <c r="G8021" i="158"/>
  <c r="G8022" i="158"/>
  <c r="G8023" i="158"/>
  <c r="G8024" i="158"/>
  <c r="G8010" i="158"/>
  <c r="G8025" i="158" l="1"/>
  <c r="E8009" i="158" l="1"/>
  <c r="F8009" i="158"/>
  <c r="D8009" i="158"/>
  <c r="G7995" i="158"/>
  <c r="G7996" i="158"/>
  <c r="G7997" i="158"/>
  <c r="G7998" i="158"/>
  <c r="G7999" i="158"/>
  <c r="G8000" i="158"/>
  <c r="G8001" i="158"/>
  <c r="G8002" i="158"/>
  <c r="G8003" i="158"/>
  <c r="G8004" i="158"/>
  <c r="G8005" i="158"/>
  <c r="G8006" i="158"/>
  <c r="G8007" i="158"/>
  <c r="G8008" i="158"/>
  <c r="G7994" i="158"/>
  <c r="G8009" i="158" l="1"/>
  <c r="E7961" i="158" l="1"/>
  <c r="F7961" i="158"/>
  <c r="D7961" i="158"/>
  <c r="G7947" i="158"/>
  <c r="G7948" i="158"/>
  <c r="G7949" i="158"/>
  <c r="G7950" i="158"/>
  <c r="G7951" i="158"/>
  <c r="G7952" i="158"/>
  <c r="G7953" i="158"/>
  <c r="G7954" i="158"/>
  <c r="G7955" i="158"/>
  <c r="G7956" i="158"/>
  <c r="G7957" i="158"/>
  <c r="G7958" i="158"/>
  <c r="G7959" i="158"/>
  <c r="G7960" i="158"/>
  <c r="G7946" i="158"/>
  <c r="G7961" i="158" l="1"/>
  <c r="E7945" i="158" l="1"/>
  <c r="F7945" i="158"/>
  <c r="D7945" i="158"/>
  <c r="G7931" i="158"/>
  <c r="G7932" i="158"/>
  <c r="G7933" i="158"/>
  <c r="G7934" i="158"/>
  <c r="G7935" i="158"/>
  <c r="G7936" i="158"/>
  <c r="G7937" i="158"/>
  <c r="G7938" i="158"/>
  <c r="G7939" i="158"/>
  <c r="G7940" i="158"/>
  <c r="G7941" i="158"/>
  <c r="G7942" i="158"/>
  <c r="G7943" i="158"/>
  <c r="G7944" i="158"/>
  <c r="G7930" i="158"/>
  <c r="G7945" i="158" l="1"/>
  <c r="E7929" i="158"/>
  <c r="F7929" i="158"/>
  <c r="D7929" i="158"/>
  <c r="G7928" i="158"/>
  <c r="G7927" i="158"/>
  <c r="G7926" i="158"/>
  <c r="G7925" i="158"/>
  <c r="G7924" i="158"/>
  <c r="G7923" i="158"/>
  <c r="G7922" i="158"/>
  <c r="G7921" i="158"/>
  <c r="G7920" i="158"/>
  <c r="G7919" i="158"/>
  <c r="G7918" i="158"/>
  <c r="G7917" i="158"/>
  <c r="G7916" i="158"/>
  <c r="G7915" i="158"/>
  <c r="G7914" i="158"/>
  <c r="G7929" i="158" l="1"/>
  <c r="E7913" i="158" l="1"/>
  <c r="F7913" i="158"/>
  <c r="D7913" i="158"/>
  <c r="G7899" i="158"/>
  <c r="G7900" i="158"/>
  <c r="G7901" i="158"/>
  <c r="G7902" i="158"/>
  <c r="G7903" i="158"/>
  <c r="G7904" i="158"/>
  <c r="G7905" i="158"/>
  <c r="G7906" i="158"/>
  <c r="G7907" i="158"/>
  <c r="G7908" i="158"/>
  <c r="G7909" i="158"/>
  <c r="G7910" i="158"/>
  <c r="G7911" i="158"/>
  <c r="G7912" i="158"/>
  <c r="G7898" i="158"/>
  <c r="G7913" i="158" l="1"/>
  <c r="E7897" i="158" l="1"/>
  <c r="F7897" i="158"/>
  <c r="G7883" i="158"/>
  <c r="G7884" i="158"/>
  <c r="G7885" i="158"/>
  <c r="G7886" i="158"/>
  <c r="G7887" i="158"/>
  <c r="G7888" i="158"/>
  <c r="G7889" i="158"/>
  <c r="G7890" i="158"/>
  <c r="G7891" i="158"/>
  <c r="G7892" i="158"/>
  <c r="G7893" i="158"/>
  <c r="G7894" i="158"/>
  <c r="G7895" i="158"/>
  <c r="G7896" i="158"/>
  <c r="G7882" i="158"/>
  <c r="D7897" i="158"/>
  <c r="G7897" i="158" l="1"/>
  <c r="E7865" i="158"/>
  <c r="F7865" i="158"/>
  <c r="G7851" i="158"/>
  <c r="G7852" i="158"/>
  <c r="G7853" i="158"/>
  <c r="G7854" i="158"/>
  <c r="G7855" i="158"/>
  <c r="G7856" i="158"/>
  <c r="G7857" i="158"/>
  <c r="G7858" i="158"/>
  <c r="G7859" i="158"/>
  <c r="G7860" i="158"/>
  <c r="G7861" i="158"/>
  <c r="G7862" i="158"/>
  <c r="G7863" i="158"/>
  <c r="G7864" i="158"/>
  <c r="G7850" i="158"/>
  <c r="D7865" i="158"/>
  <c r="G7865" i="158" l="1"/>
  <c r="E7849" i="158"/>
  <c r="F7849" i="158"/>
  <c r="D7849" i="158"/>
  <c r="G7835" i="158"/>
  <c r="G7836" i="158"/>
  <c r="G7837" i="158"/>
  <c r="G7838" i="158"/>
  <c r="G7839" i="158"/>
  <c r="G7840" i="158"/>
  <c r="G7841" i="158"/>
  <c r="G7842" i="158"/>
  <c r="G7843" i="158"/>
  <c r="G7844" i="158"/>
  <c r="G7845" i="158"/>
  <c r="G7846" i="158"/>
  <c r="G7847" i="158"/>
  <c r="G7848" i="158"/>
  <c r="G7834" i="158"/>
  <c r="E7833" i="158"/>
  <c r="F7833" i="158"/>
  <c r="D7833" i="158"/>
  <c r="G7819" i="158"/>
  <c r="G7820" i="158"/>
  <c r="G7821" i="158"/>
  <c r="G7822" i="158"/>
  <c r="G7823" i="158"/>
  <c r="G7824" i="158"/>
  <c r="G7825" i="158"/>
  <c r="G7826" i="158"/>
  <c r="G7827" i="158"/>
  <c r="G7828" i="158"/>
  <c r="G7829" i="158"/>
  <c r="G7830" i="158"/>
  <c r="G7831" i="158"/>
  <c r="G7832" i="158"/>
  <c r="G7818" i="158"/>
  <c r="E7817" i="158"/>
  <c r="F7817" i="158"/>
  <c r="G7803" i="158"/>
  <c r="G7804" i="158"/>
  <c r="G7805" i="158"/>
  <c r="G7806" i="158"/>
  <c r="G7807" i="158"/>
  <c r="G7808" i="158"/>
  <c r="G7809" i="158"/>
  <c r="G7810" i="158"/>
  <c r="G7811" i="158"/>
  <c r="G7812" i="158"/>
  <c r="G7813" i="158"/>
  <c r="G7814" i="158"/>
  <c r="G7815" i="158"/>
  <c r="G7816" i="158"/>
  <c r="G7802" i="158"/>
  <c r="D7817" i="158"/>
  <c r="E7801" i="158"/>
  <c r="F7801" i="158"/>
  <c r="D7801" i="158"/>
  <c r="G7787" i="158"/>
  <c r="G7788" i="158"/>
  <c r="G7789" i="158"/>
  <c r="G7790" i="158"/>
  <c r="G7791" i="158"/>
  <c r="G7792" i="158"/>
  <c r="G7793" i="158"/>
  <c r="G7794" i="158"/>
  <c r="G7795" i="158"/>
  <c r="G7796" i="158"/>
  <c r="G7797" i="158"/>
  <c r="G7798" i="158"/>
  <c r="G7799" i="158"/>
  <c r="G7800" i="158"/>
  <c r="G7786" i="158"/>
  <c r="G7817" i="158" l="1"/>
  <c r="G7801" i="158"/>
  <c r="G7833" i="158"/>
  <c r="G7849" i="158"/>
  <c r="E7785" i="158" l="1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E7753" i="158" l="1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F17" i="78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D7673" i="158" l="1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E7657" i="158" l="1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G7641" i="158" l="1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G7609" i="158" l="1"/>
  <c r="E7593" i="158" l="1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G7529" i="158" l="1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E7449" i="158" l="1"/>
  <c r="F7449" i="158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D7449" i="158" l="1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46" i="76"/>
  <c r="E7193" i="158" l="1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3" i="135"/>
  <c r="AL171" i="135"/>
  <c r="AK168" i="135"/>
  <c r="AJ168" i="135"/>
  <c r="AH168" i="135"/>
  <c r="AD168" i="135"/>
  <c r="AC168" i="135"/>
  <c r="AA168" i="135"/>
  <c r="W168" i="135"/>
  <c r="V168" i="135"/>
  <c r="T168" i="135"/>
  <c r="S168" i="135"/>
  <c r="P168" i="135"/>
  <c r="O168" i="135"/>
  <c r="K168" i="135"/>
  <c r="I168" i="135"/>
  <c r="H168" i="135"/>
  <c r="AE168" i="135"/>
  <c r="AL167" i="135"/>
  <c r="AL166" i="135"/>
  <c r="AL164" i="135"/>
  <c r="AL163" i="135"/>
  <c r="AL162" i="135"/>
  <c r="M168" i="135"/>
  <c r="J168" i="135"/>
  <c r="E168" i="135"/>
  <c r="AL161" i="135"/>
  <c r="AI168" i="135"/>
  <c r="AL159" i="135"/>
  <c r="AL158" i="135"/>
  <c r="AL157" i="135"/>
  <c r="AL156" i="135"/>
  <c r="AL155" i="135"/>
  <c r="AL154" i="135"/>
  <c r="L168" i="135"/>
  <c r="AL153" i="135"/>
  <c r="AL152" i="135"/>
  <c r="AL151" i="135"/>
  <c r="AL150" i="135"/>
  <c r="AL149" i="135"/>
  <c r="AL148" i="135"/>
  <c r="X168" i="135"/>
  <c r="AL147" i="135"/>
  <c r="R168" i="135"/>
  <c r="AL146" i="135"/>
  <c r="F168" i="135"/>
  <c r="AL145" i="135"/>
  <c r="Y168" i="135"/>
  <c r="AL144" i="135"/>
  <c r="AL143" i="135"/>
  <c r="AL142" i="135"/>
  <c r="AL141" i="135"/>
  <c r="AB168" i="135"/>
  <c r="AL140" i="135"/>
  <c r="Q168" i="135"/>
  <c r="AL139" i="135"/>
  <c r="AL138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N168" i="135"/>
  <c r="AL122" i="135"/>
  <c r="AL121" i="135"/>
  <c r="AG168" i="135"/>
  <c r="U168" i="135"/>
  <c r="G168" i="135"/>
  <c r="D168" i="135"/>
  <c r="C168" i="135"/>
  <c r="AL119" i="135"/>
  <c r="AL118" i="135"/>
  <c r="AK112" i="135"/>
  <c r="AJ112" i="135"/>
  <c r="AH112" i="135"/>
  <c r="AF112" i="135"/>
  <c r="AD112" i="135"/>
  <c r="AC112" i="135"/>
  <c r="AB112" i="135"/>
  <c r="AA112" i="135"/>
  <c r="Z112" i="135"/>
  <c r="W112" i="135"/>
  <c r="V112" i="135"/>
  <c r="U112" i="135"/>
  <c r="T112" i="135"/>
  <c r="S112" i="135"/>
  <c r="R112" i="135"/>
  <c r="P112" i="135"/>
  <c r="O112" i="135"/>
  <c r="L112" i="135"/>
  <c r="K112" i="135"/>
  <c r="I112" i="135"/>
  <c r="H112" i="135"/>
  <c r="G112" i="135"/>
  <c r="E112" i="135"/>
  <c r="D112" i="135"/>
  <c r="AL111" i="135"/>
  <c r="Y112" i="135"/>
  <c r="M112" i="135"/>
  <c r="AL110" i="135"/>
  <c r="AI112" i="135"/>
  <c r="AL109" i="135"/>
  <c r="F112" i="135"/>
  <c r="AL107" i="135"/>
  <c r="N112" i="135"/>
  <c r="AL106" i="135"/>
  <c r="AL105" i="135"/>
  <c r="AE112" i="135"/>
  <c r="AL104" i="135"/>
  <c r="AL103" i="135"/>
  <c r="AG112" i="135"/>
  <c r="AL102" i="135"/>
  <c r="AL101" i="135"/>
  <c r="X112" i="135"/>
  <c r="Q112" i="135"/>
  <c r="AL100" i="135"/>
  <c r="AK93" i="135"/>
  <c r="AJ93" i="135"/>
  <c r="AH93" i="135"/>
  <c r="AG93" i="135"/>
  <c r="AF93" i="135"/>
  <c r="AE93" i="135"/>
  <c r="AD93" i="135"/>
  <c r="AC93" i="135"/>
  <c r="AB93" i="135"/>
  <c r="AA93" i="135"/>
  <c r="Z93" i="135"/>
  <c r="Y93" i="135"/>
  <c r="W93" i="135"/>
  <c r="V93" i="135"/>
  <c r="U93" i="135"/>
  <c r="T93" i="135"/>
  <c r="S93" i="135"/>
  <c r="R93" i="135"/>
  <c r="P93" i="135"/>
  <c r="O93" i="135"/>
  <c r="N93" i="135"/>
  <c r="M93" i="135"/>
  <c r="L93" i="135"/>
  <c r="K93" i="135"/>
  <c r="I93" i="135"/>
  <c r="H93" i="135"/>
  <c r="F93" i="135"/>
  <c r="D93" i="135"/>
  <c r="C93" i="135"/>
  <c r="AI93" i="135"/>
  <c r="G93" i="135"/>
  <c r="AL91" i="135"/>
  <c r="X93" i="135"/>
  <c r="AL90" i="135"/>
  <c r="AL89" i="135"/>
  <c r="AL88" i="135"/>
  <c r="AL87" i="135"/>
  <c r="AL86" i="135"/>
  <c r="Q93" i="135"/>
  <c r="AL85" i="135"/>
  <c r="J93" i="135"/>
  <c r="E93" i="135"/>
  <c r="AL83" i="135"/>
  <c r="AL82" i="135"/>
  <c r="AL81" i="135"/>
  <c r="AL80" i="135"/>
  <c r="AK73" i="135"/>
  <c r="AJ73" i="135"/>
  <c r="AI73" i="135"/>
  <c r="AH73" i="135"/>
  <c r="AG73" i="135"/>
  <c r="AF73" i="135"/>
  <c r="AE73" i="135"/>
  <c r="AD73" i="135"/>
  <c r="AC73" i="135"/>
  <c r="AA73" i="135"/>
  <c r="Y73" i="135"/>
  <c r="X73" i="135"/>
  <c r="W73" i="135"/>
  <c r="V73" i="135"/>
  <c r="U73" i="135"/>
  <c r="T73" i="135"/>
  <c r="S73" i="135"/>
  <c r="R73" i="135"/>
  <c r="Q73" i="135"/>
  <c r="P73" i="135"/>
  <c r="O73" i="135"/>
  <c r="M73" i="135"/>
  <c r="L73" i="135"/>
  <c r="K73" i="135"/>
  <c r="I73" i="135"/>
  <c r="H73" i="135"/>
  <c r="F73" i="135"/>
  <c r="D73" i="135"/>
  <c r="C73" i="135"/>
  <c r="AL72" i="135"/>
  <c r="AL71" i="135"/>
  <c r="AL70" i="135"/>
  <c r="AL69" i="135"/>
  <c r="AL68" i="135"/>
  <c r="AL67" i="135"/>
  <c r="AL65" i="135"/>
  <c r="AL64" i="135"/>
  <c r="AL63" i="135"/>
  <c r="E73" i="135"/>
  <c r="AL61" i="135"/>
  <c r="AL60" i="135"/>
  <c r="AL59" i="135"/>
  <c r="AL58" i="135"/>
  <c r="AB73" i="135"/>
  <c r="AB76" i="135" s="1"/>
  <c r="AL57" i="135"/>
  <c r="AL56" i="135"/>
  <c r="Z73" i="135"/>
  <c r="AL54" i="135"/>
  <c r="AL53" i="135"/>
  <c r="AL52" i="135"/>
  <c r="AL51" i="135"/>
  <c r="AL50" i="135"/>
  <c r="AL49" i="135"/>
  <c r="N73" i="135"/>
  <c r="G73" i="135"/>
  <c r="AL44" i="135"/>
  <c r="AL43" i="135"/>
  <c r="AL42" i="135"/>
  <c r="AL41" i="135"/>
  <c r="AL40" i="135"/>
  <c r="AL39" i="135"/>
  <c r="AL38" i="135"/>
  <c r="AL36" i="135"/>
  <c r="AL35" i="135"/>
  <c r="AL34" i="135"/>
  <c r="AL33" i="135"/>
  <c r="J73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N101" i="128"/>
  <c r="M101" i="128"/>
  <c r="L101" i="128"/>
  <c r="K101" i="128"/>
  <c r="J101" i="128"/>
  <c r="I101" i="128"/>
  <c r="H101" i="128"/>
  <c r="G101" i="128"/>
  <c r="F101" i="128"/>
  <c r="E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M58" i="128"/>
  <c r="AV57" i="128"/>
  <c r="AU57" i="128"/>
  <c r="AT57" i="128"/>
  <c r="AS57" i="128"/>
  <c r="AR57" i="128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U20" i="128" s="1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Q36" i="128" l="1"/>
  <c r="X69" i="128"/>
  <c r="X104" i="128" s="1"/>
  <c r="W20" i="134" s="1"/>
  <c r="AB69" i="128"/>
  <c r="AB104" i="128" s="1"/>
  <c r="AA20" i="134" s="1"/>
  <c r="AK69" i="128"/>
  <c r="AK104" i="128" s="1"/>
  <c r="AJ20" i="134" s="1"/>
  <c r="AW32" i="128"/>
  <c r="AW40" i="128"/>
  <c r="AW48" i="128"/>
  <c r="AU56" i="128"/>
  <c r="AU44" i="128"/>
  <c r="AP60" i="128"/>
  <c r="AR60" i="128"/>
  <c r="AT60" i="128"/>
  <c r="AB170" i="135"/>
  <c r="X170" i="135"/>
  <c r="K170" i="135"/>
  <c r="AV60" i="128"/>
  <c r="AY58" i="128"/>
  <c r="AS68" i="128"/>
  <c r="AQ101" i="128"/>
  <c r="AY76" i="128"/>
  <c r="AY84" i="128"/>
  <c r="AY89" i="128"/>
  <c r="AY93" i="128"/>
  <c r="T170" i="135"/>
  <c r="R170" i="135"/>
  <c r="W170" i="135"/>
  <c r="Y170" i="135"/>
  <c r="AA170" i="135"/>
  <c r="AK170" i="135"/>
  <c r="AO48" i="128"/>
  <c r="E170" i="135"/>
  <c r="AY62" i="128"/>
  <c r="P69" i="128"/>
  <c r="P104" i="128" s="1"/>
  <c r="O20" i="134" s="1"/>
  <c r="N170" i="135"/>
  <c r="AQ56" i="128"/>
  <c r="AQ44" i="128"/>
  <c r="AY54" i="128"/>
  <c r="I69" i="128"/>
  <c r="I104" i="128" s="1"/>
  <c r="H20" i="134" s="1"/>
  <c r="AC69" i="128"/>
  <c r="AC104" i="128" s="1"/>
  <c r="AB20" i="134" s="1"/>
  <c r="F69" i="128"/>
  <c r="F104" i="128" s="1"/>
  <c r="E20" i="134" s="1"/>
  <c r="N69" i="128"/>
  <c r="N104" i="128" s="1"/>
  <c r="M20" i="134" s="1"/>
  <c r="V69" i="128"/>
  <c r="V104" i="128" s="1"/>
  <c r="U20" i="134" s="1"/>
  <c r="AH69" i="128"/>
  <c r="AH104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AY74" i="128"/>
  <c r="AY78" i="128"/>
  <c r="AY82" i="128"/>
  <c r="AY86" i="128"/>
  <c r="AY91" i="128"/>
  <c r="AY96" i="128"/>
  <c r="AY100" i="128"/>
  <c r="Q69" i="128"/>
  <c r="Q104" i="128" s="1"/>
  <c r="P20" i="134" s="1"/>
  <c r="Y69" i="128"/>
  <c r="Y104" i="128" s="1"/>
  <c r="X20" i="134" s="1"/>
  <c r="AL69" i="128"/>
  <c r="AL104" i="128" s="1"/>
  <c r="AK20" i="134" s="1"/>
  <c r="J69" i="128"/>
  <c r="J104" i="128" s="1"/>
  <c r="I20" i="134" s="1"/>
  <c r="R69" i="128"/>
  <c r="R104" i="128" s="1"/>
  <c r="Q20" i="134" s="1"/>
  <c r="AD69" i="128"/>
  <c r="AD104" i="128" s="1"/>
  <c r="AC20" i="134" s="1"/>
  <c r="O69" i="128"/>
  <c r="O104" i="128" s="1"/>
  <c r="N20" i="134" s="1"/>
  <c r="S69" i="128"/>
  <c r="S104" i="128" s="1"/>
  <c r="R20" i="134" s="1"/>
  <c r="W69" i="128"/>
  <c r="W104" i="128" s="1"/>
  <c r="V20" i="134" s="1"/>
  <c r="AE69" i="128"/>
  <c r="AE104" i="128" s="1"/>
  <c r="AD20" i="134" s="1"/>
  <c r="AI69" i="128"/>
  <c r="AI104" i="128" s="1"/>
  <c r="AH20" i="134" s="1"/>
  <c r="AO16" i="128"/>
  <c r="AU32" i="128"/>
  <c r="O170" i="135"/>
  <c r="S170" i="135"/>
  <c r="AC170" i="135"/>
  <c r="AG170" i="135"/>
  <c r="AH170" i="135"/>
  <c r="H170" i="135"/>
  <c r="P170" i="135"/>
  <c r="U170" i="135"/>
  <c r="AD170" i="135"/>
  <c r="AI170" i="135"/>
  <c r="AQ20" i="128"/>
  <c r="AQ32" i="128"/>
  <c r="AS36" i="128"/>
  <c r="AU52" i="128"/>
  <c r="AU64" i="128"/>
  <c r="I170" i="135"/>
  <c r="M170" i="135"/>
  <c r="Q170" i="135"/>
  <c r="V170" i="135"/>
  <c r="AE170" i="135"/>
  <c r="AJ170" i="135"/>
  <c r="M69" i="128"/>
  <c r="M104" i="128" s="1"/>
  <c r="L20" i="134" s="1"/>
  <c r="J170" i="135"/>
  <c r="K69" i="128"/>
  <c r="K104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AY99" i="128"/>
  <c r="G170" i="135"/>
  <c r="F170" i="135"/>
  <c r="G69" i="128"/>
  <c r="G104" i="128" s="1"/>
  <c r="F20" i="134" s="1"/>
  <c r="D170" i="135"/>
  <c r="AM20" i="128"/>
  <c r="E69" i="128"/>
  <c r="E104" i="128" s="1"/>
  <c r="D20" i="134" s="1"/>
  <c r="AM16" i="128"/>
  <c r="AL24" i="135"/>
  <c r="AO44" i="128"/>
  <c r="AY98" i="128"/>
  <c r="AS101" i="128"/>
  <c r="AY73" i="128"/>
  <c r="AY75" i="128"/>
  <c r="AY77" i="128"/>
  <c r="AY79" i="128"/>
  <c r="AY83" i="128"/>
  <c r="AY85" i="128"/>
  <c r="AY87" i="128"/>
  <c r="AY90" i="128"/>
  <c r="AY92" i="128"/>
  <c r="AY95" i="128"/>
  <c r="AY97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70" i="135" s="1"/>
  <c r="AL32" i="135"/>
  <c r="AL45" i="135"/>
  <c r="AL48" i="135"/>
  <c r="AL62" i="135"/>
  <c r="AL92" i="135"/>
  <c r="C112" i="135"/>
  <c r="C170" i="135" s="1"/>
  <c r="Z168" i="135"/>
  <c r="Z170" i="135" s="1"/>
  <c r="AF168" i="135"/>
  <c r="AF170" i="135" s="1"/>
  <c r="AL84" i="135"/>
  <c r="AL108" i="135"/>
  <c r="AL112" i="135" s="1"/>
  <c r="AL120" i="135"/>
  <c r="AL168" i="135" s="1"/>
  <c r="AQ12" i="128"/>
  <c r="AQ28" i="128"/>
  <c r="AU28" i="128"/>
  <c r="AM36" i="128"/>
  <c r="AM44" i="128"/>
  <c r="AM52" i="128"/>
  <c r="U69" i="128"/>
  <c r="AA69" i="128"/>
  <c r="AA104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4" i="128" s="1"/>
  <c r="K20" i="134" s="1"/>
  <c r="Z28" i="128"/>
  <c r="Z69" i="128" s="1"/>
  <c r="Z104" i="128" s="1"/>
  <c r="Y20" i="134" s="1"/>
  <c r="AJ28" i="128"/>
  <c r="AO28" i="128"/>
  <c r="AM31" i="128"/>
  <c r="AY37" i="128"/>
  <c r="AO39" i="128"/>
  <c r="AY39" i="128" s="1"/>
  <c r="H40" i="128"/>
  <c r="H69" i="128" s="1"/>
  <c r="H104" i="128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AF69" i="128"/>
  <c r="AF104" i="128" s="1"/>
  <c r="AE20" i="134" s="1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G20" i="134" l="1"/>
  <c r="AY101" i="128"/>
  <c r="AY64" i="128"/>
  <c r="AY52" i="128"/>
  <c r="AY41" i="128"/>
  <c r="AY44" i="128" s="1"/>
  <c r="AY16" i="128"/>
  <c r="AL93" i="135"/>
  <c r="AL73" i="135"/>
  <c r="AM28" i="128"/>
  <c r="AJ69" i="128"/>
  <c r="AJ104" i="128" s="1"/>
  <c r="AI20" i="134" s="1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AG104" i="128" s="1"/>
  <c r="AF20" i="134" s="1"/>
  <c r="U104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4" i="128"/>
  <c r="S20" i="134" s="1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G7177" i="158"/>
  <c r="AM70" i="128" l="1"/>
  <c r="AL170" i="135"/>
  <c r="AL172" i="135" s="1"/>
  <c r="AL173" i="135" s="1"/>
  <c r="AY28" i="128"/>
  <c r="AY69" i="128" s="1"/>
  <c r="AM69" i="128"/>
  <c r="AM104" i="128" s="1"/>
  <c r="H40" i="15" l="1"/>
  <c r="F7131" i="158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45" i="15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E6761" i="158" l="1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Q43" i="115" l="1"/>
  <c r="F48" i="115"/>
  <c r="N42" i="76"/>
  <c r="Q42" i="76"/>
  <c r="R42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42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E6233" i="158" l="1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49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26" i="134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E4265" i="158" l="1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47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D27" i="134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F552" i="158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L26" i="134" l="1"/>
  <c r="L30" i="134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30" i="134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E30" i="134" l="1"/>
  <c r="D28" i="134"/>
  <c r="D29" i="134"/>
  <c r="D30" i="134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M10" i="134" l="1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T20" i="134" l="1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T22" i="134"/>
  <c r="T33" i="134" s="1"/>
  <c r="T47" i="134" s="1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C22" i="159" l="1"/>
  <c r="C25" i="159"/>
  <c r="C26" i="159" l="1"/>
  <c r="AO102" i="128"/>
  <c r="AY102" i="128" s="1"/>
  <c r="AY104" i="128" s="1"/>
  <c r="C22" i="134"/>
  <c r="C33" i="134" s="1"/>
  <c r="C47" i="134" s="1"/>
  <c r="AN20" i="134" l="1"/>
  <c r="AX20" i="134" l="1"/>
  <c r="AN45" i="134"/>
  <c r="AP18" i="134" s="1"/>
  <c r="AN22" i="134"/>
  <c r="AN33" i="134" s="1"/>
  <c r="AP22" i="134" l="1"/>
  <c r="AP33" i="134" s="1"/>
  <c r="AP45" i="134"/>
  <c r="AR18" i="134" s="1"/>
  <c r="AN47" i="134"/>
  <c r="AX45" i="134"/>
  <c r="AX22" i="134"/>
  <c r="AX33" i="134" s="1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45" i="134" l="1"/>
  <c r="AV22" i="134"/>
  <c r="AV33" i="134" s="1"/>
  <c r="AT47" i="134"/>
  <c r="AV47" i="134" l="1"/>
  <c r="D3145" i="158" l="1"/>
</calcChain>
</file>

<file path=xl/comments1.xml><?xml version="1.0" encoding="utf-8"?>
<comments xmlns="http://schemas.openxmlformats.org/spreadsheetml/2006/main">
  <authors>
    <author>300-20K</author>
    <author>300-20</author>
  </authors>
  <commentList>
    <comment ref="T9" authorId="0">
      <text>
        <r>
          <rPr>
            <b/>
            <sz val="9"/>
            <color indexed="81"/>
            <rFont val="Tahoma"/>
            <charset val="1"/>
          </rPr>
          <t>SET 18 MEI + 17 MEI</t>
        </r>
      </text>
    </comment>
    <comment ref="S11" authorId="0">
      <text>
        <r>
          <rPr>
            <b/>
            <sz val="9"/>
            <color indexed="81"/>
            <rFont val="Tahoma"/>
            <charset val="1"/>
          </rPr>
          <t>SET KURSET 290422 +
SET KURSET 110522 BA A031</t>
        </r>
      </text>
    </comment>
    <comment ref="U15" authorId="0">
      <text>
        <r>
          <rPr>
            <b/>
            <sz val="9"/>
            <color indexed="81"/>
            <rFont val="Tahoma"/>
            <charset val="1"/>
          </rPr>
          <t xml:space="preserve">NK-LAINNYA KOR CASH 180522 BA A045 </t>
        </r>
      </text>
    </comment>
    <comment ref="V19" authorId="0">
      <text>
        <r>
          <rPr>
            <b/>
            <sz val="9"/>
            <color indexed="81"/>
            <rFont val="Tahoma"/>
            <charset val="1"/>
          </rPr>
          <t>PSIKOTES RINA +
PSIKOTES ANI FUAD</t>
        </r>
      </text>
    </comment>
    <comment ref="D23" authorId="1">
      <text>
        <r>
          <rPr>
            <b/>
            <sz val="9"/>
            <color indexed="81"/>
            <rFont val="Tahoma"/>
            <family val="2"/>
          </rPr>
          <t xml:space="preserve">SISA MNP ENTERTAIN JAN-MAR </t>
        </r>
      </text>
    </comment>
    <comment ref="L23" authorId="1">
      <text>
        <r>
          <rPr>
            <b/>
            <sz val="9"/>
            <color indexed="81"/>
            <rFont val="Tahoma"/>
            <family val="2"/>
          </rPr>
          <t>ABP DN 1027</t>
        </r>
      </text>
    </comment>
    <comment ref="Z23" authorId="0">
      <text>
        <r>
          <rPr>
            <b/>
            <sz val="9"/>
            <color indexed="81"/>
            <rFont val="Tahoma"/>
            <charset val="1"/>
          </rPr>
          <t>ABP DN 1673, MBR DN 795</t>
        </r>
      </text>
    </comment>
    <comment ref="AB23" authorId="0">
      <text>
        <r>
          <rPr>
            <b/>
            <sz val="9"/>
            <color indexed="81"/>
            <rFont val="Tahoma"/>
            <charset val="1"/>
          </rPr>
          <t>MIN DN 736</t>
        </r>
      </text>
    </comment>
    <comment ref="D27" authorId="1">
      <text>
        <r>
          <rPr>
            <b/>
            <sz val="9"/>
            <color indexed="81"/>
            <rFont val="Tahoma"/>
            <family val="2"/>
          </rPr>
          <t xml:space="preserve">SISA FBI GIMIK BISKUIT +
SISA MTI FBI APR +
</t>
        </r>
      </text>
    </comment>
    <comment ref="O27" authorId="0">
      <text>
        <r>
          <rPr>
            <b/>
            <sz val="9"/>
            <color indexed="81"/>
            <rFont val="Tahoma"/>
            <charset val="1"/>
          </rPr>
          <t>SISA FBI MTI APR +
SISA FBI LUCKY DIP RAMADHAN +
GANTI DN 1342, 1310, 1475, 1309, 1304, 1409 KLAIM</t>
        </r>
      </text>
    </comment>
    <comment ref="T27" authorId="0">
      <text>
        <r>
          <rPr>
            <b/>
            <sz val="9"/>
            <color indexed="81"/>
            <rFont val="Tahoma"/>
            <charset val="1"/>
          </rPr>
          <t>EIT DN 1574, MBR FS DN 1579, MBR DN 1446</t>
        </r>
      </text>
    </comment>
    <comment ref="AA27" authorId="0">
      <text>
        <r>
          <rPr>
            <b/>
            <sz val="9"/>
            <color indexed="81"/>
            <rFont val="Tahoma"/>
            <charset val="1"/>
          </rPr>
          <t>MIN DN 1260</t>
        </r>
      </text>
    </comment>
    <comment ref="AD27" authorId="0">
      <text>
        <r>
          <rPr>
            <b/>
            <sz val="9"/>
            <color indexed="81"/>
            <rFont val="Tahoma"/>
            <charset val="1"/>
          </rPr>
          <t>MIN DN 798, 926</t>
        </r>
      </text>
    </comment>
    <comment ref="O31" authorId="0">
      <text>
        <r>
          <rPr>
            <b/>
            <sz val="9"/>
            <color indexed="81"/>
            <rFont val="Tahoma"/>
            <charset val="1"/>
          </rPr>
          <t>SISA PROG FBI MTI APR  +
SISA FBI LUCKY DIP RAMADHAN +
SISA JPA REST AREA BANJARATMA</t>
        </r>
      </text>
    </comment>
    <comment ref="S31" authorId="0">
      <text>
        <r>
          <rPr>
            <b/>
            <sz val="9"/>
            <color indexed="81"/>
            <rFont val="Tahoma"/>
            <charset val="1"/>
          </rPr>
          <t>EB DN 681</t>
        </r>
      </text>
    </comment>
    <comment ref="M35" authorId="1">
      <text>
        <r>
          <rPr>
            <b/>
            <sz val="9"/>
            <color indexed="81"/>
            <rFont val="Tahoma"/>
            <family val="2"/>
          </rPr>
          <t>SET KURSET 300422</t>
        </r>
      </text>
    </comment>
    <comment ref="M39" authorId="1">
      <text>
        <r>
          <rPr>
            <b/>
            <sz val="9"/>
            <color indexed="81"/>
            <rFont val="Tahoma"/>
            <family val="2"/>
          </rPr>
          <t>MBR DN 588</t>
        </r>
      </text>
    </comment>
    <comment ref="AA39" authorId="0">
      <text>
        <r>
          <rPr>
            <b/>
            <sz val="9"/>
            <color indexed="81"/>
            <rFont val="Tahoma"/>
            <charset val="1"/>
          </rPr>
          <t>MBR DN 608</t>
        </r>
      </text>
    </comment>
    <comment ref="AK41" authorId="1">
      <text/>
    </comment>
    <comment ref="L43" authorId="0">
      <text>
        <r>
          <rPr>
            <b/>
            <sz val="9"/>
            <color indexed="81"/>
            <rFont val="Tahoma"/>
            <charset val="1"/>
          </rPr>
          <t>SISA PROG FBI LUCKY DIP RAMADHAN</t>
        </r>
      </text>
    </comment>
    <comment ref="V43" authorId="0">
      <text>
        <r>
          <rPr>
            <b/>
            <sz val="9"/>
            <color indexed="81"/>
            <rFont val="Tahoma"/>
            <charset val="1"/>
          </rPr>
          <t>KLAIM FBI DN 632, 634, 636, 613, 615</t>
        </r>
      </text>
    </comment>
    <comment ref="S47" authorId="0">
      <text>
        <r>
          <rPr>
            <b/>
            <sz val="9"/>
            <color indexed="81"/>
            <rFont val="Tahoma"/>
            <charset val="1"/>
          </rPr>
          <t>ITF DN 849 +
MBR DN 858</t>
        </r>
      </text>
    </comment>
    <comment ref="U47" authorId="0">
      <text>
        <r>
          <rPr>
            <b/>
            <sz val="9"/>
            <color indexed="81"/>
            <rFont val="Tahoma"/>
            <charset val="1"/>
          </rPr>
          <t>SISA TT AKI H 1318 SW +
SISA FBI MTI GIMIK</t>
        </r>
      </text>
    </comment>
    <comment ref="AA47" authorId="0">
      <text>
        <r>
          <rPr>
            <b/>
            <sz val="9"/>
            <color indexed="81"/>
            <rFont val="Tahoma"/>
            <charset val="1"/>
          </rPr>
          <t>SET KURSET 190522</t>
        </r>
      </text>
    </comment>
    <comment ref="P51" authorId="0">
      <text>
        <r>
          <rPr>
            <b/>
            <sz val="9"/>
            <color indexed="81"/>
            <rFont val="Tahoma"/>
            <charset val="1"/>
          </rPr>
          <t>EIT DN 1209
DN 1183, 1185 RAU</t>
        </r>
      </text>
    </comment>
    <comment ref="AB51" authorId="0">
      <text>
        <r>
          <rPr>
            <b/>
            <sz val="9"/>
            <color indexed="81"/>
            <rFont val="Tahoma"/>
            <charset val="1"/>
          </rPr>
          <t>PPH MNP, ABP +
PPH ABP</t>
        </r>
      </text>
    </comment>
    <comment ref="M55" authorId="0">
      <text>
        <r>
          <rPr>
            <b/>
            <sz val="9"/>
            <color indexed="81"/>
            <rFont val="Tahoma"/>
            <charset val="1"/>
          </rPr>
          <t>SISA PROG FBI BELI HADIAH EMAS</t>
        </r>
      </text>
    </comment>
    <comment ref="O55" authorId="0">
      <text>
        <r>
          <rPr>
            <b/>
            <sz val="9"/>
            <color indexed="81"/>
            <rFont val="Tahoma"/>
            <charset val="1"/>
          </rPr>
          <t>GANTI DN 806, 958, 1001, 1004</t>
        </r>
      </text>
    </comment>
    <comment ref="S55" authorId="0">
      <text>
        <r>
          <rPr>
            <b/>
            <sz val="9"/>
            <color indexed="81"/>
            <rFont val="Tahoma"/>
            <charset val="1"/>
          </rPr>
          <t>FBI DN 1023</t>
        </r>
      </text>
    </comment>
    <comment ref="AC85" authorId="0">
      <text>
        <r>
          <rPr>
            <b/>
            <sz val="9"/>
            <color indexed="81"/>
            <rFont val="Tahoma"/>
            <charset val="1"/>
          </rPr>
          <t>SLS PPH MBR PURCILAKEB</t>
        </r>
      </text>
    </comment>
    <comment ref="D102" authorId="1">
      <text>
        <r>
          <rPr>
            <b/>
            <sz val="9"/>
            <color indexed="81"/>
            <rFont val="Tahoma"/>
            <family val="2"/>
          </rPr>
          <t>RIANDO /
SISA STNK APR +
RIANDO / 
SISA 3 PARCEL</t>
        </r>
      </text>
    </comment>
  </commentList>
</comments>
</file>

<file path=xl/comments10.xml><?xml version="1.0" encoding="utf-8"?>
<comments xmlns="http://schemas.openxmlformats.org/spreadsheetml/2006/main">
  <authors>
    <author>300-20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CE26" authorId="0">
      <text>
        <r>
          <rPr>
            <b/>
            <sz val="9"/>
            <color indexed="81"/>
            <rFont val="Tahoma"/>
            <family val="2"/>
          </rPr>
          <t>PEMBETULAN 1</t>
        </r>
      </text>
    </comment>
    <comment ref="CU26" authorId="0">
      <text>
        <r>
          <rPr>
            <b/>
            <sz val="9"/>
            <color indexed="81"/>
            <rFont val="Tahoma"/>
            <family val="2"/>
          </rPr>
          <t>100 PEMBETULAN 0 +
 104 PEMBETULAN 0</t>
        </r>
      </text>
    </comment>
    <comment ref="CU27" authorId="0">
      <text>
        <r>
          <rPr>
            <b/>
            <sz val="9"/>
            <color indexed="81"/>
            <rFont val="Tahoma"/>
            <family val="2"/>
          </rPr>
          <t xml:space="preserve">NOMINATIF 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100 +
104</t>
        </r>
      </text>
    </comment>
    <comment ref="W38" authorId="0">
      <text>
        <r>
          <rPr>
            <b/>
            <sz val="9"/>
            <color indexed="81"/>
            <rFont val="Tahoma"/>
            <family val="2"/>
          </rPr>
          <t xml:space="preserve">PPH 23 MAR '22 (100) +
PPH 23 MAR '22 (104)
</t>
        </r>
      </text>
    </comment>
    <comment ref="AC38" authorId="0">
      <text>
        <r>
          <rPr>
            <b/>
            <sz val="9"/>
            <color indexed="81"/>
            <rFont val="Tahoma"/>
            <charset val="1"/>
          </rPr>
          <t xml:space="preserve">PPH 21 APR + THR APR 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11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comments12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3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300-20K</author>
    <author>300-20</author>
  </authors>
  <commentList>
    <comment ref="R31" authorId="0">
      <text>
        <r>
          <rPr>
            <b/>
            <sz val="9"/>
            <color indexed="81"/>
            <rFont val="Tahoma"/>
            <charset val="1"/>
          </rPr>
          <t>CBD</t>
        </r>
      </text>
    </comment>
    <comment ref="L45" authorId="1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L46" authorId="1">
      <text>
        <r>
          <rPr>
            <b/>
            <sz val="9"/>
            <color indexed="81"/>
            <rFont val="Tahoma"/>
            <family val="2"/>
          </rPr>
          <t>-DISKON 2%</t>
        </r>
      </text>
    </comment>
    <comment ref="R46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R47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S47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T47" authorId="0">
      <text>
        <r>
          <rPr>
            <b/>
            <sz val="9"/>
            <color indexed="81"/>
            <rFont val="Tahoma"/>
            <charset val="1"/>
          </rPr>
          <t>-DISKON 2%</t>
        </r>
      </text>
    </comment>
    <comment ref="R48" authorId="0">
      <text>
        <r>
          <rPr>
            <b/>
            <sz val="9"/>
            <color indexed="81"/>
            <rFont val="Tahoma"/>
            <charset val="1"/>
          </rPr>
          <t>POT RETUR</t>
        </r>
      </text>
    </comment>
    <comment ref="J52" authorId="1">
      <text>
        <r>
          <rPr>
            <b/>
            <sz val="9"/>
            <color indexed="81"/>
            <rFont val="Tahoma"/>
            <family val="2"/>
          </rPr>
          <t>SELISIH HARGA GT MT JAN-MAR '22</t>
        </r>
      </text>
    </comment>
    <comment ref="R52" authorId="0">
      <text>
        <r>
          <rPr>
            <b/>
            <sz val="9"/>
            <color indexed="81"/>
            <rFont val="Tahoma"/>
            <charset val="1"/>
          </rPr>
          <t>SLS HARGA KANVAS MIN JAN-MAR '22</t>
        </r>
      </text>
    </comment>
    <comment ref="A61" authorId="1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2" authorId="1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3" authorId="1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K92" authorId="1">
      <text>
        <r>
          <rPr>
            <b/>
            <sz val="9"/>
            <color indexed="81"/>
            <rFont val="Tahoma"/>
            <charset val="1"/>
          </rPr>
          <t>KARYAWAN HO /
T LK APR '22</t>
        </r>
      </text>
    </comment>
    <comment ref="R92" authorId="0">
      <text>
        <r>
          <rPr>
            <b/>
            <sz val="9"/>
            <color indexed="81"/>
            <rFont val="Tahoma"/>
            <charset val="1"/>
          </rPr>
          <t>FAUJI /
UM 2 UNT SWITCHUB UTK CB , IT +
UM 4 UNT USB TO RJ45 UTK IT, CA</t>
        </r>
      </text>
    </comment>
    <comment ref="J100" authorId="1">
      <text>
        <r>
          <rPr>
            <b/>
            <sz val="9"/>
            <color indexed="81"/>
            <rFont val="Tahoma"/>
            <charset val="1"/>
          </rPr>
          <t>INC SLM YUPI MAR +
INC SLM YUPI Q1 (JAN, FEB, MAR)</t>
        </r>
      </text>
    </comment>
    <comment ref="R100" authorId="0">
      <text>
        <r>
          <rPr>
            <b/>
            <sz val="9"/>
            <color indexed="81"/>
            <rFont val="Tahoma"/>
            <charset val="1"/>
          </rPr>
          <t xml:space="preserve">BY LEMBUR LEBARAN 2-7 MEI </t>
        </r>
      </text>
    </comment>
    <comment ref="AB100" authorId="0">
      <text>
        <r>
          <rPr>
            <b/>
            <sz val="9"/>
            <color indexed="81"/>
            <rFont val="Tahoma"/>
            <charset val="1"/>
          </rPr>
          <t>INC DROP &amp; GUD W 1-2 APR +</t>
        </r>
      </text>
    </comment>
    <comment ref="J101" authorId="1">
      <text>
        <r>
          <rPr>
            <b/>
            <sz val="9"/>
            <color indexed="81"/>
            <rFont val="Tahoma"/>
            <family val="2"/>
          </rPr>
          <t xml:space="preserve">INC SLM YUPI MAR '22 +
INC SLM YUPI Q1 '22 (JAN, FEB, MAR) +
INC SLM FBI DES '21 +
INC SLM FBI Q1 (AGT-OKT '21) +
</t>
        </r>
      </text>
    </comment>
    <comment ref="AB101" authorId="0">
      <text>
        <r>
          <rPr>
            <b/>
            <sz val="9"/>
            <color indexed="81"/>
            <rFont val="Tahoma"/>
            <charset val="1"/>
          </rPr>
          <t>INC DROP &amp; GUD W 1-2 APR +
INC MTRS YUPI APR +</t>
        </r>
      </text>
    </comment>
    <comment ref="J102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R102" authorId="0">
      <text>
        <r>
          <rPr>
            <b/>
            <sz val="9"/>
            <color indexed="81"/>
            <rFont val="Tahoma"/>
            <charset val="1"/>
          </rPr>
          <t>BY PSIKOTES AN ANI FUAD KANDIDAT KEP GDG +
BY PSIKOTES AN RINA A KANDIDAT SPV MIX +
SERVICE H 1608 NW +
BY LEMBUR LEBARAN 2-7 MEI SATPAM</t>
        </r>
      </text>
    </comment>
    <comment ref="AB102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</t>
        </r>
      </text>
    </comment>
    <comment ref="J103" authorId="1">
      <text>
        <r>
          <rPr>
            <b/>
            <sz val="9"/>
            <color indexed="81"/>
            <rFont val="Tahoma"/>
            <family val="2"/>
          </rPr>
          <t>INC SLM YUPI MAR '22 +
INC SLM YUPI Q1 '22 (JAN, FEB, MAR)</t>
        </r>
      </text>
    </comment>
    <comment ref="R103" authorId="0">
      <text>
        <r>
          <rPr>
            <b/>
            <sz val="9"/>
            <color indexed="81"/>
            <rFont val="Tahoma"/>
            <charset val="1"/>
          </rPr>
          <t>PERBAIKAN DAUN PER H 1646 TY +
BY LEMBUR LEBARAN 2-7 MEI</t>
        </r>
      </text>
    </comment>
    <comment ref="AB103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GAJI RESIGN 26 APR-14 MEI AN POPO H+
BUAT DAK KAYU GUDANG +
SERVICE MOBIL BR H 8972 JY </t>
        </r>
      </text>
    </comment>
    <comment ref="J104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R104" authorId="0">
      <text>
        <r>
          <rPr>
            <b/>
            <sz val="9"/>
            <color indexed="81"/>
            <rFont val="Tahoma"/>
            <charset val="1"/>
          </rPr>
          <t>PROGRAM FBI MTI MEI '22</t>
        </r>
      </text>
    </comment>
    <comment ref="X104" authorId="0">
      <text>
        <r>
          <rPr>
            <b/>
            <sz val="9"/>
            <color indexed="81"/>
            <rFont val="Tahoma"/>
            <charset val="1"/>
          </rPr>
          <t xml:space="preserve">TT 1 AKI H 1732 PY </t>
        </r>
      </text>
    </comment>
    <comment ref="AB104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</t>
        </r>
      </text>
    </comment>
    <comment ref="J105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M105" authorId="0">
      <text>
        <r>
          <rPr>
            <b/>
            <sz val="9"/>
            <color indexed="81"/>
            <rFont val="Tahoma"/>
            <charset val="1"/>
          </rPr>
          <t xml:space="preserve">4 UNT RODA HANDPALLET </t>
        </r>
      </text>
    </comment>
    <comment ref="R105" authorId="0">
      <text>
        <r>
          <rPr>
            <b/>
            <sz val="9"/>
            <color indexed="81"/>
            <rFont val="Tahoma"/>
            <charset val="1"/>
          </rPr>
          <t xml:space="preserve">PROGRAM FBI MTI MEI </t>
        </r>
      </text>
    </comment>
    <comment ref="T105" authorId="0">
      <text>
        <r>
          <rPr>
            <b/>
            <sz val="9"/>
            <color indexed="81"/>
            <rFont val="Tahoma"/>
            <charset val="1"/>
          </rPr>
          <t>LEMBUR LEBARAN 2-7 MEI</t>
        </r>
      </text>
    </comment>
    <comment ref="X105" authorId="0">
      <text>
        <r>
          <rPr>
            <b/>
            <sz val="9"/>
            <color indexed="81"/>
            <rFont val="Tahoma"/>
            <charset val="1"/>
          </rPr>
          <t>GAJI EVENT JPA RES AREA 28 APR-7 MEI</t>
        </r>
      </text>
    </comment>
    <comment ref="AB105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INC MTRS YUPI APR +
SERVICE H 1354 SW </t>
        </r>
      </text>
    </comment>
    <comment ref="J106" authorId="1">
      <text>
        <r>
          <rPr>
            <b/>
            <sz val="9"/>
            <color indexed="81"/>
            <rFont val="Tahoma"/>
            <charset val="1"/>
          </rPr>
          <t>INC SLM FBI DES '21 +
INC SLM FBI Q1 (AGT-OKT '21) +
INC SLM YUPI MAR '22 +
INC SLM YUPI Q1 '22 (JAN, FEB, MAR)</t>
        </r>
      </text>
    </comment>
    <comment ref="T106" authorId="0">
      <text>
        <r>
          <rPr>
            <b/>
            <sz val="9"/>
            <color indexed="81"/>
            <rFont val="Tahoma"/>
            <charset val="1"/>
          </rPr>
          <t>LEMBUR LEBARAN 2-7 MEI</t>
        </r>
      </text>
    </comment>
    <comment ref="AB106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</t>
        </r>
      </text>
    </comment>
    <comment ref="J107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AB107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</t>
        </r>
      </text>
    </comment>
    <comment ref="J108" authorId="1">
      <text>
        <r>
          <rPr>
            <b/>
            <sz val="9"/>
            <color indexed="81"/>
            <rFont val="Tahoma"/>
            <family val="2"/>
          </rPr>
          <t>INC SLM FBI DES '21 +
INC SLM YUPI MAR '22 +
INC SLM YUPI Q1 '22 (JAN, FEB, MAR)</t>
        </r>
      </text>
    </comment>
    <comment ref="AB108" authorId="0">
      <text>
        <r>
          <rPr>
            <b/>
            <sz val="9"/>
            <color indexed="81"/>
            <rFont val="Tahoma"/>
            <charset val="1"/>
          </rPr>
          <t>INC DROP &amp; GUD W 1-2 APR +
INC MTRS YUPI APR +</t>
        </r>
      </text>
    </comment>
    <comment ref="J109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N109" authorId="0">
      <text>
        <r>
          <rPr>
            <b/>
            <sz val="9"/>
            <color indexed="81"/>
            <rFont val="Tahoma"/>
            <charset val="1"/>
          </rPr>
          <t>TUKAR TAMBAH 2 UNT AKI H 1318 SW</t>
        </r>
      </text>
    </comment>
    <comment ref="T109" authorId="0">
      <text>
        <r>
          <rPr>
            <b/>
            <sz val="9"/>
            <color indexed="81"/>
            <rFont val="Tahoma"/>
            <charset val="1"/>
          </rPr>
          <t>LEMBUR LEBARAN 2-7 MEI</t>
        </r>
      </text>
    </comment>
    <comment ref="AB109" authorId="0">
      <text>
        <r>
          <rPr>
            <b/>
            <sz val="9"/>
            <color indexed="81"/>
            <rFont val="Tahoma"/>
            <charset val="1"/>
          </rPr>
          <t>INC DROP &amp; GUD W 1-2 APR +
INC MTRS YUPI APR +</t>
        </r>
      </text>
    </comment>
    <comment ref="J110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R110" authorId="0">
      <text>
        <r>
          <rPr>
            <b/>
            <sz val="9"/>
            <color indexed="81"/>
            <rFont val="Tahoma"/>
            <charset val="1"/>
          </rPr>
          <t xml:space="preserve">BELI KARANGAN BUNGA MAMA BAKERY +
GAJI SPG AI APR </t>
        </r>
      </text>
    </comment>
    <comment ref="T110" authorId="0">
      <text>
        <r>
          <rPr>
            <b/>
            <sz val="9"/>
            <color indexed="81"/>
            <rFont val="Tahoma"/>
            <charset val="1"/>
          </rPr>
          <t>LEMBUR LEBARAN 2-7 MEI +
NUMPANG UJI &amp; KIR</t>
        </r>
      </text>
    </comment>
    <comment ref="AB110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INC MTRS YUPI APR +
</t>
        </r>
      </text>
    </comment>
    <comment ref="J111" authorId="1">
      <text>
        <r>
          <rPr>
            <b/>
            <sz val="9"/>
            <color indexed="81"/>
            <rFont val="Tahoma"/>
            <family val="2"/>
          </rPr>
          <t>INC SLM FBI DES '21 +
INC SLM FBI Q1 (AGT-OKT '21) +
INC SLM YUPI MAR '22 +
INC SLM YUPI Q1 '22 (JAN, FEB, MAR)</t>
        </r>
      </text>
    </comment>
    <comment ref="R111" authorId="0">
      <text>
        <r>
          <rPr>
            <b/>
            <sz val="9"/>
            <color indexed="81"/>
            <rFont val="Tahoma"/>
            <charset val="1"/>
          </rPr>
          <t>BY LENBUR LEBARAN 2-7 MEI +
BY INC APR SECURITY +
INC SLM SUBSIDI FBI APR +
PROGRAM MNP ENTERTAIN JAN-MAR</t>
        </r>
      </text>
    </comment>
    <comment ref="AB111" authorId="0">
      <text>
        <r>
          <rPr>
            <b/>
            <sz val="9"/>
            <color indexed="81"/>
            <rFont val="Tahoma"/>
            <charset val="1"/>
          </rPr>
          <t xml:space="preserve">INC DROP &amp; GUD W 1-2 APR +
INC MTRS YUPI APR +
KOPERASI DEPO MEI </t>
        </r>
      </text>
    </comment>
    <comment ref="J118" authorId="1">
      <text>
        <r>
          <rPr>
            <b/>
            <sz val="9"/>
            <color indexed="81"/>
            <rFont val="Tahoma"/>
            <family val="2"/>
          </rPr>
          <t>25 APR - 30 apr</t>
        </r>
      </text>
    </comment>
    <comment ref="R118" authorId="0">
      <text>
        <r>
          <rPr>
            <b/>
            <sz val="9"/>
            <color indexed="81"/>
            <rFont val="Tahoma"/>
            <charset val="1"/>
          </rPr>
          <t>09 MEI - 14 MEI</t>
        </r>
      </text>
    </comment>
    <comment ref="X118" authorId="0">
      <text>
        <r>
          <rPr>
            <b/>
            <sz val="9"/>
            <color indexed="81"/>
            <rFont val="Tahoma"/>
            <charset val="1"/>
          </rPr>
          <t>16 MEI - 21 MEI</t>
        </r>
      </text>
    </comment>
    <comment ref="R120" authorId="0">
      <text>
        <r>
          <rPr>
            <b/>
            <sz val="9"/>
            <color indexed="81"/>
            <rFont val="Tahoma"/>
            <charset val="1"/>
          </rPr>
          <t>LEASING KE 7 MOBIL XENIA NO 004 +
LEASING KE 7 MOBIL XENIA NO 004 +
LEASING KE 7 MOBIL XENIA NO 004 +
LEASING KE 7 MOBIL TERIOS NO 003</t>
        </r>
      </text>
    </comment>
    <comment ref="AB120" authorId="0">
      <text>
        <r>
          <rPr>
            <b/>
            <sz val="9"/>
            <color indexed="81"/>
            <rFont val="Tahoma"/>
            <charset val="1"/>
          </rPr>
          <t>SWADHARMA /
ANGS KE 26 SIGRA XENIA + 
DIPO STAR /
ANGS KE 33 11 UNT+8 UNT+3 UNT</t>
        </r>
      </text>
    </comment>
    <comment ref="AB122" authorId="0">
      <text>
        <r>
          <rPr>
            <b/>
            <sz val="9"/>
            <color indexed="81"/>
            <rFont val="Tahoma"/>
            <charset val="1"/>
          </rPr>
          <t>JAMSOSTEK MEI '22</t>
        </r>
      </text>
    </comment>
    <comment ref="K123" authorId="1">
      <text>
        <r>
          <rPr>
            <b/>
            <sz val="9"/>
            <color indexed="81"/>
            <rFont val="Tahoma"/>
            <charset val="1"/>
          </rPr>
          <t>BPJS KESEHATAN MSS YK MEI '22 +
BPJS KESEHATAN MSS HO MEI '22</t>
        </r>
      </text>
    </comment>
    <comment ref="Y124" authorId="0">
      <text>
        <r>
          <rPr>
            <b/>
            <sz val="9"/>
            <color indexed="81"/>
            <rFont val="Tahoma"/>
            <charset val="1"/>
          </rPr>
          <t xml:space="preserve">PPN APR </t>
        </r>
      </text>
    </comment>
    <comment ref="J125" authorId="1">
      <text>
        <r>
          <rPr>
            <b/>
            <sz val="9"/>
            <color indexed="81"/>
            <rFont val="Tahoma"/>
            <charset val="1"/>
          </rPr>
          <t>PPH PS 21 APR '22 +
PPH PS 21 THR APR '22</t>
        </r>
      </text>
    </comment>
    <comment ref="K126" authorId="1">
      <text>
        <r>
          <rPr>
            <b/>
            <sz val="9"/>
            <color indexed="81"/>
            <rFont val="Tahoma"/>
            <charset val="1"/>
          </rPr>
          <t>PPH 23 APR '22</t>
        </r>
      </text>
    </comment>
    <comment ref="J127" authorId="1">
      <text>
        <r>
          <rPr>
            <b/>
            <sz val="9"/>
            <color indexed="81"/>
            <rFont val="Tahoma"/>
            <charset val="1"/>
          </rPr>
          <t xml:space="preserve">PPH PS 25 APR </t>
        </r>
      </text>
    </comment>
    <comment ref="K130" authorId="1">
      <text>
        <r>
          <rPr>
            <b/>
            <sz val="9"/>
            <color indexed="81"/>
            <rFont val="Tahoma"/>
            <family val="2"/>
          </rPr>
          <t xml:space="preserve">BUNGA ULANG BULAN </t>
        </r>
      </text>
    </comment>
    <comment ref="L130" authorId="1">
      <text>
        <r>
          <rPr>
            <b/>
            <sz val="9"/>
            <color indexed="81"/>
            <rFont val="Tahoma"/>
            <family val="2"/>
          </rPr>
          <t xml:space="preserve">BUNGA PELUNASAN </t>
        </r>
      </text>
    </comment>
    <comment ref="J138" authorId="1">
      <text>
        <r>
          <rPr>
            <b/>
            <sz val="9"/>
            <color indexed="81"/>
            <rFont val="Tahoma"/>
            <family val="2"/>
          </rPr>
          <t>BUNGA DIFI MIN NIAGA APR '22</t>
        </r>
      </text>
    </comment>
    <comment ref="J139" authorId="1">
      <text>
        <r>
          <rPr>
            <b/>
            <sz val="9"/>
            <color indexed="81"/>
            <rFont val="Tahoma"/>
            <family val="2"/>
          </rPr>
          <t>BUNGA DIFI YIJG NIAGA APR '22</t>
        </r>
      </text>
    </comment>
    <comment ref="Z140" authorId="0">
      <text>
        <r>
          <rPr>
            <b/>
            <sz val="9"/>
            <color indexed="81"/>
            <rFont val="Tahoma"/>
            <charset val="1"/>
          </rPr>
          <t>WEKO A /
PK AN WEKO A POT GAJI PER JUN @1 JT</t>
        </r>
      </text>
    </comment>
    <comment ref="AB140" authorId="0">
      <text>
        <r>
          <rPr>
            <b/>
            <sz val="9"/>
            <color indexed="81"/>
            <rFont val="Tahoma"/>
            <charset val="1"/>
          </rPr>
          <t>RAKHMAT K /
PINJAMAN UTK PERJALANAN DUKA CITA POT GAJI</t>
        </r>
      </text>
    </comment>
    <comment ref="S141" authorId="0">
      <text>
        <r>
          <rPr>
            <b/>
            <sz val="9"/>
            <color indexed="81"/>
            <rFont val="Tahoma"/>
            <charset val="1"/>
          </rPr>
          <t>ABDA /
PERPANJANGAN PER MEI 2022 - MEI 2023 (H 9406 RY, H 8401 BY)</t>
        </r>
      </text>
    </comment>
    <comment ref="AB141" authorId="0">
      <text>
        <r>
          <rPr>
            <b/>
            <sz val="9"/>
            <color indexed="81"/>
            <rFont val="Tahoma"/>
            <charset val="1"/>
          </rPr>
          <t>ABDA /
PERPANJANGAN ABDA MEI 2022 - MEI 2023 D 1553 BJ</t>
        </r>
      </text>
    </comment>
    <comment ref="K143" authorId="0">
      <text>
        <r>
          <rPr>
            <b/>
            <sz val="9"/>
            <color indexed="81"/>
            <rFont val="Tahoma"/>
            <charset val="1"/>
          </rPr>
          <t>SULISTIYATI /
UM PERPANJANG STNK H 1583 UW MMJP  +
RIANDO / 
UM PERPANJANG STNK TAHUNAN MEI '22 +
SULISTIYATI / 
UM PERPANJANG STNK 5 TAHUNAN MEI '22</t>
        </r>
      </text>
    </comment>
    <comment ref="M144" authorId="0">
      <text>
        <r>
          <rPr>
            <b/>
            <sz val="9"/>
            <color indexed="81"/>
            <rFont val="Tahoma"/>
            <charset val="1"/>
          </rPr>
          <t>VINO MOTOR /
SERVICE H 8850 LY TEGAL</t>
        </r>
      </text>
    </comment>
    <comment ref="X144" authorId="0">
      <text>
        <r>
          <rPr>
            <b/>
            <sz val="9"/>
            <color indexed="81"/>
            <rFont val="Tahoma"/>
            <charset val="1"/>
          </rPr>
          <t xml:space="preserve">BENGKEL AGUNG JAYA / HERWANTO -
SERVICE H 1608 SY, H 1730 PY, H 1431 MW TEGAL
</t>
        </r>
      </text>
    </comment>
    <comment ref="AB146" authorId="0">
      <text>
        <r>
          <rPr>
            <b/>
            <sz val="9"/>
            <color indexed="81"/>
            <rFont val="Tahoma"/>
            <charset val="1"/>
          </rPr>
          <t xml:space="preserve">SINAR BAKTI / M AGUS MUNADI - 
ATK PANTASEL HO MEI </t>
        </r>
      </text>
    </comment>
    <comment ref="R147" authorId="0">
      <text>
        <r>
          <rPr>
            <b/>
            <sz val="9"/>
            <color indexed="81"/>
            <rFont val="Tahoma"/>
            <charset val="1"/>
          </rPr>
          <t xml:space="preserve">HIPERLINK / ARIF NUR M -
CETAKAN APR 
</t>
        </r>
      </text>
    </comment>
    <comment ref="R148" authorId="0">
      <text>
        <r>
          <rPr>
            <b/>
            <sz val="9"/>
            <color indexed="81"/>
            <rFont val="Tahoma"/>
            <charset val="1"/>
          </rPr>
          <t xml:space="preserve">MATERAI 350 PCS MEI </t>
        </r>
      </text>
    </comment>
    <comment ref="T148" authorId="0">
      <text>
        <r>
          <rPr>
            <b/>
            <sz val="9"/>
            <color indexed="81"/>
            <rFont val="Tahoma"/>
            <charset val="1"/>
          </rPr>
          <t xml:space="preserve">LISTRIK MSS SMG MEI +
LISTRIK MSS YK MEI </t>
        </r>
      </text>
    </comment>
    <comment ref="T149" authorId="0">
      <text>
        <r>
          <rPr>
            <b/>
            <sz val="9"/>
            <color indexed="81"/>
            <rFont val="Tahoma"/>
            <charset val="1"/>
          </rPr>
          <t>PT UDM /
FC SMG APR + 
PT UDM /
KB FC PATI FEB</t>
        </r>
      </text>
    </comment>
    <comment ref="U149" authorId="0">
      <text>
        <r>
          <rPr>
            <b/>
            <sz val="9"/>
            <color indexed="81"/>
            <rFont val="Tahoma"/>
            <charset val="1"/>
          </rPr>
          <t>PT UDM /
FC PATI MAR</t>
        </r>
      </text>
    </comment>
    <comment ref="Z149" authorId="0">
      <text>
        <r>
          <rPr>
            <b/>
            <sz val="9"/>
            <color indexed="81"/>
            <rFont val="Tahoma"/>
            <charset val="1"/>
          </rPr>
          <t>PT UDM /
FC MSS HO APR +
PT UDM /
FC MSS PATI APR +
PT RDN /
FC MSS TEGAL APR</t>
        </r>
      </text>
    </comment>
    <comment ref="T150" authorId="0">
      <text>
        <r>
          <rPr>
            <b/>
            <sz val="9"/>
            <color indexed="81"/>
            <rFont val="Tahoma"/>
            <charset val="1"/>
          </rPr>
          <t xml:space="preserve">PT DUD /
INTERNET SMG MEI </t>
        </r>
      </text>
    </comment>
    <comment ref="Z150" authorId="0">
      <text>
        <r>
          <rPr>
            <b/>
            <sz val="9"/>
            <color indexed="81"/>
            <rFont val="Tahoma"/>
            <charset val="1"/>
          </rPr>
          <t>PT JCN /
INTERNET HO MEI + PERBAIKAN KABEL</t>
        </r>
      </text>
    </comment>
    <comment ref="Z151" authorId="0">
      <text>
        <r>
          <rPr>
            <b/>
            <sz val="9"/>
            <color indexed="81"/>
            <rFont val="Tahoma"/>
            <charset val="1"/>
          </rPr>
          <t xml:space="preserve">IPL SMG MEI </t>
        </r>
      </text>
    </comment>
    <comment ref="R153" authorId="0">
      <text>
        <r>
          <rPr>
            <b/>
            <sz val="9"/>
            <color indexed="81"/>
            <rFont val="Tahoma"/>
            <charset val="1"/>
          </rPr>
          <t>JOGJA SPEED / BUDI G -
2 BAN ORI &amp; JASA H 9106 HQ HOC</t>
        </r>
      </text>
    </comment>
    <comment ref="T153" authorId="0">
      <text>
        <r>
          <rPr>
            <b/>
            <sz val="9"/>
            <color indexed="81"/>
            <rFont val="Tahoma"/>
            <charset val="1"/>
          </rPr>
          <t>JOGJA SPEEED / BUDI G -
1 BAN ORI H 1309 SW MSS KBM</t>
        </r>
      </text>
    </comment>
    <comment ref="X153" authorId="0">
      <text>
        <r>
          <rPr>
            <b/>
            <sz val="9"/>
            <color indexed="81"/>
            <rFont val="Tahoma"/>
            <charset val="1"/>
          </rPr>
          <t>JOGJA SPEED / CV ALVINDO -
2 BAN BARU 700/16 H 1938 EQ SOLO, 
2 BAN BARU 750/15 H 1349 MW SOLO</t>
        </r>
      </text>
    </comment>
    <comment ref="U155" authorId="0">
      <text>
        <r>
          <rPr>
            <b/>
            <sz val="9"/>
            <color indexed="81"/>
            <rFont val="Tahoma"/>
            <charset val="1"/>
          </rPr>
          <t>BY PICKUP APR SMG +
BY PICKUP APR SOL</t>
        </r>
      </text>
    </comment>
    <comment ref="R156" authorId="0">
      <text>
        <r>
          <rPr>
            <b/>
            <sz val="9"/>
            <color indexed="81"/>
            <rFont val="Tahoma"/>
            <charset val="1"/>
          </rPr>
          <t>CF DEPAPER / MELVY C -
CF DEPAPER &amp; KERTAS A4 MEI '22</t>
        </r>
      </text>
    </comment>
    <comment ref="J161" authorId="1">
      <text>
        <r>
          <rPr>
            <b/>
            <sz val="9"/>
            <color indexed="81"/>
            <rFont val="Tahoma"/>
            <family val="2"/>
          </rPr>
          <t>ND-LAINNYA KURSET 300422 MSS CILACAP +
ND-LAINNYA KURSET 290422 BA A081 MSS BLORA</t>
        </r>
      </text>
    </comment>
    <comment ref="M161" authorId="1">
      <text>
        <r>
          <rPr>
            <b/>
            <sz val="9"/>
            <color indexed="81"/>
            <rFont val="Tahoma"/>
            <family val="2"/>
          </rPr>
          <t>ND-LAINNYA KOR CASH 110522 BA A031 MSS BLORA</t>
        </r>
      </text>
    </comment>
    <comment ref="N161" authorId="0">
      <text>
        <r>
          <rPr>
            <b/>
            <sz val="9"/>
            <color indexed="81"/>
            <rFont val="Tahoma"/>
            <charset val="1"/>
          </rPr>
          <t>ND-LAINNYA KOR CASH 120522 BA A036 MSS PATI</t>
        </r>
      </text>
    </comment>
    <comment ref="Y161" authorId="0">
      <text>
        <r>
          <rPr>
            <b/>
            <sz val="9"/>
            <color indexed="81"/>
            <rFont val="Tahoma"/>
            <charset val="1"/>
          </rPr>
          <t xml:space="preserve">ND0LAINNYA SET 230522 BA A056 MSS BLORA </t>
        </r>
      </text>
    </comment>
    <comment ref="J167" authorId="1">
      <text>
        <r>
          <rPr>
            <b/>
            <sz val="9"/>
            <color indexed="81"/>
            <rFont val="Tahoma"/>
            <charset val="1"/>
          </rPr>
          <t>ARIF MIKA ALANTAKA /
INC BS FBI DES '21</t>
        </r>
      </text>
    </comment>
    <comment ref="L167" authorId="1">
      <text>
        <r>
          <rPr>
            <b/>
            <sz val="9"/>
            <color indexed="81"/>
            <rFont val="Tahoma"/>
            <family val="2"/>
          </rPr>
          <t>PT MSS BCA / 
CADANGAN BY RTGS UTK PENARIKAN KREDIT VIA FASILITAS BCA</t>
        </r>
      </text>
    </comment>
    <comment ref="Z167" authorId="0">
      <text>
        <r>
          <rPr>
            <b/>
            <sz val="9"/>
            <color indexed="81"/>
            <rFont val="Tahoma"/>
            <charset val="1"/>
          </rPr>
          <t>QQNUANSA CONSULTANT / RIZKI NUANSA H - 
BY PSIKOTES PKL 1 ORG AN WAWAN  +
RINDANG BATTERAY / 
2 UNT AKI H 1938 EQ SOLO +
DM MEBEL /
7 UNT KURSI MEETING R HOC +
RIANDO P /
30 PALLET SOLO</t>
        </r>
      </text>
    </comment>
    <comment ref="AB167" authorId="0">
      <text>
        <r>
          <rPr>
            <b/>
            <sz val="9"/>
            <color indexed="81"/>
            <rFont val="Tahoma"/>
            <charset val="1"/>
          </rPr>
          <t>LAKSITA / WARIH -
PSIKOTES 3 ORG YK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K5" authorId="0">
      <text>
        <r>
          <rPr>
            <b/>
            <sz val="9"/>
            <color indexed="81"/>
            <rFont val="Tahoma"/>
            <family val="2"/>
          </rPr>
          <t xml:space="preserve">ULANG BULAN W 2 MEI </t>
        </r>
      </text>
    </comment>
  </commentList>
</comments>
</file>

<file path=xl/comments4.xml><?xml version="1.0" encoding="utf-8"?>
<comments xmlns="http://schemas.openxmlformats.org/spreadsheetml/2006/main">
  <authors>
    <author>300-20</author>
    <author>300-20K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5" authorId="0">
      <text>
        <r>
          <rPr>
            <b/>
            <sz val="9"/>
            <color indexed="81"/>
            <rFont val="Tahoma"/>
            <family val="2"/>
          </rPr>
          <t xml:space="preserve">21 MAR - 20 APR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H8" authorId="0">
      <text>
        <r>
          <rPr>
            <b/>
            <sz val="9"/>
            <color indexed="81"/>
            <rFont val="Tahoma"/>
            <family val="2"/>
          </rPr>
          <t>21 JAN - 20 FEB '22</t>
        </r>
      </text>
    </comment>
    <comment ref="J8" authorId="0">
      <text>
        <r>
          <rPr>
            <b/>
            <sz val="9"/>
            <color indexed="81"/>
            <rFont val="Tahoma"/>
            <family val="2"/>
          </rPr>
          <t xml:space="preserve">21 FEB - 20 MAR </t>
        </r>
      </text>
    </comment>
    <comment ref="L8" authorId="0">
      <text>
        <r>
          <rPr>
            <b/>
            <sz val="9"/>
            <color indexed="81"/>
            <rFont val="Tahoma"/>
            <family val="2"/>
          </rPr>
          <t>21 MAR - 20 APR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F32" authorId="0">
      <text>
        <r>
          <rPr>
            <b/>
            <sz val="9"/>
            <color indexed="81"/>
            <rFont val="Tahoma"/>
            <charset val="1"/>
          </rPr>
          <t xml:space="preserve">Q1 JAN, FEB, MAR </t>
        </r>
      </text>
    </comment>
    <comment ref="F35" authorId="0">
      <text/>
    </comment>
    <comment ref="F38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NILA DC JAN '22 : 537.950.969 
NILAI DC FEB '22 :
544.577.393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>NILA DC JAN '22 : 537.950.969
NILAI DC FEB '22 :
544.577.393</t>
        </r>
      </text>
    </comment>
    <comment ref="N74" authorId="1">
      <text>
        <r>
          <rPr>
            <b/>
            <sz val="9"/>
            <color indexed="81"/>
            <rFont val="Tahoma"/>
            <charset val="1"/>
          </rPr>
          <t>+ PERBAIKAN KABEL</t>
        </r>
      </text>
    </comment>
    <comment ref="H76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J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L76" authorId="0">
      <text>
        <r>
          <rPr>
            <b/>
            <sz val="9"/>
            <color indexed="81"/>
            <rFont val="Tahoma"/>
            <family val="2"/>
          </rPr>
          <t>CF DEPAPER &amp; KERTAS A4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83" authorId="1">
      <text>
        <r>
          <rPr>
            <b/>
            <sz val="9"/>
            <color indexed="81"/>
            <rFont val="Tahoma"/>
            <charset val="1"/>
          </rPr>
          <t>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 xml:space="preserve">PT DIPO STAR /
ANGS KE 31 11 UNT + 8 UNT + 3 UNT 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 xml:space="preserve">PT DIPO STAR /
ANGS KE 32 11 UNT + 8 UNT + 3 UNT </t>
        </r>
      </text>
    </comment>
    <comment ref="N88" authorId="0">
      <text>
        <r>
          <rPr>
            <b/>
            <sz val="9"/>
            <color indexed="81"/>
            <rFont val="Tahoma"/>
            <family val="2"/>
          </rPr>
          <t xml:space="preserve">PT DIPO STAR /
ANGS KE 33 11 UNT + 8 UNT + 3 UNT </t>
        </r>
      </text>
    </comment>
    <comment ref="F89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89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J89" authorId="0">
      <text>
        <r>
          <rPr>
            <b/>
            <sz val="9"/>
            <color indexed="81"/>
            <rFont val="Tahoma"/>
            <family val="2"/>
          </rPr>
          <t xml:space="preserve">ANGS KE 6 9 UNT MISTUBISHI 5 NOV '21 - 5 SEP '21
</t>
        </r>
      </text>
    </comment>
    <comment ref="L89" authorId="0">
      <text>
        <r>
          <rPr>
            <b/>
            <sz val="9"/>
            <color indexed="81"/>
            <rFont val="Tahoma"/>
            <family val="2"/>
          </rPr>
          <t xml:space="preserve">ANGS KE 7 9 UNT MISTUBISHI 5 NOV '21 - 5 SEP '21
</t>
        </r>
      </text>
    </comment>
    <comment ref="N89" authorId="0">
      <text>
        <r>
          <rPr>
            <b/>
            <sz val="9"/>
            <color indexed="81"/>
            <rFont val="Tahoma"/>
            <family val="2"/>
          </rPr>
          <t xml:space="preserve">ANGS KE 8 9 UNT MISTUBISHI 5 NOV '21 - 5 SEP '21
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90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ANGS KE 5 
LEASING 3 UNT DAIHATSU XENIA 
1 UNT TERIOS</t>
        </r>
      </text>
    </comment>
    <comment ref="L90" authorId="0">
      <text>
        <r>
          <rPr>
            <b/>
            <sz val="9"/>
            <color indexed="81"/>
            <rFont val="Tahoma"/>
            <family val="2"/>
          </rPr>
          <t>ANGS KE 6 
LEASING 3 UNT DAIHATSU XENIA 
1 UNT TERIOS</t>
        </r>
      </text>
    </comment>
    <comment ref="N90" authorId="1">
      <text>
        <r>
          <rPr>
            <b/>
            <sz val="9"/>
            <color indexed="81"/>
            <rFont val="Tahoma"/>
            <charset val="1"/>
          </rPr>
          <t>LEASING KE 7 MOBIL XENIA NO 004 +
LEASING KE 7 MOBIL XENIA NO 004 +
LEASING KE 7 MOBIL XENIA NO 004 +
LEASING KE 7 MOBIL TERIOS NO 003</t>
        </r>
      </text>
    </comment>
    <comment ref="F91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91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J91" authorId="0">
      <text>
        <r>
          <rPr>
            <b/>
            <sz val="9"/>
            <color indexed="81"/>
            <rFont val="Tahoma"/>
            <family val="2"/>
          </rPr>
          <t xml:space="preserve">SWADHARMA / 
ANGS KE 34 SIGRA XENIA </t>
        </r>
      </text>
    </comment>
    <comment ref="L91" authorId="0">
      <text>
        <r>
          <rPr>
            <b/>
            <sz val="9"/>
            <color indexed="81"/>
            <rFont val="Tahoma"/>
            <family val="2"/>
          </rPr>
          <t xml:space="preserve">SWADHARMA / 
ANGS KE 35 SIGRA XENIA </t>
        </r>
      </text>
    </comment>
    <comment ref="N91" authorId="0">
      <text>
        <r>
          <rPr>
            <b/>
            <sz val="9"/>
            <color indexed="81"/>
            <rFont val="Tahoma"/>
            <family val="2"/>
          </rPr>
          <t xml:space="preserve">SWADHARMA / 
ANGS KE 36 SIGRA XENIA </t>
        </r>
      </text>
    </comment>
    <comment ref="H92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  <comment ref="L92" authorId="0">
      <text>
        <r>
          <rPr>
            <b/>
            <sz val="9"/>
            <color indexed="81"/>
            <rFont val="Tahoma"/>
            <family val="2"/>
          </rPr>
          <t xml:space="preserve">ATK PANTASEL HO APR '22
</t>
        </r>
      </text>
    </comment>
    <comment ref="N92" authorId="1">
      <text>
        <r>
          <rPr>
            <b/>
            <sz val="9"/>
            <color indexed="81"/>
            <rFont val="Tahoma"/>
            <charset val="1"/>
          </rPr>
          <t>ATK PANTASEL HO MEI '22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 xml:space="preserve">CETAKAN MAR '22 + KEKR YK CILA FEB + KEKR KBM MAR + HO APR 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2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9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E44" authorId="0">
      <text>
        <r>
          <rPr>
            <b/>
            <sz val="9"/>
            <color indexed="81"/>
            <rFont val="Tahoma"/>
            <family val="2"/>
          </rPr>
          <t>JUMLAH REAL JAN :
537.950.969</t>
        </r>
      </text>
    </comment>
    <comment ref="E45" authorId="0">
      <text>
        <r>
          <rPr>
            <b/>
            <sz val="9"/>
            <color indexed="81"/>
            <rFont val="Tahoma"/>
            <family val="2"/>
          </rPr>
          <t>JUMLAH REAL FEB :
544.577.393</t>
        </r>
      </text>
    </comment>
    <comment ref="E46" authorId="0">
      <text>
        <r>
          <rPr>
            <b/>
            <sz val="9"/>
            <color indexed="81"/>
            <rFont val="Tahoma"/>
            <family val="2"/>
          </rPr>
          <t>KB PERIODE JAN, FEB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CC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sharedStrings.xml><?xml version="1.0" encoding="utf-8"?>
<sst xmlns="http://schemas.openxmlformats.org/spreadsheetml/2006/main" count="20170" uniqueCount="6302">
  <si>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</si>
  <si>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</si>
  <si>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</si>
  <si>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</si>
  <si>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</si>
  <si>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</si>
  <si>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</si>
  <si>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</si>
  <si>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</si>
  <si>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</si>
  <si>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</si>
  <si>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</si>
  <si>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</si>
  <si>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</si>
  <si>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</si>
  <si>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</si>
  <si>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</si>
  <si>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</si>
  <si>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</si>
  <si>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</si>
  <si>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</si>
  <si>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</si>
  <si>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</si>
  <si>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</si>
  <si>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</si>
  <si>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</si>
  <si>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</si>
  <si>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</si>
  <si>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</si>
  <si>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</si>
  <si>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</si>
  <si>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</si>
  <si>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</si>
  <si>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</si>
  <si>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</si>
  <si>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</si>
  <si>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</si>
  <si>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</si>
  <si>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</si>
  <si>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</si>
  <si>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</si>
  <si>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</si>
  <si>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</si>
  <si>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</si>
  <si>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</si>
  <si>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</si>
  <si>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</si>
  <si>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</si>
  <si>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</si>
  <si>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</si>
  <si>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</si>
  <si>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</si>
  <si>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</si>
  <si>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</si>
  <si>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</si>
  <si>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</si>
  <si>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</si>
  <si>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</si>
  <si>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</si>
  <si>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</si>
  <si>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</si>
  <si>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</si>
  <si>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</si>
  <si>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</si>
  <si>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</si>
  <si>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</si>
  <si>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</si>
  <si>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</si>
  <si>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</si>
  <si>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</si>
  <si>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</si>
  <si>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</si>
  <si>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</si>
  <si>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</si>
  <si>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</si>
  <si>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</si>
  <si>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</si>
  <si>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</si>
  <si>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</si>
  <si>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</si>
  <si>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</si>
  <si>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</si>
  <si>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</si>
  <si>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</si>
  <si>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</si>
  <si>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</si>
  <si>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</si>
  <si>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</si>
  <si>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</si>
  <si>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</si>
  <si>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</si>
  <si>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</si>
  <si>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</si>
  <si>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</si>
  <si>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</si>
  <si>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</si>
  <si>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</si>
  <si>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</si>
  <si>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</si>
  <si>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</si>
  <si>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</si>
  <si>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</si>
  <si>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</si>
  <si>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</si>
  <si>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</si>
  <si>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</si>
  <si>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</si>
  <si>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</si>
  <si>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</si>
  <si>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</si>
  <si>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</si>
  <si>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</si>
  <si>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</si>
  <si>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</si>
  <si>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</si>
  <si>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</si>
  <si>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</si>
  <si>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</si>
  <si>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</si>
  <si>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</si>
  <si>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</si>
  <si>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</si>
  <si>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</si>
  <si>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</si>
  <si>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</si>
  <si>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</si>
  <si>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</si>
  <si>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</si>
  <si>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</si>
  <si>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</si>
  <si>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</si>
  <si>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</si>
  <si>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</si>
  <si>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</si>
  <si>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</si>
  <si>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</si>
  <si>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</si>
  <si>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</si>
  <si>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</si>
  <si>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</si>
  <si>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</si>
  <si>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</si>
  <si>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</si>
  <si>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</si>
  <si>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</si>
  <si>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</si>
  <si>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</si>
  <si>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</si>
  <si>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</si>
  <si>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</si>
  <si>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</si>
  <si>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</si>
  <si>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</si>
  <si>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</si>
  <si>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</si>
  <si>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</si>
  <si>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</si>
  <si>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</si>
  <si>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</si>
  <si>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</si>
  <si>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</si>
  <si>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</si>
  <si>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</si>
  <si>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</si>
  <si>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</si>
  <si>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</si>
  <si>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</si>
  <si>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</si>
  <si>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</si>
  <si>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</si>
  <si>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</si>
  <si>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</si>
  <si>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</si>
  <si>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</si>
  <si>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</si>
  <si>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</si>
  <si>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</si>
  <si>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</si>
  <si>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</si>
  <si>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</si>
  <si>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</si>
  <si>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</si>
  <si>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</si>
  <si>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</si>
  <si>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</si>
  <si>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</si>
  <si>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</si>
  <si>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</si>
  <si>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</si>
  <si>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</si>
  <si>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</si>
  <si>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</si>
  <si>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</si>
  <si>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</si>
  <si>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</si>
  <si>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</si>
  <si>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</si>
  <si>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</si>
  <si>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</si>
  <si>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</si>
  <si>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</si>
  <si>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</si>
  <si>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</si>
  <si>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</si>
  <si>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</si>
  <si>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</si>
  <si>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</si>
  <si>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</si>
  <si>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</si>
  <si>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</si>
  <si>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</si>
  <si>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</si>
  <si>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</si>
  <si>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</si>
  <si>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</si>
  <si>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</si>
  <si>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</si>
  <si>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</si>
  <si>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</si>
  <si>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</si>
  <si>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</si>
  <si>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</si>
  <si>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</si>
  <si>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</si>
  <si>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</si>
  <si>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</si>
  <si>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</si>
  <si>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</si>
  <si>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</si>
  <si>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</si>
  <si>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</si>
  <si>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</si>
  <si>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</si>
  <si>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</si>
  <si>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</si>
  <si>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</si>
  <si>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</si>
  <si>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</si>
  <si>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</si>
  <si>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</si>
  <si>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</si>
  <si>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</si>
  <si>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</si>
  <si>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</si>
  <si>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</si>
  <si>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</si>
  <si>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</si>
  <si>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</si>
  <si>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</si>
  <si>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</si>
  <si>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</si>
  <si>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</si>
  <si>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</si>
  <si>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</si>
  <si>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</si>
  <si>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</si>
  <si>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</si>
  <si>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</si>
  <si>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</si>
  <si>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</si>
  <si>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</si>
  <si>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</si>
  <si>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</si>
  <si>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</si>
  <si>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</si>
  <si>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</si>
  <si>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</si>
  <si>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</si>
  <si>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</si>
  <si>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</si>
  <si>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</si>
  <si>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</si>
  <si>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</si>
  <si>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</si>
  <si>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</si>
  <si>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</si>
  <si>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</si>
  <si>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</si>
  <si>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</si>
  <si>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</si>
  <si>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</si>
  <si>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</si>
  <si>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</si>
  <si>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</si>
  <si>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</si>
  <si>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</si>
  <si>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</si>
  <si>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</si>
  <si>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</si>
  <si>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</si>
  <si>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</si>
  <si>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</si>
  <si>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</si>
  <si>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</si>
  <si>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</si>
  <si>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</si>
  <si>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</si>
  <si>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</si>
  <si>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</si>
  <si>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</si>
  <si>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</si>
  <si>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</si>
  <si>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</si>
  <si>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</si>
  <si>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</si>
  <si>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</si>
  <si>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</si>
  <si>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</si>
  <si>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</si>
  <si>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</si>
  <si>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</si>
  <si>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</si>
  <si>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</si>
  <si>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</si>
  <si>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</si>
  <si>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</si>
  <si>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</si>
  <si>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</si>
  <si>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</si>
  <si>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</si>
  <si>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</si>
  <si>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</si>
  <si>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</si>
  <si>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</si>
  <si>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</si>
  <si>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</si>
  <si>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</si>
  <si>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</si>
  <si>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</si>
  <si>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</si>
  <si>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</si>
  <si>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</si>
  <si>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</si>
  <si>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</si>
  <si>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</si>
  <si>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</si>
  <si>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</si>
  <si>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</si>
  <si>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</si>
  <si>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</si>
  <si>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</si>
  <si>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</si>
  <si>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</si>
  <si>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</si>
  <si>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</si>
  <si>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</si>
  <si>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</si>
  <si>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</si>
  <si>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</si>
  <si>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</si>
  <si>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</si>
  <si>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</si>
  <si>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</si>
  <si>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</si>
  <si>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</si>
  <si>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</si>
  <si>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</si>
  <si>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</si>
  <si>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</si>
  <si>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</si>
  <si>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</si>
  <si>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</si>
  <si>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</si>
  <si>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</si>
  <si>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</si>
  <si>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</si>
  <si>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</si>
  <si>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</si>
  <si>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</si>
  <si>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</si>
  <si>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</si>
  <si>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</si>
  <si>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</si>
  <si>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</si>
  <si>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</si>
  <si>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</si>
  <si>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</si>
  <si>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</si>
  <si>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</si>
  <si>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</si>
  <si>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</si>
  <si>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</si>
  <si>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</si>
  <si>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</si>
  <si>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</si>
  <si>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</si>
  <si>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</si>
  <si>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</si>
  <si>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</si>
  <si>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</si>
  <si>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</si>
  <si>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</si>
  <si>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</si>
  <si>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</si>
  <si>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</si>
  <si>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</si>
  <si>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</si>
  <si>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</si>
  <si>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</si>
  <si>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</si>
  <si>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</si>
  <si>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</si>
  <si>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</si>
  <si>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</si>
  <si>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</si>
  <si>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</si>
  <si>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</si>
  <si>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</si>
  <si>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</si>
  <si>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</si>
  <si>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</si>
  <si>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</si>
  <si>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</si>
  <si>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</si>
  <si>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</si>
  <si>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</si>
  <si>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</si>
  <si>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</si>
  <si>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</si>
  <si>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</si>
  <si>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</si>
  <si>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</si>
  <si>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</si>
  <si>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</si>
  <si>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</si>
  <si>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</si>
  <si>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</si>
  <si>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</si>
  <si>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</si>
  <si>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</si>
  <si>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</si>
  <si>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</si>
  <si>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</si>
  <si>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</si>
  <si>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</si>
  <si>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</si>
  <si>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</si>
  <si>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</si>
  <si>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</si>
  <si>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</si>
  <si>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</si>
  <si>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</si>
  <si>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</si>
  <si>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</si>
  <si>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</si>
  <si>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</si>
  <si>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</si>
  <si>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</si>
  <si>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</si>
  <si>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</si>
  <si>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</si>
  <si>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</si>
  <si>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</si>
  <si>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</si>
  <si>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</si>
  <si>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</si>
  <si>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</si>
  <si>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</si>
  <si>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</si>
  <si>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</si>
  <si>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</si>
  <si>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</si>
  <si>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</si>
  <si>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</si>
  <si>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</si>
  <si>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</si>
  <si>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</si>
  <si>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</si>
  <si>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</si>
  <si>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</si>
  <si>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</si>
  <si>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</si>
  <si>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</si>
  <si>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</si>
  <si>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</si>
  <si>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</si>
  <si>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</si>
  <si>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</si>
  <si>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</si>
  <si>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</si>
  <si>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</si>
  <si>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</si>
  <si>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</si>
  <si>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</si>
  <si>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</si>
  <si>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</si>
  <si>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</si>
  <si>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</si>
  <si>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</si>
  <si>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</si>
  <si>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</si>
  <si>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</si>
  <si>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</si>
  <si>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</si>
  <si>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</si>
  <si>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</si>
  <si>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</si>
  <si>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</si>
  <si>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</si>
  <si>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</si>
  <si>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</si>
  <si>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</si>
  <si>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</si>
  <si>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</si>
  <si>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</si>
  <si>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</si>
  <si>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</si>
  <si>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</si>
  <si>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</si>
  <si>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</si>
  <si>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</si>
  <si>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</si>
  <si>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</si>
  <si>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</si>
  <si>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</si>
  <si>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</si>
  <si>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</si>
  <si>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</si>
  <si>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</si>
  <si>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</si>
  <si>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</si>
  <si>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</si>
  <si>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</si>
  <si>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</si>
  <si>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</si>
  <si>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</si>
  <si>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</si>
  <si>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</si>
  <si>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</si>
  <si>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</si>
  <si>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</si>
  <si>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</si>
  <si>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</si>
  <si>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</si>
  <si>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</si>
  <si>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</si>
  <si>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</si>
  <si>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</si>
  <si>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</si>
  <si>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</si>
  <si>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</si>
  <si>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</si>
  <si>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</si>
  <si>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</si>
  <si>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</si>
  <si>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</si>
  <si>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</si>
  <si>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</si>
  <si>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</si>
  <si>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</si>
  <si>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</si>
  <si>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</si>
  <si>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</si>
  <si>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</si>
  <si>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</si>
  <si>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</si>
  <si>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</si>
  <si>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</si>
  <si>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</si>
  <si>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</si>
  <si>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</si>
  <si>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</si>
  <si>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</si>
  <si>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</si>
  <si>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</si>
  <si>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</si>
  <si>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</si>
  <si>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</si>
  <si>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</si>
  <si>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</si>
  <si>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</si>
  <si>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</si>
  <si>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</si>
  <si>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</si>
  <si>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</si>
  <si>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</si>
  <si>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</si>
  <si>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</si>
  <si>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</si>
  <si>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</si>
  <si>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</si>
  <si>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</si>
  <si>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</si>
  <si>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</si>
  <si>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</si>
  <si>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</si>
  <si>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</si>
  <si>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</si>
  <si>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</si>
  <si>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</si>
  <si>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</si>
  <si>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</si>
  <si>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</si>
  <si>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</si>
  <si>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</si>
  <si>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</si>
  <si>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</si>
  <si>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</si>
  <si>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</si>
  <si>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</si>
  <si>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</si>
  <si>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</si>
  <si>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</si>
  <si>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</si>
  <si>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</si>
  <si>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</si>
  <si>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</si>
  <si>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</si>
  <si>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</si>
  <si>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</si>
  <si>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</si>
  <si>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</si>
  <si>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</si>
  <si>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</si>
  <si>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</si>
  <si>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</si>
  <si>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</si>
  <si>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</si>
  <si>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</si>
  <si>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</si>
  <si>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</si>
  <si>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</si>
  <si>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</si>
  <si>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</si>
  <si>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</si>
  <si>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</si>
  <si>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</si>
  <si>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</si>
  <si>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</si>
  <si>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</si>
  <si>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</si>
  <si>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</si>
  <si>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</si>
  <si>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</si>
  <si>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</si>
  <si>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</si>
  <si>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</si>
  <si>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</si>
  <si>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</si>
  <si>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</si>
  <si>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</si>
  <si>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</si>
  <si>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</si>
  <si>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</si>
  <si>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</si>
  <si>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</si>
  <si>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</si>
  <si>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</si>
  <si>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</si>
  <si>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</si>
  <si>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</si>
  <si>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</si>
  <si>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</si>
  <si>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</si>
  <si>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</si>
  <si>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</si>
  <si>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</si>
  <si>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</si>
  <si>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</si>
  <si>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</si>
  <si>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</si>
  <si>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</si>
  <si>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</si>
  <si>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</si>
  <si>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</si>
  <si>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</si>
  <si>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</si>
  <si>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</si>
  <si>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</si>
  <si>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</si>
  <si>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</si>
  <si>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</si>
  <si>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</si>
  <si>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</si>
  <si>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</si>
  <si>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</si>
  <si>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</si>
  <si>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</si>
  <si>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</si>
  <si>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</si>
  <si>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</si>
  <si>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</si>
  <si>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</si>
  <si>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</si>
  <si>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</si>
  <si>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</si>
  <si>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</si>
  <si>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</si>
  <si>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</si>
  <si>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</si>
  <si>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</si>
  <si>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</si>
  <si>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</si>
  <si>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</si>
  <si>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</si>
  <si>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</si>
  <si>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</si>
  <si>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</si>
  <si>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</si>
  <si>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</si>
  <si>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</si>
  <si>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</si>
  <si>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</si>
  <si>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</si>
  <si>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</si>
  <si>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</si>
  <si>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</si>
  <si>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</si>
  <si>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</si>
  <si>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</si>
  <si>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</si>
  <si>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</si>
  <si>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</si>
  <si>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</si>
  <si>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</si>
  <si>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</si>
  <si>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</si>
  <si>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</si>
  <si>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</si>
  <si>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</si>
  <si>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</si>
  <si>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</si>
  <si>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</si>
  <si>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</si>
  <si>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</si>
  <si>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</si>
  <si>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</si>
  <si>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</si>
  <si>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</si>
  <si>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</si>
  <si>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</si>
  <si>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</si>
  <si>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</si>
  <si>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</si>
  <si>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</si>
  <si>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</si>
  <si>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</si>
  <si>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</si>
  <si>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</si>
  <si>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</si>
  <si>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</si>
  <si>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</si>
  <si>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</si>
  <si>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</si>
  <si>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</si>
  <si>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</si>
  <si>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</si>
  <si>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</si>
  <si>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</si>
  <si>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</si>
  <si>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</si>
  <si>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</si>
  <si>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</si>
  <si>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</si>
  <si>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</si>
  <si>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</si>
  <si>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</si>
  <si>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</si>
  <si>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</si>
  <si>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</si>
  <si>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</si>
  <si>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</si>
  <si>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</si>
  <si>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</si>
  <si>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</si>
  <si>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</si>
  <si>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</si>
  <si>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</si>
  <si>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</si>
  <si>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</si>
  <si>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</si>
  <si>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</si>
  <si>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</si>
  <si>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</si>
  <si>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</si>
  <si>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</si>
  <si>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</si>
  <si>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</si>
  <si>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</si>
  <si>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</si>
  <si>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</si>
  <si>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</si>
  <si>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</si>
  <si>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</si>
  <si>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</si>
  <si>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</si>
  <si>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</si>
  <si>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</si>
  <si>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</si>
  <si>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</si>
  <si>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</si>
  <si>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</si>
  <si>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</si>
  <si>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</si>
  <si>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</si>
  <si>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</si>
  <si>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</si>
  <si>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</si>
  <si>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</si>
  <si>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</si>
  <si>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</si>
  <si>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</si>
  <si>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</si>
  <si>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</si>
  <si>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</si>
  <si>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</si>
  <si>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</si>
  <si>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</si>
  <si>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</si>
  <si>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</si>
  <si>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</si>
  <si>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</si>
  <si>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</si>
  <si>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</si>
  <si>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</si>
  <si>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</si>
  <si>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</si>
  <si>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</si>
  <si>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</si>
  <si>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</si>
  <si>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</si>
  <si>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</si>
  <si>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</si>
  <si>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</si>
  <si>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</si>
  <si>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</si>
  <si>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</si>
  <si>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</si>
  <si>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</si>
  <si>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</si>
  <si>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</si>
  <si>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</si>
  <si>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</si>
  <si>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</si>
  <si>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</si>
  <si>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</si>
  <si>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</si>
  <si>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</si>
  <si>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</si>
  <si>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</si>
  <si>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</si>
  <si>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</si>
  <si>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</si>
  <si>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</si>
  <si>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</si>
  <si>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</si>
  <si>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</si>
  <si>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</si>
  <si>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</si>
  <si>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</si>
  <si>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</si>
  <si>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</si>
  <si>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</si>
  <si>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</si>
  <si>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</si>
  <si>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</si>
  <si>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</si>
  <si>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</si>
  <si>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</si>
  <si>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</si>
  <si>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</si>
  <si>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</si>
  <si>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</si>
  <si>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</si>
  <si>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</si>
  <si>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</si>
  <si>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</si>
  <si>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</si>
  <si>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</si>
  <si>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</si>
  <si>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</si>
  <si>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</si>
  <si>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</si>
  <si>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</si>
  <si>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</si>
  <si>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</si>
  <si>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</si>
  <si>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</si>
  <si>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</si>
  <si>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</si>
  <si>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</si>
  <si>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</si>
  <si>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</si>
  <si>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</si>
  <si>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</si>
  <si>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</si>
  <si>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</si>
  <si>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</si>
  <si>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</si>
  <si>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</si>
  <si>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</si>
  <si>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</si>
  <si>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</si>
  <si>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</si>
  <si>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</si>
  <si>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</si>
  <si>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</si>
  <si>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</si>
  <si>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</si>
  <si>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</si>
  <si>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</si>
  <si>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</si>
  <si>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</si>
  <si>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</si>
  <si>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</si>
  <si>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</si>
  <si>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</si>
  <si>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</si>
  <si>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</si>
  <si>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</si>
  <si>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</si>
  <si>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</si>
  <si>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</si>
  <si>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</si>
  <si>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</si>
  <si>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</si>
  <si>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</si>
  <si>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</si>
  <si>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</si>
  <si>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</si>
  <si>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</si>
  <si>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</si>
  <si>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</si>
  <si>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</si>
  <si>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</si>
  <si>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</si>
  <si>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</si>
  <si>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</si>
  <si>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</si>
  <si>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</si>
  <si>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</si>
  <si>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</si>
  <si>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</si>
  <si>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</si>
  <si>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</si>
  <si>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</si>
  <si>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</si>
  <si>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</si>
  <si>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</si>
  <si>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</si>
  <si>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</si>
  <si>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</si>
  <si>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</si>
  <si>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</si>
  <si>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</si>
  <si>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</si>
  <si>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</si>
  <si>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</si>
  <si>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</si>
  <si>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</si>
  <si>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</si>
  <si>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</si>
  <si>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</si>
  <si>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</si>
  <si>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</si>
  <si>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</si>
  <si>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</si>
  <si>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</si>
  <si>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</si>
  <si>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</si>
  <si>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</si>
  <si>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</si>
  <si>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</si>
  <si>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</si>
  <si>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</si>
  <si>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</si>
  <si>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</si>
  <si>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</si>
  <si>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</si>
  <si>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</si>
  <si>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</si>
  <si>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</si>
  <si>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</si>
  <si>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</si>
  <si>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</si>
  <si>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</si>
  <si>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</si>
  <si>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</si>
  <si>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</si>
  <si>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</si>
  <si>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</si>
  <si>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</si>
  <si>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</si>
  <si>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</si>
  <si>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</si>
  <si>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</si>
  <si>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</si>
  <si>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</si>
  <si>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</si>
  <si>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</si>
  <si>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</si>
  <si>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</si>
  <si>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</si>
  <si>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</si>
  <si>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</si>
  <si>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</si>
  <si>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</si>
  <si>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</si>
  <si>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</si>
  <si>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</si>
  <si>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</si>
  <si>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</si>
  <si>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</si>
  <si>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</si>
  <si>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</si>
  <si>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</si>
  <si>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</si>
  <si>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</si>
  <si>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</si>
  <si>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</si>
  <si>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</si>
  <si>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</si>
  <si>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</si>
  <si>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</si>
  <si>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</si>
  <si>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</si>
  <si>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</si>
  <si>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</si>
  <si>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</si>
  <si>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</si>
  <si>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</si>
  <si>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</si>
  <si>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</si>
  <si>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</si>
  <si>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</si>
  <si>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</si>
  <si>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</si>
  <si>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</si>
  <si>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</si>
  <si>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</si>
  <si>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</si>
  <si>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</si>
  <si>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</si>
  <si>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</si>
  <si>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</si>
  <si>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</si>
  <si>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</si>
  <si>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</si>
  <si>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</si>
  <si>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</si>
  <si>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</si>
  <si>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</si>
  <si>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</si>
  <si>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</si>
  <si>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</si>
  <si>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</si>
  <si>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</si>
  <si>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</si>
  <si>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</si>
  <si>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</si>
  <si>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</si>
  <si>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</si>
  <si>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</si>
  <si>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</si>
  <si>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</si>
  <si>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</si>
  <si>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</si>
  <si>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</si>
  <si>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</si>
  <si>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</si>
  <si>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</si>
  <si>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</si>
  <si>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</si>
  <si>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</si>
  <si>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</si>
  <si>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</si>
  <si>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</si>
  <si>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</si>
  <si>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</si>
  <si>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</si>
  <si>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</si>
  <si>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</si>
  <si>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</si>
  <si>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</si>
  <si>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</si>
  <si>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</si>
  <si>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</si>
  <si>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</si>
  <si>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</si>
  <si>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</si>
  <si>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</si>
  <si>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</si>
  <si>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</si>
  <si>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</si>
  <si>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</si>
  <si>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</si>
  <si>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</si>
  <si>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</si>
  <si>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</si>
  <si>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</si>
  <si>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</si>
  <si>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</si>
  <si>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</si>
  <si>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</si>
  <si>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</si>
  <si>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</si>
  <si>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</si>
  <si>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</si>
  <si>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</si>
  <si>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</si>
  <si>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</si>
  <si>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</si>
  <si>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</si>
  <si>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</si>
  <si>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</si>
  <si>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</si>
  <si>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</si>
  <si>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</si>
  <si>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</si>
  <si>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</si>
  <si>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</si>
  <si>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</si>
  <si>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</si>
  <si>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</si>
  <si>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</si>
  <si>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</si>
  <si>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</si>
  <si>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</si>
  <si>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</si>
  <si>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</si>
  <si>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</si>
  <si>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</si>
  <si>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</si>
  <si>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</si>
  <si>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</si>
  <si>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</si>
  <si>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</si>
  <si>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</si>
  <si>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</si>
  <si>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</si>
  <si>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</si>
  <si>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</si>
  <si>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</si>
  <si>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</si>
  <si>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</si>
  <si>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</si>
  <si>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</si>
  <si>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</si>
  <si>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</si>
  <si>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</si>
  <si>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</si>
  <si>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</si>
  <si>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</si>
  <si>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</si>
  <si>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</si>
  <si>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</si>
  <si>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</si>
  <si>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</si>
  <si>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</si>
  <si>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</si>
  <si>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</si>
  <si>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</si>
  <si>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</si>
  <si>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</si>
  <si>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</si>
  <si>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</si>
  <si>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</si>
  <si>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</si>
  <si>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</si>
  <si>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</si>
  <si>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</si>
  <si>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</si>
  <si>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</si>
  <si>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</si>
  <si>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</si>
  <si>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</si>
  <si>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</si>
  <si>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</si>
  <si>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</si>
  <si>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</si>
  <si>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</si>
  <si>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</si>
  <si>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</si>
  <si>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</si>
  <si>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</si>
  <si>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</si>
  <si>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</si>
  <si>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</si>
  <si>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</si>
  <si>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</si>
  <si>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</si>
  <si>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</si>
  <si>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</si>
  <si>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</si>
  <si>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</si>
  <si>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</si>
  <si>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</si>
  <si>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</si>
  <si>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</si>
  <si>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</si>
  <si>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</si>
  <si>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</si>
  <si>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</si>
  <si>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</si>
  <si>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</si>
  <si>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</si>
  <si>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</si>
  <si>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</si>
  <si>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</si>
  <si>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</si>
  <si>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</si>
  <si>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</si>
  <si>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</si>
  <si>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</si>
  <si>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</si>
  <si>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</si>
  <si>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</si>
  <si>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</si>
  <si>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</si>
  <si>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</si>
  <si>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</si>
  <si>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</si>
  <si>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</si>
  <si>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</si>
  <si>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</si>
  <si>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</si>
  <si>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</si>
  <si>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</si>
  <si>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</si>
  <si>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</si>
  <si>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</si>
  <si>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</si>
  <si>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</si>
  <si>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</si>
  <si>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</si>
  <si>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</si>
  <si>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</si>
  <si>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</si>
  <si>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</si>
  <si>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</si>
  <si>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</si>
  <si>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</si>
  <si>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</si>
  <si>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</si>
  <si>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</si>
  <si>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</si>
  <si>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</si>
  <si>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</si>
  <si>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</si>
  <si>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</si>
  <si>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</si>
  <si>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</si>
  <si>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</si>
  <si>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</si>
  <si>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</si>
  <si>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</si>
  <si>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</si>
  <si>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</si>
  <si>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</si>
  <si>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</si>
  <si>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</si>
  <si>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</si>
  <si>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</si>
  <si>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</si>
  <si>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</si>
  <si>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</si>
  <si>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</si>
  <si>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</si>
  <si>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</si>
  <si>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</si>
  <si>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</si>
  <si>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</si>
  <si>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</si>
  <si>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</si>
  <si>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</si>
  <si>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</si>
  <si>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</si>
  <si>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</si>
  <si>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</si>
  <si>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</si>
  <si>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</si>
  <si>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</si>
  <si>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</si>
  <si>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</si>
  <si>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</si>
  <si>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</si>
  <si>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</si>
  <si>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</si>
  <si>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</si>
  <si>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</si>
  <si>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</si>
  <si>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</si>
  <si>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</si>
  <si>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</si>
  <si>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</si>
  <si>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</si>
  <si>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</si>
  <si>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</si>
  <si>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</si>
  <si>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</si>
  <si>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</si>
  <si>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</si>
  <si>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</si>
  <si>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</si>
  <si>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</si>
  <si>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</si>
  <si>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</si>
  <si>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</si>
  <si>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</si>
  <si>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</si>
  <si>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</si>
  <si>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</si>
  <si>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</si>
  <si>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</si>
  <si>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</si>
  <si>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</si>
  <si>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</si>
  <si>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</si>
  <si>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</si>
  <si>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</si>
  <si>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</si>
  <si>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</si>
  <si>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</si>
  <si>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</si>
  <si>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</si>
  <si>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</si>
  <si>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</si>
  <si>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</si>
  <si>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</si>
  <si>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</si>
  <si>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</si>
  <si>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</si>
  <si>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</si>
  <si>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</si>
  <si>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</si>
  <si>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</si>
  <si>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</si>
  <si>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</si>
  <si>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</si>
  <si>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</si>
  <si>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</si>
  <si>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</si>
  <si>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</si>
  <si>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</si>
  <si>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</si>
  <si>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</si>
  <si>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</si>
  <si>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</si>
  <si>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</si>
  <si>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</si>
  <si>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</si>
  <si>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</si>
  <si>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</si>
  <si>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</si>
  <si>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</si>
  <si>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</si>
  <si>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</si>
  <si>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</si>
  <si>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</si>
  <si>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</si>
  <si>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</si>
  <si>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</si>
  <si>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</si>
  <si>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</si>
  <si>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</si>
  <si>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</si>
  <si>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</si>
  <si>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</si>
  <si>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</si>
  <si>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</si>
  <si>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</si>
  <si>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</si>
  <si>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</si>
  <si>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</si>
  <si>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</si>
  <si>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</si>
  <si>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</si>
  <si>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</si>
  <si>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</si>
  <si>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</si>
  <si>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</si>
  <si>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</si>
  <si>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</si>
  <si>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</si>
  <si>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</si>
  <si>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</si>
  <si>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</si>
  <si>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</si>
  <si>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</si>
  <si>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</si>
  <si>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</si>
  <si>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</si>
  <si>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</si>
  <si>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</si>
  <si>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</si>
  <si>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</si>
  <si>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</si>
  <si>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</si>
  <si>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</si>
  <si>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</si>
  <si>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</si>
  <si>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</si>
  <si>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</si>
  <si>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</si>
  <si>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</si>
  <si>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</si>
  <si>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</si>
  <si>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</si>
  <si>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</si>
  <si>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</si>
  <si>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</si>
  <si>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</si>
  <si>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</si>
  <si>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</si>
  <si>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</si>
  <si>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</si>
  <si>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</si>
  <si>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</si>
  <si>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</si>
  <si>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</si>
  <si>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</si>
  <si>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</si>
  <si>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</si>
  <si>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</si>
  <si>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</si>
  <si>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</si>
  <si>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</si>
  <si>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</si>
  <si>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</si>
  <si>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</si>
  <si>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</si>
  <si>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</si>
  <si>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</si>
  <si>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</si>
  <si>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</si>
  <si>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</si>
  <si>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</si>
  <si>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</si>
  <si>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</si>
  <si>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</si>
  <si>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</si>
  <si>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</si>
  <si>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</si>
  <si>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</si>
  <si>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</si>
  <si>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</si>
  <si>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</si>
  <si>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</si>
  <si>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</si>
  <si>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</si>
  <si>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</si>
  <si>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</si>
  <si>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</si>
  <si>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</si>
  <si>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</si>
  <si>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</si>
  <si>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</si>
  <si>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</si>
  <si>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</si>
  <si>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</si>
  <si>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</si>
  <si>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</si>
  <si>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</si>
  <si>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</si>
  <si>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</si>
  <si>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</si>
  <si>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</si>
  <si>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</si>
  <si>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</si>
  <si>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</si>
  <si>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</si>
  <si>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</si>
  <si>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</si>
  <si>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</si>
  <si>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</si>
  <si>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</si>
  <si>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</si>
  <si>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</si>
  <si>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</si>
  <si>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</si>
  <si>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</si>
  <si>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</si>
  <si>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</si>
  <si>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</si>
  <si>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</si>
  <si>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</si>
  <si>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</si>
  <si>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</si>
  <si>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</si>
  <si>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</si>
  <si>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</si>
  <si>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</si>
  <si>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</si>
  <si>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</si>
  <si>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</si>
  <si>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</si>
  <si>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</si>
  <si>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</si>
  <si>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</si>
  <si>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</si>
  <si>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</si>
  <si>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</si>
  <si>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</si>
  <si>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</si>
  <si>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</si>
  <si>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</si>
  <si>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</si>
  <si>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</si>
  <si>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</si>
  <si>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</si>
  <si>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</si>
  <si>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</si>
  <si>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</si>
  <si>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</si>
  <si>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</si>
  <si>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</si>
  <si>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</si>
  <si>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</si>
  <si>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</si>
  <si>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</si>
  <si>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</si>
  <si>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</si>
  <si>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</si>
  <si>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</si>
  <si>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</si>
  <si>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</si>
  <si>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</si>
  <si>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</si>
  <si>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</si>
  <si>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</si>
  <si>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</si>
  <si>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</si>
  <si>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</si>
  <si>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</si>
  <si>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</si>
  <si>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</si>
  <si>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</si>
  <si>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</si>
  <si>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</si>
  <si>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</si>
  <si>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</si>
  <si>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</si>
  <si>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</si>
  <si>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</si>
  <si>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</si>
  <si>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</si>
  <si>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</si>
  <si>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</si>
  <si>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</si>
  <si>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</si>
  <si>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</si>
  <si>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</si>
  <si>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</si>
  <si>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</si>
  <si>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</si>
  <si>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</si>
  <si>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</si>
  <si>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</si>
  <si>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</si>
  <si>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</si>
  <si>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</si>
  <si>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</si>
  <si>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</si>
  <si>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</si>
  <si>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</si>
  <si>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</si>
  <si>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</si>
  <si>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</si>
  <si>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</si>
  <si>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</si>
  <si>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</si>
  <si>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</si>
  <si>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</si>
  <si>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</si>
  <si>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</si>
  <si>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</si>
  <si>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</si>
  <si>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</si>
  <si>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</si>
  <si>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</si>
  <si>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</si>
  <si>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</si>
  <si>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</si>
  <si>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</si>
  <si>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</si>
  <si>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</si>
  <si>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</si>
  <si>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</si>
  <si>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</si>
  <si>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</si>
  <si>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</si>
  <si>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</si>
  <si>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</si>
  <si>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</si>
  <si>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</si>
  <si>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</si>
  <si>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</si>
  <si>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</si>
  <si>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</si>
  <si>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</si>
  <si>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</si>
  <si>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</si>
  <si>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</si>
  <si>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</si>
  <si>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</si>
  <si>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</si>
  <si>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</si>
  <si>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</si>
  <si>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</si>
  <si>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</si>
  <si>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</si>
  <si>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</si>
  <si>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</si>
  <si>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</si>
  <si>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</si>
  <si>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</si>
  <si>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</si>
  <si>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</si>
  <si>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</si>
  <si>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</si>
  <si>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</si>
  <si>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</si>
  <si>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</si>
  <si>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</si>
  <si>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</si>
  <si>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</si>
  <si>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</si>
  <si>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</si>
  <si>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</si>
  <si>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</si>
  <si>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</si>
  <si>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</si>
  <si>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</si>
  <si>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</si>
  <si>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</si>
  <si>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</si>
  <si>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</si>
  <si>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</si>
  <si>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</si>
  <si>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</si>
  <si>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</si>
  <si>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</si>
  <si>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</si>
  <si>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</si>
  <si>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</si>
  <si>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</si>
  <si>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</si>
  <si>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</si>
  <si>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</si>
  <si>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</si>
  <si>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</si>
  <si>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</si>
  <si>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</si>
  <si>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</si>
  <si>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</si>
  <si>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</si>
  <si>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</si>
  <si>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</si>
  <si>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</si>
  <si>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</si>
  <si>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</si>
  <si>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</si>
  <si>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</si>
  <si>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</si>
  <si>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</si>
  <si>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</si>
  <si>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</si>
  <si>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</si>
  <si>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</si>
  <si>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</si>
  <si>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</si>
  <si>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</si>
  <si>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</si>
  <si>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</si>
  <si>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</si>
  <si>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</si>
  <si>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</si>
  <si>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</si>
  <si>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</si>
  <si>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</si>
  <si>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</si>
  <si>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</si>
  <si>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</si>
  <si>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</si>
  <si>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</si>
  <si>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</si>
  <si>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</si>
  <si>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</si>
  <si>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</si>
  <si>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</si>
  <si>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</si>
  <si>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</si>
  <si>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</si>
  <si>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</si>
  <si>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</si>
  <si>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</si>
  <si>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</si>
  <si>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</si>
  <si>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</si>
  <si>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</si>
  <si>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</si>
  <si>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</si>
  <si>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</si>
  <si>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</si>
  <si>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</si>
  <si>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</si>
  <si>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</si>
  <si>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</si>
  <si>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</si>
  <si>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</si>
  <si>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</si>
  <si>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</si>
  <si>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</si>
  <si>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</si>
  <si>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</si>
  <si>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</si>
  <si>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</si>
  <si>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</si>
  <si>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</si>
  <si>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</si>
  <si>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</si>
  <si>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</si>
  <si>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</si>
  <si>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</si>
  <si>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</si>
  <si>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</si>
  <si>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</si>
  <si>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</si>
  <si>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</si>
  <si>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</si>
  <si>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</si>
  <si>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</si>
  <si>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</si>
  <si>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</si>
  <si>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</si>
  <si>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</si>
  <si>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</si>
  <si>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</si>
  <si>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</si>
  <si>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</si>
  <si>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</si>
  <si>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</si>
  <si>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</si>
  <si>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</si>
  <si>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</si>
  <si>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</si>
  <si>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</si>
  <si>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</si>
  <si>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</si>
  <si>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</si>
  <si>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</si>
  <si>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</si>
  <si>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</si>
  <si>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</si>
  <si>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</si>
  <si>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</si>
  <si>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</si>
  <si>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</si>
  <si>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</si>
  <si>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</si>
  <si>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</si>
  <si>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</si>
  <si>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</si>
  <si>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</si>
  <si>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</si>
  <si>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</si>
  <si>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</si>
  <si>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</si>
  <si>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</si>
  <si>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</si>
  <si>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</si>
  <si>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</si>
  <si>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</si>
  <si>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</si>
  <si>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</si>
  <si>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</si>
  <si>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</si>
  <si>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</si>
  <si>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</si>
  <si>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</si>
  <si>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</si>
  <si>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</si>
  <si>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</si>
  <si>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</si>
  <si>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</si>
  <si>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</si>
  <si>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</si>
  <si>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</si>
  <si>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</si>
  <si>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</si>
  <si>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</si>
  <si>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</si>
  <si>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</si>
  <si>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</si>
  <si>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</si>
  <si>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</si>
  <si>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</si>
  <si>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</si>
  <si>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</si>
  <si>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</si>
  <si>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</si>
  <si>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</si>
  <si>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</si>
  <si>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</si>
  <si>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</si>
  <si>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</si>
  <si>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</si>
  <si>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</si>
  <si>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</si>
  <si>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</si>
  <si>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</si>
  <si>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</si>
  <si>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</si>
  <si>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</si>
  <si>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</si>
  <si>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</si>
  <si>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</si>
  <si>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</si>
  <si>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</si>
  <si>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</si>
  <si>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</si>
  <si>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</si>
  <si>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</si>
  <si>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</si>
  <si>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</si>
  <si>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</si>
  <si>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</si>
  <si>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</si>
  <si>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</si>
  <si>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</si>
  <si>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</si>
  <si>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</si>
  <si>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</si>
  <si>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</si>
  <si>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</si>
  <si>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</si>
  <si>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</si>
  <si>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</si>
  <si>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</si>
  <si>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</si>
  <si>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</si>
  <si>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</si>
  <si>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</si>
  <si>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</si>
  <si>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</si>
  <si>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</si>
  <si>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</si>
  <si>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</si>
  <si>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</si>
  <si>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</si>
  <si>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</si>
  <si>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</si>
  <si>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</si>
  <si>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</si>
  <si>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</si>
  <si>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</si>
  <si>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</si>
  <si>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</si>
  <si>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</si>
  <si>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</si>
  <si>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</si>
  <si>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</si>
  <si>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</si>
  <si>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</si>
  <si>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</si>
  <si>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</si>
  <si>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</si>
  <si>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</si>
  <si>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</si>
  <si>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</si>
  <si>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</si>
  <si>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</si>
  <si>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</si>
  <si>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</si>
  <si>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</si>
  <si>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</si>
  <si>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</si>
  <si>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</si>
  <si>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</si>
  <si>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</si>
  <si>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</si>
  <si>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</si>
  <si>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</si>
  <si>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</si>
  <si>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</si>
  <si>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</si>
  <si>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</si>
  <si>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</si>
  <si>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</si>
  <si>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</si>
  <si>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</si>
  <si>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</si>
  <si>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</si>
  <si>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</si>
  <si>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</si>
  <si>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</si>
  <si>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</si>
  <si>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</si>
  <si>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</si>
  <si>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</si>
  <si>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</si>
  <si>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</si>
  <si>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</si>
  <si>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</si>
  <si>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</si>
  <si>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</si>
  <si>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</si>
  <si>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</si>
  <si>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</si>
  <si>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</si>
  <si>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</si>
  <si>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</si>
  <si>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</si>
  <si>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</si>
  <si>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</si>
  <si>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</si>
  <si>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</si>
  <si>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</si>
  <si>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</si>
  <si>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</si>
  <si>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</si>
  <si>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</si>
  <si>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</si>
  <si>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</si>
  <si>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</si>
  <si>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</si>
  <si>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</si>
  <si>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</si>
  <si>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</si>
  <si>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</si>
  <si>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</si>
  <si>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</si>
  <si>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</si>
  <si>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</si>
  <si>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</si>
  <si>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</si>
  <si>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</si>
  <si>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</si>
  <si>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</si>
  <si>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</si>
  <si>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</si>
  <si>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</si>
  <si>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</si>
  <si>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</si>
  <si>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</si>
  <si>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</si>
  <si>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</si>
  <si>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</si>
  <si>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</si>
  <si>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</si>
  <si>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</si>
  <si>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</si>
  <si>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</si>
  <si>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</si>
  <si>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</si>
  <si>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</si>
  <si>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</si>
  <si>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</si>
  <si>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</si>
  <si>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</si>
  <si>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</si>
  <si>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</si>
  <si>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</si>
  <si>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</si>
  <si>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</si>
  <si>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</si>
  <si>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</si>
  <si>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</si>
  <si>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</si>
  <si>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</si>
  <si>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</si>
  <si>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</si>
  <si>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</si>
  <si>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</si>
  <si>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</si>
  <si>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</si>
  <si>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</si>
  <si>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</si>
  <si>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</si>
  <si>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</si>
  <si>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</si>
  <si>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</si>
  <si>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</si>
  <si>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</si>
  <si>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</si>
  <si>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</si>
  <si>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</si>
  <si>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</si>
  <si>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</si>
  <si>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</si>
  <si>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</si>
  <si>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</si>
  <si>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</si>
  <si>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</si>
  <si>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</si>
  <si>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</si>
  <si>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</si>
  <si>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</si>
  <si>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</si>
  <si>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</si>
  <si>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</si>
  <si>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</si>
  <si>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</si>
  <si>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</si>
  <si>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</si>
  <si>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</si>
  <si>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</si>
  <si>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</si>
  <si>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</si>
  <si>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</si>
  <si>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</si>
  <si>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</si>
  <si>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</si>
  <si>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</si>
  <si>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</si>
  <si>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</si>
  <si>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</si>
  <si>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</si>
  <si>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</si>
  <si>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</si>
  <si>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</si>
  <si>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</si>
  <si>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</si>
  <si>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</si>
  <si>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</si>
  <si>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</si>
  <si>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</si>
  <si>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</si>
  <si>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</si>
  <si>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</si>
  <si>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</si>
  <si>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</si>
  <si>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</si>
  <si>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</si>
  <si>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</si>
  <si>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</si>
  <si>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</si>
  <si>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</si>
  <si>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</si>
  <si>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</si>
  <si>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</si>
  <si>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</si>
  <si>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</si>
  <si>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</si>
  <si>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</si>
  <si>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</si>
  <si>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</si>
  <si>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</si>
  <si>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</si>
  <si>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</si>
  <si>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</si>
  <si>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</si>
  <si>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</si>
  <si>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</si>
  <si>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</si>
  <si>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</si>
  <si>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</si>
  <si>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</si>
  <si>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</si>
  <si>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</si>
  <si>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</si>
  <si>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</si>
  <si>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</si>
  <si>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</si>
  <si>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</si>
  <si>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</si>
  <si>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</si>
  <si>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</si>
  <si>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</si>
  <si>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</si>
  <si>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</si>
  <si>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</si>
  <si>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</si>
  <si>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</si>
  <si>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</si>
  <si>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</si>
  <si>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</si>
  <si>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</si>
  <si>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</si>
  <si>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</si>
  <si>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</si>
  <si>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</si>
  <si>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</si>
  <si>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</si>
  <si>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</si>
  <si>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</si>
  <si>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</si>
  <si>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</si>
  <si>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</si>
  <si>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</si>
  <si>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</si>
  <si>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</si>
  <si>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</si>
  <si>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</si>
  <si>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</si>
  <si>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</si>
  <si>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</si>
  <si>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</si>
  <si>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</si>
  <si>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</si>
  <si>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</si>
  <si>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</si>
  <si>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</si>
  <si>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</si>
  <si>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</si>
  <si>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</si>
  <si>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</si>
  <si>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</si>
  <si>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</si>
  <si>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</si>
  <si>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</si>
  <si>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</si>
  <si>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</si>
  <si>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</si>
  <si>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</si>
  <si>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</si>
  <si>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</si>
  <si>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</si>
  <si>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</si>
  <si>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</si>
  <si>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</si>
  <si>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</si>
  <si>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</si>
  <si>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</si>
  <si>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</si>
  <si>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</si>
  <si>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</si>
  <si>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</si>
  <si>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</si>
  <si>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</si>
  <si>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</si>
  <si>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</si>
  <si>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</si>
  <si>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</si>
  <si>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</si>
  <si>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</si>
  <si>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</si>
  <si>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</si>
  <si>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</si>
  <si>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</si>
  <si>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</si>
  <si>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</si>
  <si>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</si>
  <si>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</si>
  <si>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</si>
  <si>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</si>
  <si>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</si>
  <si>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</si>
  <si>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</si>
  <si>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</si>
  <si>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</si>
  <si>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</si>
  <si>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</si>
  <si>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</si>
  <si>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</si>
  <si>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</si>
  <si>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</si>
  <si>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</si>
  <si>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</si>
  <si>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</si>
  <si>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</si>
  <si>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</si>
  <si>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</si>
  <si>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</si>
  <si>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</si>
  <si>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</si>
  <si>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</si>
  <si>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</si>
  <si>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</si>
  <si>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</si>
  <si>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</si>
  <si>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</si>
  <si>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</si>
  <si>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</si>
  <si>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</si>
  <si>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</si>
  <si>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</si>
  <si>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</si>
  <si>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</si>
  <si>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</si>
  <si>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</si>
  <si>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</si>
  <si>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</si>
  <si>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</si>
  <si>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</si>
  <si>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</si>
  <si>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</si>
  <si>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</si>
  <si>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</si>
  <si>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</si>
  <si>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</si>
  <si>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</si>
  <si>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</si>
  <si>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</si>
  <si>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</si>
  <si>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</si>
  <si>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</si>
  <si>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</si>
  <si>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</si>
  <si>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</si>
  <si>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</si>
  <si>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</si>
  <si>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</si>
  <si>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</si>
  <si>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</si>
  <si>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</si>
  <si>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</si>
  <si>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</si>
  <si>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</si>
  <si>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</si>
  <si>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</si>
  <si>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</si>
  <si>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</si>
  <si>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</si>
  <si>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</si>
  <si>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</si>
  <si>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</si>
  <si>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</si>
  <si>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</si>
  <si>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</si>
  <si>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</si>
  <si>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</si>
  <si>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</si>
  <si>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</si>
  <si>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</si>
  <si>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</si>
  <si>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</si>
  <si>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</si>
  <si>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</si>
  <si>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</si>
  <si>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</si>
  <si>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</si>
  <si>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</si>
  <si>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</si>
  <si>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</si>
  <si>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</si>
  <si>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</si>
  <si>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</si>
  <si>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</si>
  <si>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</si>
  <si>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</si>
  <si>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</si>
  <si>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</si>
  <si>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</si>
  <si>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</si>
  <si>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</si>
  <si>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</si>
  <si>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</si>
  <si>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</si>
  <si>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</si>
  <si>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</si>
  <si>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</si>
  <si>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</si>
  <si>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</si>
  <si>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</si>
  <si>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</si>
  <si>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</si>
  <si>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</si>
  <si>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</si>
  <si>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</si>
  <si>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</si>
  <si>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</si>
  <si>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</si>
  <si>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</si>
  <si>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</si>
  <si>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</si>
  <si>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</si>
  <si>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</si>
  <si>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</si>
  <si>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</si>
  <si>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</si>
  <si>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</si>
  <si>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</si>
  <si>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</si>
  <si>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</si>
  <si>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</si>
  <si>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</si>
  <si>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</si>
  <si>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</si>
  <si>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</si>
  <si>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</si>
  <si>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</si>
  <si>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</si>
  <si>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</si>
  <si>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</si>
  <si>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</si>
  <si>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</si>
  <si>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</si>
  <si>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</si>
  <si>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</si>
  <si>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</si>
  <si>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</si>
  <si>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</si>
  <si>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</si>
  <si>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</si>
  <si>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</si>
  <si>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</si>
  <si>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</si>
  <si>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</si>
  <si>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</si>
  <si>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</si>
  <si>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</si>
  <si>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</si>
  <si>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</si>
  <si>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</si>
  <si>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</si>
  <si>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</si>
  <si>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</si>
  <si>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</si>
  <si>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</si>
  <si>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</si>
  <si>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</si>
  <si>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</si>
  <si>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</si>
  <si>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</si>
  <si>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</si>
  <si>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</si>
  <si>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</si>
  <si>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</si>
  <si>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</si>
  <si>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</si>
  <si>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</si>
  <si>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</si>
  <si>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</si>
  <si>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</si>
  <si>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</si>
  <si>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</si>
  <si>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</si>
  <si>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</si>
  <si>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</si>
  <si>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</si>
  <si>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</si>
  <si>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</si>
  <si>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</si>
  <si>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</si>
  <si>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</si>
  <si>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</si>
  <si>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</si>
  <si>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</si>
  <si>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</si>
  <si>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</si>
  <si>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</si>
  <si>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</si>
  <si>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</si>
  <si>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</si>
  <si>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</si>
  <si>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</si>
  <si>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</si>
  <si>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</si>
  <si>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</si>
  <si>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</si>
  <si>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</si>
  <si>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</si>
  <si>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</si>
  <si>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</si>
  <si>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</si>
  <si>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</si>
  <si>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</si>
  <si>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</si>
  <si>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</si>
  <si>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</si>
  <si>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</si>
  <si>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</si>
  <si>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</si>
  <si>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</si>
  <si>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</si>
  <si>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</si>
  <si>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</si>
  <si>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</si>
  <si>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</si>
  <si>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</si>
  <si>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</si>
  <si>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</si>
  <si>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</si>
  <si>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</si>
  <si>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</si>
  <si>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</si>
  <si>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</si>
  <si>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</si>
  <si>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</si>
  <si>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</si>
  <si>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</si>
  <si>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</si>
  <si>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</si>
  <si>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</si>
  <si>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</si>
  <si>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</si>
  <si>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</si>
  <si>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</si>
  <si>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</si>
  <si>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</si>
  <si>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</si>
  <si>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</si>
  <si>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</si>
  <si>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</si>
  <si>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</si>
  <si>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</si>
  <si>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</si>
  <si>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</si>
  <si>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</si>
  <si>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</si>
  <si>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</si>
  <si>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</si>
  <si>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</si>
  <si>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</si>
  <si>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</si>
  <si>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</si>
  <si>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</si>
  <si>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</si>
  <si>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</si>
  <si>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</si>
  <si>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</si>
  <si>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</si>
  <si>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</si>
  <si>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</si>
  <si>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</si>
  <si>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</si>
  <si>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</si>
  <si>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</si>
  <si>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</si>
  <si>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</si>
  <si>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</si>
  <si>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</si>
  <si>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</si>
  <si>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</si>
  <si>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</si>
  <si>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</si>
  <si>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</si>
  <si>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</si>
  <si>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</si>
  <si>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</si>
  <si>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</si>
  <si>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</si>
  <si>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</si>
  <si>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</si>
  <si>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</si>
  <si>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</si>
  <si>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</si>
  <si>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</si>
  <si>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</si>
  <si>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</si>
  <si>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</si>
  <si>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</si>
  <si>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</si>
  <si>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</si>
  <si>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</si>
  <si>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</si>
  <si>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</si>
  <si>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</si>
  <si>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</si>
  <si>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</si>
  <si>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</si>
  <si>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</si>
  <si>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</si>
  <si>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</si>
  <si>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</si>
  <si>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</si>
  <si>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</si>
  <si>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</si>
  <si>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</si>
  <si>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</si>
  <si>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</si>
  <si>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</si>
  <si>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</si>
  <si>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</si>
  <si>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</si>
  <si>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</si>
  <si>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</si>
  <si>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</si>
  <si>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</si>
  <si>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</si>
  <si>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</si>
  <si>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</si>
  <si>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</si>
  <si>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</si>
  <si>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</si>
  <si>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</si>
  <si>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</si>
  <si>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</si>
  <si>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</si>
  <si>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</si>
  <si>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</si>
  <si>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</si>
  <si>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</si>
  <si>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</si>
  <si>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</si>
  <si>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</si>
  <si>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</si>
  <si>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</si>
  <si>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</si>
  <si>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</si>
  <si>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</si>
  <si>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</si>
  <si>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</si>
  <si>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</si>
  <si>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</si>
  <si>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</si>
  <si>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</si>
  <si>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</si>
  <si>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</si>
  <si>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</si>
  <si>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</si>
  <si>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</si>
  <si>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</si>
  <si>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</si>
  <si>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</si>
  <si>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</si>
  <si>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</si>
  <si>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</si>
  <si>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</si>
  <si>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</si>
  <si>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</si>
  <si>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</si>
  <si>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</si>
  <si>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</si>
  <si>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</si>
  <si>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</si>
  <si>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</si>
  <si>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</si>
  <si>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</si>
  <si>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</si>
  <si>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</si>
  <si>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</si>
  <si>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</si>
  <si>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</si>
  <si>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</si>
  <si>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</si>
  <si>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</si>
  <si>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</si>
  <si>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</si>
  <si>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</si>
  <si>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</si>
  <si>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</si>
  <si>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</si>
  <si>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</si>
  <si>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</si>
  <si>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</si>
  <si>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</si>
  <si>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</si>
  <si>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</si>
  <si>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</si>
  <si>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</si>
  <si>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</si>
  <si>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</si>
  <si>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</si>
  <si>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</si>
  <si>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</si>
  <si>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</si>
  <si>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</si>
  <si>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</si>
  <si>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</si>
  <si>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</si>
  <si>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</si>
  <si>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</si>
  <si>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</si>
  <si>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</si>
  <si>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</si>
  <si>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</si>
  <si>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</si>
  <si>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</si>
  <si>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</si>
  <si>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</si>
  <si>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</si>
  <si>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</si>
  <si>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</si>
  <si>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</si>
  <si>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</si>
  <si>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</si>
  <si>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</si>
  <si>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</si>
  <si>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</si>
  <si>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</si>
  <si>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</si>
  <si>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</si>
  <si>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</si>
  <si>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</si>
  <si>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</si>
  <si>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</si>
  <si>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</si>
  <si>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</si>
  <si>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</si>
  <si>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</si>
  <si>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</si>
  <si>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</si>
  <si>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</si>
  <si>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</si>
  <si>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</si>
  <si>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</si>
  <si>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</si>
  <si>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</si>
  <si>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</si>
  <si>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</si>
  <si>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</si>
  <si>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</si>
  <si>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</si>
  <si>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</si>
  <si>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</si>
  <si>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</si>
  <si>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</si>
  <si>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</si>
  <si>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</si>
  <si>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</si>
  <si>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</si>
  <si>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</si>
  <si>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</si>
  <si>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</si>
  <si>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</si>
  <si>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</si>
  <si>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</si>
  <si>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</si>
  <si>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</si>
  <si>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</si>
  <si>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</si>
  <si>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</si>
  <si>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</si>
  <si>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</si>
  <si>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</si>
  <si>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</si>
  <si>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</si>
  <si>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</si>
  <si>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</si>
  <si>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</si>
  <si>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</si>
  <si>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</si>
  <si>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</si>
  <si>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</si>
  <si>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</si>
  <si>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</si>
  <si>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</si>
  <si>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</si>
  <si>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</si>
  <si>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</si>
  <si>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</si>
  <si>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</si>
  <si>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</si>
  <si>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</si>
  <si>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</si>
  <si>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</si>
  <si>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</si>
  <si>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</si>
  <si>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</si>
  <si>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</si>
  <si>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</si>
  <si>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</si>
  <si>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</si>
  <si>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</si>
  <si>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</si>
  <si>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</si>
  <si>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</si>
  <si>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</si>
  <si>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</si>
  <si>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</si>
  <si>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</si>
  <si>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</si>
  <si>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</si>
  <si>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</si>
  <si>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</si>
  <si>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</si>
  <si>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</si>
  <si>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</si>
  <si>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</si>
  <si>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</si>
  <si>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</si>
  <si>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</si>
  <si>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</si>
  <si>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</si>
  <si>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</si>
  <si>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</si>
  <si>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</si>
  <si>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</si>
  <si>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</si>
  <si>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</si>
  <si>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</si>
  <si>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</si>
  <si>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</si>
  <si>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</si>
  <si>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</si>
  <si>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</si>
  <si>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</si>
  <si>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</si>
  <si>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</si>
  <si>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</si>
  <si>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</si>
  <si>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</si>
  <si>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</si>
  <si>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</si>
  <si>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</si>
  <si>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</si>
  <si>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</si>
  <si>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</si>
  <si>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</si>
  <si>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</si>
  <si>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</si>
  <si>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</si>
  <si>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</si>
  <si>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</si>
  <si>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</si>
  <si>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</si>
  <si>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</si>
  <si>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</si>
  <si>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</si>
  <si>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</si>
  <si>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</si>
  <si>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</si>
  <si>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</si>
  <si>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</si>
  <si>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</si>
  <si>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</si>
  <si>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</si>
  <si>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</si>
  <si>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</si>
  <si>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</si>
  <si>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</si>
  <si>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</si>
  <si>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</si>
  <si>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</si>
  <si>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</si>
  <si>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</si>
  <si>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</si>
  <si>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</si>
  <si>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</si>
  <si>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</si>
  <si>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</si>
  <si>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</si>
  <si>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</si>
  <si>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</si>
  <si>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</si>
  <si>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</si>
  <si>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</si>
  <si>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</si>
  <si>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</si>
  <si>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</si>
  <si>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</si>
  <si>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</si>
  <si>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</si>
  <si>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</si>
  <si>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</si>
  <si>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</si>
  <si>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</si>
  <si>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</si>
  <si>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</si>
  <si>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</si>
  <si>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</si>
  <si>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</si>
  <si>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</si>
  <si>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</si>
  <si>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</si>
  <si>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</si>
  <si>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</si>
  <si>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</si>
  <si>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</si>
  <si>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</si>
  <si>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</si>
  <si>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</si>
  <si>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</si>
  <si>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</si>
  <si>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</si>
  <si>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</si>
  <si>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</si>
  <si>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</si>
  <si>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</si>
  <si>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</si>
  <si>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</si>
  <si>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</si>
  <si>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</si>
  <si>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</si>
  <si>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</si>
  <si>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</si>
  <si>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</si>
  <si>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</si>
  <si>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</si>
  <si>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</si>
  <si>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</si>
  <si>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</si>
  <si>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</si>
  <si>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</si>
  <si>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</si>
  <si>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</si>
  <si>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</si>
  <si>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</si>
  <si>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</si>
  <si>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</si>
  <si>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</si>
  <si>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</si>
  <si>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</si>
  <si>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</si>
  <si>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</si>
  <si>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</si>
  <si>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</si>
  <si>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</si>
  <si>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</si>
  <si>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</si>
  <si>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</si>
  <si>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</si>
  <si>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</si>
  <si>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</si>
  <si>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</si>
  <si>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</si>
  <si>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</si>
  <si>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</si>
  <si>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</si>
  <si>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</si>
  <si>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</si>
  <si>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</si>
  <si>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</si>
  <si>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</si>
  <si>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</si>
  <si>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</si>
  <si>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</si>
  <si>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</si>
  <si>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</si>
  <si>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</si>
  <si>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</si>
  <si>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</si>
  <si>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</si>
  <si>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</si>
  <si>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</si>
  <si>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</si>
  <si>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</si>
  <si>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</si>
  <si>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</si>
  <si>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</si>
  <si>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</si>
  <si>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</si>
  <si>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</si>
  <si>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</si>
  <si>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</si>
  <si>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</si>
  <si>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</si>
  <si>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</si>
  <si>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</si>
  <si>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</si>
  <si>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</si>
  <si>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</si>
  <si>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</si>
  <si>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</si>
  <si>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</si>
  <si>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</si>
  <si>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</si>
  <si>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</si>
  <si>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</si>
  <si>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</si>
  <si>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</si>
  <si>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</si>
  <si>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</si>
  <si>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</si>
  <si>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</si>
  <si>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</si>
  <si>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</si>
  <si>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</si>
  <si>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</si>
  <si>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</si>
  <si>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</si>
  <si>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</si>
  <si>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</si>
  <si>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</si>
  <si>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</si>
  <si>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</si>
  <si>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</si>
  <si>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</si>
  <si>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</si>
  <si>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</si>
  <si>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</si>
  <si>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</si>
  <si>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</si>
  <si>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</si>
  <si>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</si>
  <si>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</si>
  <si>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</si>
  <si>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</si>
  <si>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</si>
  <si>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</si>
  <si>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</si>
  <si>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</si>
  <si>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</si>
  <si>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</si>
  <si>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</si>
  <si>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</si>
  <si>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</si>
  <si>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</si>
  <si>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</si>
  <si>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</si>
  <si>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</si>
  <si>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</si>
  <si>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</si>
  <si>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</si>
  <si>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</si>
  <si>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</si>
  <si>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</si>
  <si>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</si>
  <si>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</si>
  <si>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</si>
  <si>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</si>
  <si>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</si>
  <si>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</si>
  <si>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</si>
  <si>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</si>
  <si>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</si>
  <si>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</si>
  <si>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</si>
  <si>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</si>
  <si>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</si>
  <si>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</si>
  <si>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</si>
  <si>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</si>
  <si>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</si>
  <si>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</si>
  <si>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</si>
  <si>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</si>
  <si>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</si>
  <si>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</si>
  <si>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</si>
  <si>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</si>
  <si>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</si>
  <si>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</si>
  <si>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</si>
  <si>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</si>
  <si>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</si>
  <si>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</si>
  <si>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</si>
  <si>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</si>
  <si>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</si>
  <si>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</si>
  <si>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</si>
  <si>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</si>
  <si>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</si>
  <si>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</si>
  <si>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</si>
  <si>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</si>
  <si>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</si>
  <si>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</si>
  <si>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</si>
  <si>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</si>
  <si>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</si>
  <si>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</si>
  <si>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</si>
  <si>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</si>
  <si>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</si>
  <si>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</si>
  <si>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</si>
  <si>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</si>
  <si>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</si>
  <si>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</si>
  <si>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</si>
  <si>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</si>
  <si>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</si>
  <si>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</si>
  <si>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</si>
  <si>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</si>
  <si>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</si>
  <si>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</si>
  <si>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</si>
  <si>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</si>
  <si>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</si>
  <si>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</si>
  <si>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</si>
  <si>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</si>
  <si>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</si>
  <si>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</si>
  <si>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</si>
  <si>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</si>
  <si>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</si>
  <si>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</si>
  <si>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</si>
  <si>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</si>
  <si>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</si>
  <si>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</si>
  <si>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</si>
  <si>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</si>
  <si>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</si>
  <si>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</si>
  <si>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</si>
  <si>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</si>
  <si>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</si>
  <si>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</si>
  <si>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</si>
  <si>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</si>
  <si>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</si>
  <si>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</si>
  <si>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</si>
  <si>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</si>
  <si>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</si>
  <si>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</si>
  <si>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</si>
  <si>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</si>
  <si>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</si>
  <si>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</si>
  <si>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</si>
  <si>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</si>
  <si>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</si>
  <si>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</si>
  <si>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</si>
  <si>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</si>
  <si>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</si>
  <si>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</si>
  <si>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</si>
  <si>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</si>
  <si>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</si>
  <si>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</si>
  <si>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</si>
  <si>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</si>
  <si>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</si>
  <si>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</si>
  <si>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</si>
  <si>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</si>
  <si>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</si>
  <si>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</si>
  <si>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</si>
  <si>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</si>
  <si>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</si>
  <si>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</si>
  <si>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</si>
  <si>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</si>
  <si>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</si>
  <si>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</si>
  <si>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</si>
  <si>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</si>
  <si>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</si>
  <si>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</si>
  <si>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</si>
  <si>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</si>
  <si>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</si>
  <si>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</si>
  <si>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</si>
  <si>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</si>
  <si>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</si>
  <si>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</si>
  <si>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</si>
  <si>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</si>
  <si>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</si>
  <si>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</si>
  <si>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</si>
  <si>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</si>
  <si>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</si>
  <si>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</si>
  <si>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</si>
  <si>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</si>
  <si>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</si>
  <si>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</si>
  <si>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</si>
  <si>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</si>
  <si>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</si>
  <si>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</si>
  <si>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</si>
  <si>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</si>
  <si>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</si>
  <si>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</si>
  <si>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</si>
  <si>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</si>
  <si>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</si>
  <si>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</si>
  <si>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</si>
  <si>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</si>
  <si>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</si>
  <si>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</si>
  <si>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</si>
  <si>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</si>
  <si>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</si>
  <si>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</si>
  <si>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</si>
  <si>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</si>
  <si>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</si>
  <si>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</si>
  <si>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</si>
  <si>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</si>
  <si>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</si>
  <si>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</si>
  <si>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</si>
  <si>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</si>
  <si>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</si>
  <si>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</si>
  <si>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</si>
  <si>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</si>
  <si>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</si>
  <si>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</si>
  <si>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</si>
  <si>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</si>
  <si>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</si>
  <si>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</si>
  <si>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</si>
  <si>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</si>
  <si>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</si>
  <si>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</si>
  <si>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</si>
  <si>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</si>
  <si>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</si>
  <si>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</si>
  <si>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</si>
  <si>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</si>
  <si>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</si>
  <si>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</si>
  <si>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</si>
  <si>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</si>
  <si>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</si>
  <si>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</si>
  <si>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</si>
  <si>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</si>
  <si>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</si>
  <si>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</si>
  <si>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</si>
  <si>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</si>
  <si>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</si>
  <si>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</si>
  <si>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</si>
  <si>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</si>
  <si>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</si>
  <si>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</si>
  <si>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</si>
  <si>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</si>
  <si>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</si>
  <si>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</si>
  <si>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</si>
  <si>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</si>
  <si>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</si>
  <si>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</si>
  <si>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</si>
  <si>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</si>
  <si>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</si>
  <si>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</si>
  <si>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</si>
  <si>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</si>
  <si>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</si>
  <si>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</si>
  <si>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</si>
  <si>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</si>
  <si>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</si>
  <si>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</si>
  <si>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</si>
  <si>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</si>
  <si>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</si>
  <si>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</si>
  <si>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</si>
  <si>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</si>
  <si>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</si>
  <si>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</si>
  <si>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</si>
  <si>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</si>
  <si>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</si>
  <si>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</si>
  <si>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</si>
  <si>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</si>
  <si>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</si>
  <si>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</si>
  <si>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</si>
  <si>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</si>
  <si>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</si>
  <si>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</si>
  <si>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</si>
  <si>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</si>
  <si>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</si>
  <si>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</si>
  <si>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</si>
  <si>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</si>
  <si>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</si>
  <si>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</si>
  <si>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</si>
  <si>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</si>
  <si>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</si>
  <si>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</si>
  <si>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</si>
  <si>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</si>
  <si>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</si>
  <si>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</si>
  <si>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</si>
  <si>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</si>
  <si>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</si>
  <si>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</si>
  <si>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</si>
  <si>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</si>
  <si>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</si>
  <si>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</si>
  <si>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</si>
  <si>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</si>
  <si>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</si>
  <si>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</si>
  <si>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</si>
  <si>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</si>
  <si>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</si>
  <si>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</si>
  <si>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</si>
  <si>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</si>
  <si>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</si>
  <si>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</si>
  <si>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</si>
  <si>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</si>
  <si>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</si>
  <si>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</si>
  <si>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</si>
  <si>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</si>
  <si>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</si>
  <si>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</si>
  <si>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</si>
  <si>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</si>
  <si>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</si>
  <si>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</si>
  <si>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</si>
  <si>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</si>
  <si>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</si>
  <si>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</si>
  <si>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</si>
  <si>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</si>
  <si>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</si>
  <si>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</si>
  <si>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</si>
  <si>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</si>
  <si>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</si>
  <si>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</si>
  <si>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</si>
  <si>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</si>
  <si>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</si>
  <si>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</si>
  <si>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</si>
  <si>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</si>
  <si>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</si>
  <si>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</si>
  <si>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</si>
  <si>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</si>
  <si>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</si>
  <si>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</si>
  <si>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</si>
  <si>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</si>
  <si>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</si>
  <si>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</si>
  <si>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</si>
  <si>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</si>
  <si>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</si>
  <si>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</si>
  <si>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</si>
  <si>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</si>
  <si>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</si>
  <si>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</si>
  <si>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</si>
  <si>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</si>
  <si>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</si>
  <si>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</si>
  <si>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</si>
  <si>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</si>
  <si>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</si>
  <si>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</si>
  <si>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</si>
  <si>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</si>
  <si>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</si>
  <si>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</si>
  <si>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</si>
  <si>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</si>
  <si>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</si>
  <si>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</si>
  <si>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</si>
  <si>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</si>
  <si>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</si>
  <si>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</si>
  <si>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</si>
  <si>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</si>
  <si>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</si>
  <si>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</si>
  <si>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</si>
  <si>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</si>
  <si>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</si>
  <si>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</si>
  <si>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</si>
  <si>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</si>
  <si>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</si>
  <si>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</si>
  <si>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</si>
  <si>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</si>
  <si>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</si>
  <si>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</si>
  <si>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</si>
  <si>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</si>
  <si>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</si>
  <si>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</si>
  <si>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</si>
  <si>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</si>
  <si>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</si>
  <si>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</si>
  <si>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</si>
  <si>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</si>
  <si>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</si>
  <si>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</si>
  <si>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</si>
  <si>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</si>
  <si>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</si>
  <si>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</si>
  <si>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</si>
  <si>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</si>
  <si>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</si>
  <si>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</si>
  <si>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</si>
  <si>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</si>
  <si>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</si>
  <si>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</si>
  <si>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</si>
  <si>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</si>
  <si>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</si>
  <si>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</si>
  <si>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</si>
  <si>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</si>
  <si>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</si>
  <si>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</si>
  <si>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</si>
  <si>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</si>
  <si>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</si>
  <si>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</si>
  <si>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</si>
  <si>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</si>
  <si>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</si>
  <si>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</si>
  <si>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</si>
  <si>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</si>
  <si>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</si>
  <si>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</si>
  <si>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</si>
  <si>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</si>
  <si>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</si>
  <si>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</si>
  <si>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</si>
  <si>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</si>
  <si>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</si>
  <si>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</si>
  <si>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</si>
  <si>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</si>
  <si>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</si>
  <si>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</si>
  <si>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</si>
  <si>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</si>
  <si>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</si>
  <si>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</si>
  <si>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</si>
  <si>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</si>
  <si>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</si>
  <si>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</si>
  <si>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</si>
  <si>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</si>
  <si>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</si>
  <si>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</si>
  <si>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</si>
  <si>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</si>
  <si>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</si>
  <si>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</si>
  <si>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</si>
  <si>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</si>
  <si>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</si>
  <si>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</si>
  <si>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</si>
  <si>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</si>
  <si>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</si>
  <si>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</si>
  <si>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</si>
  <si>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</si>
  <si>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</si>
  <si>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</si>
  <si>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</si>
  <si>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</si>
  <si>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</si>
  <si>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</si>
  <si>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</si>
  <si>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</si>
  <si>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</si>
  <si>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</si>
  <si>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</si>
  <si>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</si>
  <si>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</si>
  <si>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</si>
  <si>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</si>
  <si>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</si>
  <si>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</si>
  <si>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</si>
  <si>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</si>
  <si>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</si>
  <si>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</si>
  <si>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</si>
  <si>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</si>
  <si>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</si>
  <si>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</si>
  <si>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</si>
  <si>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</si>
  <si>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</si>
  <si>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</si>
  <si>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</si>
  <si>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</si>
  <si>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</si>
  <si>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</si>
  <si>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</si>
  <si>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</si>
  <si>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</si>
  <si>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</si>
  <si>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</si>
  <si>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</si>
  <si>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</si>
  <si>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</si>
  <si>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</si>
  <si>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</si>
  <si>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</si>
  <si>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</si>
  <si>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</si>
  <si>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</si>
  <si>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</si>
  <si>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</si>
  <si>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</si>
  <si>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</si>
  <si>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</si>
  <si>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</si>
  <si>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</si>
  <si>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</si>
  <si>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</si>
  <si>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</si>
  <si>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</si>
  <si>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</si>
  <si>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</si>
  <si>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</si>
  <si>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</si>
  <si>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</si>
  <si>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</si>
  <si>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</si>
  <si>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</si>
  <si>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</si>
  <si>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</si>
  <si>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</si>
  <si>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</si>
  <si>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</si>
  <si>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</si>
  <si>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</si>
  <si>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</si>
  <si>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</si>
  <si>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</si>
  <si>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</si>
  <si>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</si>
  <si>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</si>
  <si>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</si>
  <si>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</si>
  <si>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</si>
  <si>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</si>
  <si>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</si>
  <si>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</si>
  <si>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</si>
  <si>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</si>
  <si>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</si>
  <si>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</si>
  <si>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</si>
  <si>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</si>
  <si>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</si>
  <si>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</si>
  <si>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</si>
  <si>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</si>
  <si>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</si>
  <si>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</si>
  <si>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</si>
  <si>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</si>
  <si>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</si>
  <si>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</si>
  <si>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</si>
  <si>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</si>
  <si>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</si>
  <si>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</si>
  <si>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</si>
  <si>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</si>
  <si>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</si>
  <si>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</si>
  <si>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</si>
  <si>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</si>
  <si>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</si>
  <si>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</si>
  <si>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</si>
  <si>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</si>
  <si>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</si>
  <si>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</si>
  <si>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</si>
  <si>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</si>
  <si>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</si>
  <si>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</si>
  <si>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</si>
  <si>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</si>
  <si>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</si>
  <si>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</si>
  <si>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</si>
  <si>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</si>
  <si>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</si>
  <si>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</si>
  <si>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</si>
  <si>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</si>
  <si>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</si>
  <si>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</si>
  <si>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</si>
  <si>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</si>
  <si>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</si>
  <si>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</si>
  <si>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</si>
  <si>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</si>
  <si>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</si>
  <si>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</si>
  <si>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</si>
  <si>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</si>
  <si>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</si>
  <si>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</si>
  <si>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</si>
  <si>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</si>
  <si>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</si>
  <si>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</si>
  <si>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</si>
  <si>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</si>
  <si>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</si>
  <si>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</si>
  <si>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</si>
  <si>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</si>
  <si>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</si>
  <si>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</si>
  <si>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</si>
  <si>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</si>
  <si>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</si>
  <si>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</si>
  <si>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</si>
  <si>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</si>
  <si>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</si>
  <si>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</si>
  <si>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</si>
  <si>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</si>
  <si>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</si>
  <si>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</si>
  <si>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</si>
  <si>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</si>
  <si>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</si>
  <si>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</si>
  <si>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</si>
  <si>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</si>
  <si>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</si>
  <si>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</si>
  <si>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</si>
  <si>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</si>
  <si>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</si>
  <si>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</si>
  <si>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</si>
  <si>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</si>
  <si>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</si>
  <si>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</si>
  <si>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</si>
  <si>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</si>
  <si>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</si>
  <si>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</si>
  <si>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</si>
  <si>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</si>
  <si>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</si>
  <si>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</si>
  <si>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</si>
  <si>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</si>
  <si>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</si>
  <si>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</si>
  <si>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</si>
  <si>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</si>
  <si>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</si>
  <si>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</si>
  <si>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</si>
  <si>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</si>
  <si>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</si>
  <si>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</si>
  <si>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</si>
  <si>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</si>
  <si>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</si>
  <si>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</si>
  <si>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</si>
  <si>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</si>
  <si>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</si>
  <si>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</si>
  <si>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</si>
  <si>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</si>
  <si>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</si>
  <si>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</si>
  <si>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</si>
  <si>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</si>
  <si>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</si>
  <si>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</si>
  <si>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</si>
  <si>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</si>
  <si>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</si>
  <si>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</si>
  <si>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</si>
  <si>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</si>
  <si>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</si>
  <si>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</si>
  <si>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</si>
  <si>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</si>
  <si>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</si>
  <si>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</si>
  <si>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</si>
  <si>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</si>
  <si>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</si>
  <si>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</si>
  <si>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</si>
  <si>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</si>
  <si>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</si>
  <si>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</si>
  <si>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</si>
  <si>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</si>
  <si>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</si>
  <si>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</si>
  <si>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</si>
  <si>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</si>
  <si>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</si>
  <si>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</si>
  <si>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</si>
  <si>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</si>
  <si>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</si>
  <si>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</si>
  <si>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</si>
  <si>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</si>
  <si>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</si>
  <si>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</si>
  <si>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</si>
  <si>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</si>
  <si>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</si>
  <si>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</si>
  <si>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</si>
  <si>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</si>
  <si>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</si>
  <si>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</si>
  <si>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</si>
  <si>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</si>
  <si>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</si>
  <si>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</si>
  <si>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</si>
  <si>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</si>
  <si>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</si>
  <si>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</si>
  <si>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</si>
  <si>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</si>
  <si>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</si>
  <si>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</si>
  <si>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</si>
  <si>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</si>
  <si>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</si>
  <si>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</si>
  <si>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</si>
  <si>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</si>
  <si>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</si>
  <si>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</si>
  <si>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</si>
  <si>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</si>
  <si>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</si>
  <si>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</si>
  <si>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</si>
  <si>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</si>
  <si>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</si>
  <si>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</si>
  <si>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</si>
  <si>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</si>
  <si>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</si>
  <si>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</si>
  <si>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</si>
  <si>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</si>
  <si>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</si>
  <si>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</si>
  <si>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</si>
  <si>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</si>
  <si>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</si>
  <si>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</si>
  <si>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</si>
  <si>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</si>
  <si>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</si>
  <si>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</si>
  <si>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</si>
  <si>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</si>
  <si>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</si>
  <si>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</si>
  <si>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</si>
  <si>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</si>
  <si>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</si>
  <si>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</si>
  <si>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</si>
  <si>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</si>
  <si>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</si>
  <si>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</si>
  <si>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</si>
  <si>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</si>
  <si>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</si>
  <si>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</si>
  <si>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</si>
  <si>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</si>
  <si>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</si>
  <si>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</si>
  <si>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</si>
  <si>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</si>
  <si>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</si>
  <si>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</si>
  <si>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</si>
  <si>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</si>
  <si>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</si>
  <si>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</si>
  <si>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</si>
  <si>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</si>
  <si>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</si>
  <si>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</si>
  <si>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</si>
  <si>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</si>
  <si>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</si>
  <si>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</si>
  <si>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</si>
  <si>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</si>
  <si>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</si>
  <si>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</si>
  <si>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</si>
  <si>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</si>
  <si>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</si>
  <si>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</si>
  <si>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</si>
  <si>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</si>
  <si>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</si>
  <si>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</si>
  <si>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</si>
  <si>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</si>
  <si>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</si>
  <si>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</si>
  <si>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</si>
  <si>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</si>
  <si>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</si>
  <si>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</si>
  <si>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</si>
  <si>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</si>
  <si>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</si>
  <si>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</si>
  <si>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</si>
  <si>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</si>
  <si>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</si>
  <si>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</si>
  <si>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</si>
  <si>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</si>
  <si>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</si>
  <si>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</si>
  <si>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</si>
  <si>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</si>
  <si>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</si>
  <si>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</si>
  <si>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</si>
  <si>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</si>
  <si>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</si>
  <si>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</si>
  <si>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</si>
  <si>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</si>
  <si>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</si>
  <si>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</si>
  <si>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</si>
  <si>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</si>
  <si>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</si>
  <si>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</si>
  <si>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</si>
  <si>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</si>
  <si>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</si>
  <si>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</si>
  <si>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</si>
  <si>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</si>
  <si>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</si>
  <si>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</si>
  <si>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</si>
  <si>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</si>
  <si>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</si>
  <si>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</si>
  <si>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</si>
  <si>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</si>
  <si>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</si>
  <si>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</si>
  <si>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</si>
  <si>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</si>
  <si>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</si>
  <si>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</si>
  <si>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</si>
  <si>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</si>
  <si>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</si>
  <si>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</si>
  <si>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</si>
  <si>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</si>
  <si>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</si>
  <si>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</si>
  <si>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</si>
  <si>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</si>
  <si>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</si>
  <si>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</si>
  <si>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</si>
  <si>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</si>
  <si>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</si>
  <si>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</si>
  <si>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</si>
  <si>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</si>
  <si>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</si>
  <si>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</si>
  <si>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</si>
  <si>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</si>
  <si>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</si>
  <si>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</si>
  <si>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</si>
  <si>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</si>
  <si>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</si>
  <si>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</si>
  <si>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</si>
  <si>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</si>
  <si>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</si>
  <si>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</si>
  <si>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</si>
  <si>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</si>
  <si>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</si>
  <si>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</si>
  <si>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</si>
  <si>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</si>
  <si>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</si>
  <si>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</si>
  <si>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</si>
  <si>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</si>
  <si>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</si>
  <si>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</si>
  <si>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</si>
  <si>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</si>
  <si>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</si>
  <si>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</si>
  <si>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</si>
  <si>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</si>
  <si>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</si>
  <si>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</si>
  <si>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</si>
  <si>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</si>
  <si>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</si>
  <si>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</si>
  <si>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</si>
  <si>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</si>
  <si>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</si>
  <si>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</si>
  <si>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</si>
  <si>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</si>
  <si>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</si>
  <si>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</si>
  <si>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</si>
  <si>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</si>
  <si>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</si>
  <si>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</si>
  <si>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</si>
  <si>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</si>
  <si>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</si>
  <si>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</si>
  <si>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</si>
  <si>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</si>
  <si>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</si>
  <si>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</si>
  <si>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</si>
  <si>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</si>
  <si>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</si>
  <si>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</si>
  <si>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</si>
  <si>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</si>
  <si>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</si>
  <si>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</si>
  <si>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</si>
  <si>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</si>
  <si>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</si>
  <si>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</si>
  <si>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</si>
  <si>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</si>
  <si>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</si>
  <si>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</si>
  <si>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</si>
  <si>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</si>
  <si>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</si>
  <si>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</si>
  <si>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</si>
  <si>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</si>
  <si>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</si>
  <si>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</si>
  <si>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</si>
  <si>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</si>
  <si>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</si>
  <si>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</si>
  <si>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</si>
  <si>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</si>
  <si>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</si>
  <si>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</si>
  <si>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</si>
  <si>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</si>
  <si>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</si>
  <si>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</si>
  <si>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</si>
  <si>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</si>
  <si>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</si>
  <si>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</si>
  <si>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</si>
  <si>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</si>
  <si>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</si>
  <si>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</si>
  <si>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</si>
  <si>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</si>
  <si>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</si>
  <si>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</si>
  <si>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</si>
  <si>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</si>
  <si>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</si>
  <si>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</si>
  <si>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</si>
  <si>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</si>
  <si>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</si>
  <si>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</si>
  <si>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</si>
  <si>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</si>
  <si>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</si>
  <si>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</si>
  <si>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</si>
  <si>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</si>
  <si>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</si>
  <si>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</si>
  <si>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</si>
  <si>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</si>
  <si>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</si>
  <si>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</si>
  <si>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</si>
  <si>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</si>
  <si>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</si>
  <si>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</si>
  <si>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</si>
  <si>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</si>
  <si>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</si>
  <si>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</si>
  <si>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</si>
  <si>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</si>
  <si>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</si>
  <si>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</si>
  <si>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</si>
  <si>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</si>
  <si>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</si>
  <si>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</si>
  <si>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</si>
  <si>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</si>
  <si>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</si>
  <si>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</si>
  <si>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</si>
  <si>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</si>
  <si>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</si>
  <si>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</si>
  <si>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</si>
  <si>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</si>
  <si>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</si>
  <si>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</si>
  <si>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</si>
  <si>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</si>
  <si>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</si>
  <si>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</si>
  <si>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</si>
  <si>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</si>
  <si>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</si>
  <si>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</si>
  <si>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</si>
  <si>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</si>
  <si>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</si>
  <si>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</si>
  <si>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</si>
  <si>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</si>
  <si>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</si>
  <si>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</si>
  <si>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</si>
  <si>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</si>
  <si>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</si>
  <si>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</si>
  <si>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</si>
  <si>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</si>
  <si>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</si>
  <si>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</si>
  <si>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</si>
  <si>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</si>
  <si>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</si>
  <si>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</si>
  <si>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</si>
  <si>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</si>
  <si>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</si>
  <si>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</si>
  <si>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</si>
  <si>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</si>
  <si>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</si>
  <si>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</si>
  <si>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</si>
  <si>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</si>
  <si>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</si>
  <si>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</si>
  <si>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</si>
  <si>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</si>
  <si>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</si>
  <si>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</si>
  <si>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</si>
  <si>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</si>
  <si>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</si>
  <si>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</si>
  <si>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</si>
  <si>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</si>
  <si>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</si>
  <si>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</si>
  <si>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</si>
  <si>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</si>
  <si>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</si>
  <si>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</si>
  <si>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</si>
  <si>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</si>
  <si>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</si>
  <si>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</si>
  <si>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</si>
  <si>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</si>
  <si>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</si>
  <si>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</si>
  <si>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</si>
  <si>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</si>
  <si>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</si>
  <si>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</si>
  <si>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</si>
  <si>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</si>
  <si>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</si>
  <si>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</si>
  <si>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</si>
  <si>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</si>
  <si>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</si>
  <si>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</si>
  <si>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</si>
  <si>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</si>
  <si>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</si>
  <si>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</si>
  <si>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</si>
  <si>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</si>
  <si>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</si>
  <si>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</si>
  <si>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</si>
  <si>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</si>
  <si>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</si>
  <si>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</si>
  <si>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</si>
  <si>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</si>
  <si>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</si>
  <si>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</si>
  <si>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</si>
  <si>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</si>
  <si>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</si>
  <si>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</si>
  <si>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</si>
  <si>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</si>
  <si>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</si>
  <si>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</si>
  <si>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</si>
  <si>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</si>
  <si>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</si>
  <si>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</si>
  <si>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</si>
  <si>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</si>
  <si>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</si>
  <si>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</si>
  <si>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</si>
  <si>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</si>
  <si>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</si>
  <si>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</si>
  <si>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</si>
  <si>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</si>
  <si>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</si>
  <si>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</si>
  <si>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</si>
  <si>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</si>
  <si>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</si>
  <si>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</si>
  <si>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</si>
  <si>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</si>
  <si>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</si>
  <si>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</si>
  <si>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</si>
  <si>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</si>
  <si>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</si>
  <si>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</si>
  <si>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</si>
  <si>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</si>
  <si>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</si>
  <si>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</si>
  <si>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</si>
  <si>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</si>
  <si>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</si>
  <si>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</si>
  <si>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</si>
  <si>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</si>
  <si>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</si>
  <si>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</si>
  <si>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</si>
  <si>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</si>
  <si>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</si>
  <si>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</si>
  <si>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</si>
  <si>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</si>
  <si>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</si>
  <si>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</si>
  <si>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</si>
  <si>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</si>
  <si>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</si>
  <si>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</si>
  <si>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</si>
  <si>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</si>
  <si>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</si>
  <si>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</si>
  <si>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</si>
  <si>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</si>
  <si>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</si>
  <si>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</si>
  <si>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</si>
  <si>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</si>
  <si>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</si>
  <si>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</si>
  <si>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</si>
  <si>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</si>
  <si>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</si>
  <si>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</si>
  <si>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</si>
  <si>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</si>
  <si>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</si>
  <si>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</si>
  <si>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</si>
  <si>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</si>
  <si>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</si>
  <si>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</si>
  <si>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</si>
  <si>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</si>
  <si>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</si>
  <si>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</si>
  <si>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</si>
  <si>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</si>
  <si>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</si>
  <si>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</si>
  <si>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</si>
  <si>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</si>
  <si>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</si>
  <si>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</si>
  <si>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</si>
  <si>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</si>
  <si>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</si>
  <si>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</si>
  <si>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</si>
  <si>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</si>
  <si>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</si>
  <si>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</si>
  <si>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</si>
  <si>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</si>
  <si>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</si>
  <si>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</si>
  <si>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</si>
  <si>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</si>
  <si>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</si>
  <si>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</si>
  <si>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</si>
  <si>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</si>
  <si>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</si>
  <si>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</si>
  <si>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</si>
  <si>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</si>
  <si>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</si>
  <si>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</si>
  <si>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</si>
  <si>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</si>
  <si>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</si>
  <si>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</si>
  <si>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</si>
  <si>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</si>
  <si>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</si>
  <si>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</si>
  <si>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</si>
  <si>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</si>
  <si>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</si>
  <si>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</si>
  <si>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</si>
  <si>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</si>
  <si>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</si>
  <si>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</si>
  <si>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</si>
  <si>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</si>
  <si>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</si>
  <si>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</si>
  <si>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</si>
  <si>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</si>
  <si>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</si>
  <si>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</si>
  <si>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</si>
  <si>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</si>
  <si>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</si>
  <si>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</si>
  <si>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</si>
  <si>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</si>
  <si>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</si>
  <si>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</si>
  <si>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</si>
  <si>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</si>
  <si>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</si>
  <si>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</si>
  <si>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</si>
  <si>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</si>
  <si>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</si>
  <si>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</si>
  <si>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</si>
  <si>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</si>
  <si>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</si>
  <si>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</si>
  <si>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</si>
  <si>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</si>
  <si>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</si>
  <si>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</si>
  <si>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</si>
  <si>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</si>
  <si>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</si>
  <si>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</si>
  <si>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</si>
  <si>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</si>
  <si>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</si>
  <si>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</si>
  <si>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</si>
  <si>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</si>
  <si>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</si>
  <si>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</si>
  <si>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</si>
  <si>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</si>
  <si>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</si>
  <si>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</si>
  <si>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</si>
  <si>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</si>
  <si>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</si>
  <si>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</si>
  <si>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</si>
  <si>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</si>
  <si>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</si>
  <si>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</si>
  <si>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</si>
  <si>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</si>
  <si>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</si>
  <si>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</si>
  <si>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</si>
  <si>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</si>
  <si>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</si>
  <si>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</si>
  <si>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</si>
  <si>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</si>
  <si>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</si>
  <si>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</si>
  <si>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</si>
  <si>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</si>
  <si>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</si>
  <si>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</si>
  <si>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</si>
  <si>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</si>
  <si>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</si>
  <si>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</si>
  <si>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</si>
  <si>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</si>
  <si>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</si>
  <si>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</si>
  <si>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</si>
  <si>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</si>
  <si>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</si>
  <si>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</si>
  <si>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</si>
  <si>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</si>
  <si>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</si>
  <si>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</si>
  <si>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</si>
  <si>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</si>
  <si>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</si>
  <si>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</si>
  <si>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</si>
  <si>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</si>
  <si>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</si>
  <si>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</si>
  <si>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</si>
  <si>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</si>
  <si>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</si>
  <si>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</si>
  <si>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</si>
  <si>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</si>
  <si>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</si>
  <si>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</si>
  <si>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</si>
  <si>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</si>
  <si>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</si>
  <si>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</si>
  <si>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</si>
  <si>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</si>
  <si>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</si>
  <si>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</si>
  <si>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</si>
  <si>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</si>
  <si>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</si>
  <si>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</si>
  <si>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</si>
  <si>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</si>
  <si>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</si>
  <si>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</si>
  <si>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</si>
  <si>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</si>
  <si>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</si>
  <si>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</si>
  <si>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</si>
  <si>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</si>
  <si>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</si>
  <si>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</si>
  <si>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</si>
  <si>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</si>
  <si>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</si>
  <si>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</si>
  <si>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</si>
  <si>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</si>
  <si>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</si>
  <si>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</si>
  <si>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</si>
  <si>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</si>
  <si>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</si>
  <si>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</si>
  <si>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</si>
  <si>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</si>
  <si>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</si>
  <si>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</si>
  <si>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</si>
  <si>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</si>
  <si>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</si>
  <si>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</si>
  <si>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</si>
  <si>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</si>
  <si>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</si>
  <si>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</si>
  <si>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</si>
  <si>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</si>
  <si>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</si>
  <si>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</si>
  <si>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</si>
  <si>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</si>
  <si>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</si>
  <si>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</si>
  <si>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</si>
  <si>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</si>
  <si>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</si>
  <si>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</si>
  <si>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</si>
  <si>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</si>
  <si>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</si>
  <si>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</si>
  <si>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</si>
  <si>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</si>
  <si>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</si>
  <si>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</si>
  <si>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</si>
  <si>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</si>
  <si>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</si>
  <si>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</si>
  <si>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</si>
  <si>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</si>
  <si>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</si>
  <si>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</si>
  <si>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</si>
  <si>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</si>
  <si>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</si>
  <si>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</si>
  <si>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</si>
  <si>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</si>
  <si>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</si>
  <si>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</si>
  <si>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</si>
  <si>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</si>
  <si>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</si>
  <si>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</si>
  <si>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</si>
  <si>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</si>
  <si>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</si>
  <si>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</si>
  <si>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</si>
  <si>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</si>
  <si>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</si>
  <si>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</si>
  <si>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</si>
  <si>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</si>
  <si>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</si>
  <si>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</si>
  <si>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</si>
  <si>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</si>
  <si>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</si>
  <si>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</si>
  <si>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</si>
  <si>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</si>
  <si>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</si>
  <si>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</si>
  <si>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</si>
  <si>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</si>
  <si>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</si>
  <si>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</si>
  <si>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</si>
  <si>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</si>
  <si>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</si>
  <si>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</si>
  <si>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</si>
  <si>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</si>
  <si>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</si>
  <si>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</si>
  <si>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</si>
  <si>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</si>
  <si>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</si>
  <si>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</si>
  <si>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</si>
  <si>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</si>
  <si>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</si>
  <si>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</si>
  <si>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</si>
  <si>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</si>
  <si>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</si>
  <si>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</si>
  <si>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</si>
  <si>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</si>
  <si>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</si>
  <si>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</si>
  <si>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</si>
  <si>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</si>
  <si>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</si>
  <si>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</si>
  <si>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</si>
  <si>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</si>
  <si>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</si>
  <si>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</si>
  <si>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</si>
  <si>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</si>
  <si>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</si>
  <si>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</si>
  <si>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</si>
  <si>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</si>
  <si>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</si>
  <si>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</si>
  <si>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</si>
  <si>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</si>
  <si>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</si>
  <si>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</si>
  <si>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</si>
  <si>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</si>
  <si>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</si>
  <si>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</si>
  <si>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</si>
  <si>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</si>
  <si>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</si>
  <si>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</si>
  <si>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</si>
  <si>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</si>
  <si>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</si>
  <si>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</si>
  <si>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</si>
  <si>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</si>
  <si>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</si>
  <si>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</si>
  <si>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</si>
  <si>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</si>
  <si>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</si>
  <si>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</si>
  <si>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</si>
  <si>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</si>
  <si>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</si>
  <si>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</si>
  <si>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</si>
  <si>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</si>
  <si>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</si>
  <si>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</si>
  <si>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</si>
  <si>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</si>
  <si>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</si>
  <si>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</si>
  <si>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</si>
  <si>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</si>
  <si>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</si>
  <si>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</si>
  <si>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</si>
  <si>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</si>
  <si>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</si>
  <si>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</si>
  <si>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</si>
  <si>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</si>
  <si>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</si>
  <si>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</si>
  <si>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</si>
  <si>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</si>
  <si>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</si>
  <si>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</si>
  <si>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</si>
  <si>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</si>
  <si>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</si>
  <si>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</si>
  <si>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</si>
  <si>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</si>
  <si>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</si>
  <si>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</si>
  <si>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</si>
  <si>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</si>
  <si>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</si>
  <si>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</si>
  <si>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</si>
  <si>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</si>
  <si>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</si>
  <si>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</si>
  <si>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</si>
  <si>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</si>
  <si>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</si>
  <si>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</si>
  <si>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</si>
  <si>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</si>
  <si>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</si>
  <si>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</si>
  <si>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</si>
  <si>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</si>
  <si>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</si>
  <si>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</si>
  <si>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</si>
  <si>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</si>
  <si>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</si>
  <si>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</si>
  <si>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</si>
  <si>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</si>
  <si>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</si>
  <si>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</si>
  <si>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</si>
  <si>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</si>
  <si>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</si>
  <si>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</si>
  <si>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</si>
  <si>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</si>
  <si>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</si>
  <si>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</si>
  <si>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</si>
  <si>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</si>
  <si>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</si>
  <si>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</si>
  <si>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</si>
  <si>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</si>
  <si>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</si>
  <si>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</si>
  <si>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</si>
  <si>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</si>
  <si>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</si>
  <si>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</si>
  <si>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</si>
  <si>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</si>
  <si>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</si>
  <si>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</si>
  <si>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</si>
  <si>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</si>
  <si>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</si>
  <si>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</si>
  <si>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</si>
  <si>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</si>
  <si>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</si>
  <si>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</si>
  <si>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</si>
  <si>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</si>
  <si>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</si>
  <si>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</si>
  <si>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</si>
  <si>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</si>
  <si>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</si>
  <si>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</si>
  <si>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</si>
  <si>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</si>
  <si>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</si>
  <si>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</si>
  <si>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</si>
  <si>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</si>
  <si>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</si>
  <si>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</si>
  <si>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</si>
  <si>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</si>
  <si>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</si>
  <si>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</si>
  <si>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</si>
  <si>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</si>
  <si>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</si>
  <si>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</si>
  <si>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</si>
  <si>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</si>
  <si>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</si>
  <si>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</si>
  <si>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</si>
  <si>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</si>
  <si>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</si>
  <si>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</si>
  <si>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</si>
  <si>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</si>
  <si>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</si>
  <si>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</si>
  <si>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</si>
  <si>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</si>
  <si>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</si>
  <si>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</si>
  <si>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</si>
  <si>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</si>
  <si>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</si>
  <si>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</si>
  <si>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</si>
  <si>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</si>
  <si>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</si>
  <si>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</si>
  <si>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</si>
  <si>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</si>
  <si>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</si>
  <si>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</si>
  <si>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</si>
  <si>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</si>
  <si>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</si>
  <si>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</si>
  <si>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</si>
  <si>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</si>
  <si>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</si>
  <si>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</si>
  <si>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</si>
  <si>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</si>
  <si>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</si>
  <si>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</si>
  <si>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</si>
  <si>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</si>
  <si>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</si>
  <si>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</si>
  <si>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</si>
  <si>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</si>
  <si>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</si>
  <si>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</si>
  <si>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</si>
  <si>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</si>
  <si>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</si>
  <si>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</si>
  <si>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</si>
  <si>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</si>
  <si>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</si>
  <si>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</si>
  <si>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</si>
  <si>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</si>
  <si>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</si>
  <si>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</si>
  <si>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</si>
  <si>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</si>
  <si>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</si>
  <si>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</si>
  <si>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</si>
  <si>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</si>
  <si>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</si>
  <si>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</si>
  <si>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</si>
  <si>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</si>
  <si>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</si>
  <si>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</si>
  <si>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</si>
  <si>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</si>
  <si>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</si>
  <si>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</si>
  <si>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</si>
  <si>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</si>
  <si>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</si>
  <si>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</si>
  <si>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</si>
  <si>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</si>
  <si>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</si>
  <si>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</si>
  <si>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</si>
  <si>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</si>
  <si>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</si>
  <si>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</si>
  <si>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</si>
  <si>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</si>
  <si>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</si>
  <si>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</si>
  <si>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</si>
  <si>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</si>
  <si>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</si>
  <si>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</si>
  <si>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</si>
  <si>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</si>
  <si>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</si>
  <si>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</si>
  <si>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</si>
  <si>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</si>
  <si>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</si>
  <si>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</si>
  <si>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</si>
  <si>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</si>
  <si>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</si>
  <si>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</si>
  <si>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</si>
  <si>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</si>
  <si>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</si>
  <si>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</si>
  <si>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</si>
  <si>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</si>
  <si>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</si>
  <si>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</si>
  <si>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</si>
  <si>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</si>
  <si>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</si>
  <si>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</si>
  <si>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</si>
  <si>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</si>
  <si>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</si>
  <si>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</si>
  <si>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</si>
  <si>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</si>
  <si>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</si>
  <si>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</si>
  <si>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</si>
  <si>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</si>
  <si>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</si>
  <si>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</si>
  <si>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</si>
  <si>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</si>
  <si>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</si>
  <si>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</si>
  <si>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</si>
  <si>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</si>
  <si>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</si>
  <si>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</si>
  <si>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</si>
  <si>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</si>
  <si>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</si>
  <si>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</si>
  <si>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</si>
  <si>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</si>
  <si>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</si>
  <si>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</si>
  <si>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</si>
  <si>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</si>
  <si>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</si>
  <si>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</si>
  <si>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</si>
  <si>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</si>
  <si>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</si>
  <si>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</si>
  <si>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</si>
  <si>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</si>
  <si>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</si>
  <si>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</si>
  <si>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</si>
  <si>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</si>
  <si>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</si>
  <si>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</si>
  <si>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</si>
  <si>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</si>
  <si>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</si>
  <si>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</si>
  <si>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</si>
  <si>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</si>
  <si>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</si>
  <si>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</si>
  <si>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</si>
  <si>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</si>
  <si>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</si>
  <si>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</si>
  <si>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</si>
  <si>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</si>
  <si>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</si>
  <si>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</si>
  <si>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</si>
  <si>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</si>
  <si>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</si>
  <si>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</si>
  <si>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</si>
  <si>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</si>
  <si>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</si>
  <si>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</si>
  <si>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</si>
  <si>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</si>
  <si>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</si>
  <si>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</si>
  <si>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</si>
  <si>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</si>
  <si>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</si>
  <si>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</si>
  <si>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</si>
  <si>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</si>
  <si>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</si>
  <si>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</si>
  <si>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</si>
  <si>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</si>
  <si>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</si>
  <si>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</si>
  <si>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</si>
  <si>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</si>
  <si>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</si>
  <si>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</si>
  <si>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</si>
  <si>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</si>
  <si>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</si>
  <si>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</si>
  <si>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</si>
  <si>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</si>
  <si>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</si>
  <si>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</si>
  <si>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</si>
  <si>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</si>
  <si>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</si>
  <si>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</si>
  <si>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</si>
  <si>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</si>
  <si>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</si>
  <si>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</si>
  <si>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</si>
  <si>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</si>
  <si>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</si>
  <si>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</si>
  <si>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</si>
  <si>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</si>
  <si>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</si>
  <si>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</si>
  <si>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</si>
  <si>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</si>
  <si>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</si>
  <si>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</si>
  <si>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</si>
  <si>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</si>
  <si>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</si>
  <si>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</si>
  <si>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</si>
  <si>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</si>
  <si>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</si>
  <si>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</si>
  <si>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</si>
  <si>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</si>
  <si>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</si>
  <si>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</si>
  <si>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</si>
  <si>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</si>
  <si>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</si>
  <si>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</si>
  <si>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</si>
  <si>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</si>
  <si>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</si>
  <si>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</si>
  <si>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</si>
  <si>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</si>
  <si>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</si>
  <si>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</si>
  <si>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</si>
  <si>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</si>
  <si>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</si>
  <si>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</si>
  <si>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</si>
  <si>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</si>
  <si>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</si>
  <si>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</si>
  <si>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</si>
  <si>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</si>
  <si>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</si>
  <si>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</si>
  <si>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</si>
  <si>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</si>
  <si>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</si>
  <si>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</si>
  <si>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</si>
  <si>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</si>
  <si>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</si>
  <si>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</si>
  <si>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</si>
  <si>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</si>
  <si>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</si>
  <si>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</si>
  <si>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</si>
  <si>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</si>
  <si>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</si>
  <si>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</si>
  <si>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</si>
  <si>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</si>
  <si>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</si>
  <si>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</si>
  <si>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</si>
  <si>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</si>
  <si>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</si>
  <si>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</si>
  <si>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</si>
  <si>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</si>
  <si>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</si>
  <si>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</si>
  <si>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</si>
  <si>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</si>
  <si>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</si>
  <si>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</si>
  <si>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</si>
  <si>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</si>
  <si>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</si>
  <si>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</si>
  <si>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</si>
  <si>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</si>
  <si>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</si>
  <si>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</si>
  <si>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</si>
  <si>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</si>
  <si>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</si>
  <si>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</si>
  <si>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</si>
  <si>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</si>
  <si>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</si>
  <si>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</si>
  <si>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</si>
  <si>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</si>
  <si>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</si>
  <si>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</si>
  <si>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</si>
  <si>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</si>
  <si>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</si>
  <si>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</si>
  <si>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</si>
  <si>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</si>
  <si>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</si>
  <si>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</si>
  <si>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</si>
  <si>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</si>
  <si>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</si>
  <si>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</si>
  <si>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</si>
  <si>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</si>
  <si>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</si>
  <si>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</si>
  <si>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</si>
  <si>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</si>
  <si>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</si>
  <si>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</si>
  <si>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</si>
  <si>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</si>
  <si>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</si>
  <si>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</si>
  <si>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</si>
  <si>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</si>
  <si>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</si>
  <si>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</si>
  <si>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</si>
  <si>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</si>
  <si>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</si>
  <si>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</si>
  <si>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</si>
  <si>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</si>
  <si>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</si>
  <si>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</si>
  <si>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</si>
  <si>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</si>
  <si>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</si>
  <si>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</si>
  <si>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</si>
  <si>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</si>
  <si>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</si>
  <si>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</si>
  <si>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</si>
  <si>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</si>
  <si>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</si>
  <si>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</si>
  <si>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</si>
  <si>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</si>
  <si>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</si>
  <si>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</si>
  <si>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</si>
  <si>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</si>
  <si>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</si>
  <si>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</si>
  <si>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</si>
  <si>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</si>
  <si>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</si>
  <si>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</si>
  <si>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</si>
  <si>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</si>
  <si>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</si>
  <si>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</si>
  <si>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</si>
  <si>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</si>
  <si>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</si>
  <si>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</si>
  <si>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</si>
  <si>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</si>
  <si>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</si>
  <si>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</si>
  <si>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</si>
  <si>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</si>
  <si>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</si>
  <si>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</si>
  <si>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</si>
  <si>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</si>
  <si>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</si>
  <si>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</si>
  <si>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</si>
  <si>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</si>
  <si>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</si>
  <si>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</si>
  <si>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</si>
  <si>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</si>
  <si>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</si>
  <si>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</si>
  <si>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</si>
  <si>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</si>
  <si>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</si>
  <si>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</si>
  <si>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</si>
  <si>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</si>
  <si>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</si>
  <si>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</si>
  <si>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</si>
  <si>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</si>
  <si>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</si>
  <si>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</si>
  <si>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</si>
  <si>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</si>
  <si>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</si>
  <si>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</si>
  <si>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</si>
  <si>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</si>
  <si>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</si>
  <si>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</si>
  <si>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</si>
  <si>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</si>
  <si>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</si>
  <si>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</si>
  <si>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</si>
  <si>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</si>
  <si>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</si>
  <si>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</si>
  <si>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</si>
  <si>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</si>
  <si>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</si>
  <si>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</si>
  <si>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</si>
  <si>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</si>
  <si>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</si>
  <si>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</si>
  <si>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</si>
  <si>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</si>
  <si>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</si>
  <si>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</si>
  <si>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</si>
  <si>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</si>
  <si>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</si>
  <si>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</si>
  <si>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</si>
  <si>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</si>
  <si>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</si>
  <si>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</si>
  <si>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</si>
  <si>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</si>
  <si>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</si>
  <si>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</si>
  <si>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</si>
  <si>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</si>
  <si>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</si>
  <si>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</si>
  <si>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</si>
  <si>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</si>
  <si>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</si>
  <si>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</si>
  <si>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</si>
  <si>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</si>
  <si>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</si>
  <si>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</si>
  <si>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</si>
  <si>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</si>
  <si>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</si>
  <si>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</si>
  <si>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</si>
  <si>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</si>
  <si>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</si>
  <si>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</si>
  <si>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</si>
  <si>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</si>
  <si>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</si>
  <si>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</si>
  <si>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</si>
  <si>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</si>
  <si>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</si>
  <si>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</si>
  <si>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</si>
  <si>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</si>
  <si>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</si>
  <si>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</si>
  <si>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</si>
  <si>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</si>
  <si>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</si>
  <si>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</si>
  <si>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</si>
  <si>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</si>
  <si>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</si>
  <si>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</si>
  <si>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</si>
  <si>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</si>
  <si>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</si>
  <si>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</si>
  <si>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</si>
  <si>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</si>
  <si>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</si>
  <si>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</si>
  <si>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</si>
  <si>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</si>
  <si>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</si>
  <si>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</si>
  <si>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</si>
  <si>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</si>
  <si>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</si>
  <si>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</si>
  <si>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</si>
  <si>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</si>
  <si>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</si>
  <si>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</si>
  <si>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</si>
  <si>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</si>
  <si>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</si>
  <si>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</si>
  <si>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</si>
  <si>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</si>
  <si>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</si>
  <si>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</si>
  <si>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</si>
  <si>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</si>
  <si>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</si>
  <si>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</si>
  <si>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</si>
  <si>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</si>
  <si>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</si>
  <si>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</si>
  <si>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</si>
  <si>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</si>
  <si>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</si>
  <si>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</si>
  <si>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</si>
  <si>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</si>
  <si>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</si>
  <si>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</si>
  <si>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</si>
  <si>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</si>
  <si>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</si>
  <si>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</si>
  <si>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</si>
  <si>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</si>
  <si>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</si>
  <si>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</si>
  <si>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</si>
  <si>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</si>
  <si>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</si>
  <si>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</si>
  <si>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</si>
  <si>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</si>
  <si>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</si>
  <si>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</si>
  <si>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</si>
  <si>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</si>
  <si>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</si>
  <si>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</si>
  <si>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</si>
  <si>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</si>
  <si>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</si>
  <si>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</si>
  <si>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</si>
  <si>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</si>
  <si>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</si>
  <si>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</si>
  <si>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</si>
  <si>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</si>
  <si>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</si>
  <si>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</si>
  <si>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</si>
  <si>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</si>
  <si>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</si>
  <si>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</si>
  <si>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</si>
  <si>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</si>
  <si>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</si>
  <si>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</si>
  <si>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</si>
  <si>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</si>
  <si>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</si>
  <si>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</si>
  <si>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</si>
  <si>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</si>
  <si>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</si>
  <si>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</si>
  <si>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</si>
  <si>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</si>
  <si>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</si>
  <si>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</si>
  <si>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</si>
  <si>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</si>
  <si>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</si>
  <si>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</si>
  <si>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</si>
  <si>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</si>
  <si>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</si>
  <si>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</si>
  <si>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</si>
  <si>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</si>
  <si>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</si>
  <si>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</si>
  <si>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</si>
  <si>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</si>
  <si>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</si>
  <si>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</si>
  <si>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</si>
  <si>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</si>
  <si>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</si>
  <si>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</si>
  <si>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</si>
  <si>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</si>
  <si>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</si>
  <si>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</si>
  <si>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</si>
  <si>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</si>
  <si>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</si>
  <si>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</si>
  <si>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</si>
  <si>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</si>
  <si>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</si>
  <si>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</si>
  <si>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</si>
  <si>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</si>
  <si>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</si>
  <si>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</si>
  <si>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</si>
  <si>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</si>
  <si>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</si>
  <si>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</si>
  <si>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</si>
  <si>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</si>
  <si>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</si>
  <si>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</si>
  <si>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</si>
  <si>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</si>
  <si>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</si>
  <si>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</si>
  <si>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</si>
  <si>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</si>
  <si>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</si>
  <si>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</si>
  <si>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</si>
  <si>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</si>
  <si>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</si>
  <si>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</si>
  <si>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</si>
  <si>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</si>
  <si>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</si>
  <si>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</si>
  <si>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</si>
  <si>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</si>
  <si>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</si>
  <si>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</si>
  <si>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</si>
  <si>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</si>
  <si>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</si>
  <si>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</si>
  <si>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</si>
  <si>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</si>
  <si>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</si>
  <si>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</si>
  <si>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</si>
  <si>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</si>
  <si>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</si>
  <si>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</si>
  <si>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</si>
  <si>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</si>
  <si>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</si>
  <si>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</si>
  <si>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</si>
  <si>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</si>
  <si>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</si>
  <si>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</si>
  <si>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</si>
  <si>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</si>
  <si>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</si>
  <si>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</si>
  <si>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</si>
  <si>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</si>
  <si>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</si>
  <si>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</si>
  <si>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</si>
  <si>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</si>
  <si>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</si>
  <si>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</si>
  <si>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</si>
  <si>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</si>
  <si>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</si>
  <si>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</si>
  <si>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</si>
  <si>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</si>
  <si>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</si>
  <si>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</si>
  <si>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</si>
  <si>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</si>
  <si>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</si>
  <si>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</si>
  <si>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</si>
  <si>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</si>
  <si>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</si>
  <si>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</si>
  <si>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</si>
  <si>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</si>
  <si>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</si>
  <si>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</si>
  <si>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</si>
  <si>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</si>
  <si>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</si>
  <si>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</si>
  <si>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</si>
  <si>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</si>
  <si>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</si>
  <si>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</si>
  <si>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</si>
  <si>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</si>
  <si>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</si>
  <si>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</si>
  <si>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</si>
  <si>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</si>
  <si>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</si>
  <si>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</si>
  <si>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</si>
  <si>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</si>
  <si>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</si>
  <si>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</si>
  <si>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</si>
  <si>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</si>
  <si>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</si>
  <si>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</si>
  <si>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</si>
  <si>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</si>
  <si>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</si>
  <si>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</si>
  <si>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</si>
  <si>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</si>
  <si>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</si>
  <si>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</si>
  <si>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</si>
  <si>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</si>
  <si>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</si>
  <si>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</si>
  <si>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</si>
  <si>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</si>
  <si>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</si>
  <si>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</si>
  <si>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</si>
  <si>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</si>
  <si>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</si>
  <si>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</si>
  <si>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</si>
  <si>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</si>
  <si>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</si>
  <si>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</si>
  <si>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</si>
  <si>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</si>
  <si>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</si>
  <si>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</si>
  <si>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</si>
  <si>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</si>
  <si>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</si>
  <si>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</si>
  <si>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</si>
  <si>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</si>
  <si>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</si>
  <si>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</si>
  <si>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</si>
  <si>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</si>
  <si>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</si>
  <si>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</si>
  <si>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</si>
  <si>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</si>
  <si>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</si>
  <si>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</si>
  <si>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</si>
  <si>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</si>
  <si>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</si>
  <si>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</si>
  <si>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</si>
  <si>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</si>
  <si>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</si>
  <si>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</si>
  <si>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</si>
  <si>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</si>
  <si>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</si>
  <si>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</si>
  <si>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</si>
  <si>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</si>
  <si>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</si>
  <si>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</si>
  <si>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</si>
  <si>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</si>
  <si>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</si>
  <si>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</si>
  <si>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</si>
  <si>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</si>
  <si>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</si>
  <si>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</si>
  <si>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</si>
  <si>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</si>
  <si>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</si>
  <si>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</si>
  <si>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</si>
  <si>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</si>
  <si>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</si>
  <si>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</si>
  <si>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</si>
  <si>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</si>
  <si>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</si>
  <si>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</si>
  <si>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</si>
  <si>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</si>
  <si>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</si>
  <si>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</si>
  <si>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</si>
  <si>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</si>
  <si>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</si>
  <si>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</si>
  <si>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</si>
  <si>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</si>
  <si>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</si>
  <si>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</si>
  <si>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</si>
  <si>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</si>
  <si>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</si>
  <si>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</si>
  <si>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</si>
  <si>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</si>
  <si>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</si>
  <si>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</si>
  <si>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</si>
  <si>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</si>
  <si>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</si>
  <si>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</si>
  <si>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</si>
  <si>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</si>
  <si>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</si>
  <si>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</si>
  <si>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</si>
  <si>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</si>
  <si>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</si>
  <si>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</si>
  <si>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</si>
  <si>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</si>
  <si>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</si>
  <si>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</si>
  <si>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</si>
  <si>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</si>
  <si>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</si>
  <si>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</si>
  <si>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</si>
  <si>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</si>
  <si>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</si>
  <si>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</si>
  <si>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</si>
  <si>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</si>
  <si>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</si>
  <si>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</si>
  <si>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</si>
  <si>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</si>
  <si>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</si>
  <si>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</si>
  <si>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</si>
  <si>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</si>
  <si>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</si>
  <si>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</si>
  <si>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</si>
  <si>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</si>
  <si>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</si>
  <si>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</si>
  <si>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</si>
  <si>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</si>
  <si>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</si>
  <si>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</si>
  <si>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</si>
  <si>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</si>
  <si>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</si>
  <si>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</si>
  <si>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</si>
  <si>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</si>
  <si>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</si>
  <si>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</si>
  <si>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</si>
  <si>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</si>
  <si>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</si>
  <si>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</si>
  <si>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</si>
  <si>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</si>
  <si>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</si>
  <si>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</si>
  <si>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</si>
  <si>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</si>
  <si>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</si>
  <si>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</si>
  <si>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</si>
  <si>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</si>
  <si>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</si>
  <si>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</si>
  <si>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</si>
  <si>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</si>
  <si>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</si>
  <si>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</si>
  <si>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</si>
  <si>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</si>
  <si>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</si>
  <si>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</si>
  <si>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</si>
  <si>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</si>
  <si>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</si>
  <si>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</si>
  <si>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</si>
  <si>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</si>
  <si>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</si>
  <si>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</si>
  <si>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</si>
  <si>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</si>
  <si>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</si>
  <si>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</si>
  <si>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</si>
  <si>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</si>
  <si>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</si>
  <si>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</si>
  <si>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</si>
  <si>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</si>
  <si>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</si>
  <si>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</si>
  <si>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</si>
  <si>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</si>
  <si>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</si>
  <si>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</si>
  <si>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</si>
  <si>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</si>
  <si>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</si>
  <si>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</si>
  <si>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</si>
  <si>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</si>
  <si>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</si>
  <si>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</si>
  <si>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</si>
  <si>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</si>
  <si>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</si>
  <si>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</si>
  <si>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</si>
  <si>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</si>
  <si>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</si>
  <si>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</si>
  <si>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</si>
  <si>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</si>
  <si>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</si>
  <si>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</si>
  <si>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</si>
  <si>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</si>
  <si>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</si>
  <si>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</si>
  <si>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</si>
  <si>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</si>
  <si>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</si>
  <si>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</si>
  <si>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</si>
  <si>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</si>
  <si>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</si>
  <si>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</si>
  <si>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</si>
  <si>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</si>
  <si>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</si>
  <si>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</si>
  <si>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</si>
  <si>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</si>
  <si>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</si>
  <si>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</si>
  <si>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</si>
  <si>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</si>
  <si>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</si>
  <si>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</si>
  <si>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</si>
  <si>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</si>
  <si>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</si>
  <si>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</si>
  <si>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</si>
  <si>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</si>
  <si>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</si>
  <si>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</si>
  <si>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</si>
  <si>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</si>
  <si>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</si>
  <si>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</si>
  <si>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</si>
  <si>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</si>
  <si>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</si>
  <si>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</si>
  <si>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</si>
  <si>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</si>
  <si>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</si>
  <si>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</si>
  <si>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</si>
  <si>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</si>
  <si>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</si>
  <si>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</si>
  <si>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</si>
  <si>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</si>
  <si>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</si>
  <si>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</si>
  <si>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</si>
  <si>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</si>
  <si>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</si>
  <si>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</si>
  <si>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</si>
  <si>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</si>
  <si>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</si>
  <si>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</si>
  <si>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</si>
  <si>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</si>
  <si>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</si>
  <si>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</si>
  <si>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</si>
  <si>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</si>
  <si>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</si>
  <si>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</si>
  <si>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</si>
  <si>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</si>
  <si>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</si>
  <si>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</si>
  <si>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</si>
  <si>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</si>
  <si>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</si>
  <si>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</si>
  <si>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</si>
  <si>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</si>
  <si>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</si>
  <si>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</si>
  <si>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</si>
  <si>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</si>
  <si>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</si>
  <si>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</si>
  <si>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</si>
  <si>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</si>
  <si>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</si>
  <si>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</si>
  <si>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</si>
  <si>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</si>
  <si>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</si>
  <si>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</si>
  <si>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</si>
  <si>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</si>
  <si>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</si>
  <si>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</si>
  <si>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</si>
  <si>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</si>
  <si>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</si>
  <si>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</si>
  <si>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</si>
  <si>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</si>
  <si>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</si>
  <si>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</si>
  <si>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</si>
  <si>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</si>
  <si>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</si>
  <si>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</si>
  <si>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</si>
  <si>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</si>
  <si>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</si>
  <si>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</si>
  <si>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</si>
  <si>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</si>
  <si>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</si>
  <si>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</si>
  <si>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</si>
  <si>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</si>
  <si>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</si>
  <si>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</si>
  <si>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</si>
  <si>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</si>
  <si>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</si>
  <si>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</si>
  <si>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</si>
  <si>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</si>
  <si>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</si>
  <si>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</si>
  <si>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</si>
  <si>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</si>
  <si>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</si>
  <si>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</si>
  <si>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</si>
  <si>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</si>
  <si>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</si>
  <si>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</si>
  <si>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</si>
  <si>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</si>
  <si>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</si>
  <si>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</si>
  <si>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</si>
  <si>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</si>
  <si>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</si>
  <si>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</si>
  <si>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</si>
  <si>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</si>
  <si>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</si>
  <si>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</si>
  <si>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</si>
  <si>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</si>
  <si>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</si>
  <si>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</si>
  <si>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</si>
  <si>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</si>
  <si>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</si>
  <si>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</si>
  <si>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</si>
  <si>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</si>
  <si>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</si>
  <si>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</si>
  <si>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</si>
  <si>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</si>
  <si>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</si>
  <si>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</si>
  <si>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</si>
  <si>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</si>
  <si>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</si>
  <si>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</si>
  <si>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</si>
  <si>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</si>
  <si>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</si>
  <si>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</si>
  <si>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</si>
  <si>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</si>
  <si>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</si>
  <si>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</si>
  <si>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</si>
  <si>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</si>
  <si>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</si>
  <si>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</si>
  <si>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</si>
  <si>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</si>
  <si>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</si>
  <si>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</si>
  <si>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</si>
  <si>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</si>
  <si>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</si>
  <si>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</si>
  <si>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</si>
  <si>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</si>
  <si>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</si>
  <si>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</si>
  <si>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</si>
  <si>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</si>
  <si>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</si>
  <si>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</si>
  <si>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</si>
  <si>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</si>
  <si>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</si>
  <si>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</si>
  <si>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</si>
  <si>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</si>
  <si>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</si>
  <si>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</si>
  <si>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</si>
  <si>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</si>
  <si>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</si>
  <si>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</si>
  <si>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</si>
  <si>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</si>
  <si>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</si>
  <si>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</si>
  <si>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</si>
  <si>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</si>
  <si>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</si>
  <si>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</si>
  <si>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</si>
  <si>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</si>
  <si>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</si>
  <si>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</si>
  <si>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</si>
  <si>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</si>
  <si>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</si>
  <si>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</si>
  <si>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</si>
  <si>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</si>
  <si>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</si>
  <si>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</si>
  <si>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</si>
  <si>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</si>
  <si>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</si>
  <si>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</si>
  <si>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</si>
  <si>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</si>
  <si>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</si>
  <si>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</si>
  <si>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</si>
  <si>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</si>
  <si>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</si>
  <si>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</si>
  <si>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</si>
  <si>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</si>
  <si>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</si>
  <si>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</si>
  <si>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</si>
  <si>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</si>
  <si>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</si>
  <si>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</si>
  <si>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</si>
  <si>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</si>
  <si>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</si>
  <si>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</si>
  <si>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</si>
  <si>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</si>
  <si>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</si>
  <si>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</si>
  <si>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</si>
  <si>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</si>
  <si>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</si>
  <si>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</si>
  <si>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</si>
  <si>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</si>
  <si>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</si>
  <si>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</si>
  <si>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</si>
  <si>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</si>
  <si>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</si>
  <si>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</si>
  <si>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</si>
  <si>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</si>
  <si>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</si>
  <si>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</si>
  <si>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</si>
  <si>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</si>
  <si>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</si>
  <si>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</si>
  <si>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</si>
  <si>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</si>
  <si>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</si>
  <si>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</si>
  <si>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</si>
  <si>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</si>
  <si>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</si>
  <si>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</si>
  <si>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</si>
  <si>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</si>
  <si>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</si>
  <si>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</si>
  <si>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</si>
  <si>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</si>
  <si>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</si>
  <si>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</si>
  <si>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</si>
  <si>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</si>
  <si>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</si>
  <si>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</si>
  <si>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</si>
  <si>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</si>
  <si>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</si>
  <si>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</si>
  <si>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</si>
  <si>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</si>
  <si>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</si>
  <si>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</si>
  <si>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</si>
  <si>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</si>
  <si>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</si>
  <si>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</si>
  <si>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</si>
  <si>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</si>
  <si>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</si>
  <si>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</si>
  <si>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</si>
  <si>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</si>
  <si>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</si>
  <si>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</si>
  <si>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</si>
  <si>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</si>
  <si>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</si>
  <si>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</si>
  <si>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</si>
  <si>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</si>
  <si>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</si>
  <si>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</si>
  <si>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</si>
  <si>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</si>
  <si>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</si>
  <si>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</si>
  <si>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</si>
  <si>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</si>
  <si>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</si>
  <si>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</si>
  <si>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</si>
  <si>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</si>
  <si>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</si>
  <si>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</si>
  <si>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</si>
  <si>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</si>
  <si>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</si>
  <si>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</si>
  <si>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</si>
  <si>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</si>
  <si>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</si>
  <si>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</si>
  <si>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</si>
  <si>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</si>
  <si>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</si>
  <si>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</si>
  <si>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</si>
  <si>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</si>
  <si>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</si>
  <si>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</si>
  <si>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</si>
  <si>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</si>
  <si>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</si>
  <si>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</si>
  <si>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</si>
  <si>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</si>
  <si>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</si>
  <si>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</si>
  <si>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</si>
  <si>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</si>
  <si>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</si>
  <si>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</si>
  <si>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</si>
  <si>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</si>
  <si>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</si>
  <si>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</si>
  <si>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</si>
  <si>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</si>
  <si>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</si>
  <si>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</si>
  <si>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</si>
  <si>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</si>
  <si>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</si>
  <si>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</si>
  <si>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</si>
  <si>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</si>
  <si>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</si>
  <si>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</si>
  <si>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</si>
  <si>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</si>
  <si>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</si>
  <si>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</si>
  <si>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</si>
  <si>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</si>
  <si>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</si>
  <si>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</si>
  <si>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</si>
  <si>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</si>
  <si>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</si>
  <si>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</si>
  <si>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</si>
  <si>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</si>
  <si>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</si>
  <si>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</si>
  <si>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</si>
  <si>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</si>
  <si>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</si>
  <si>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</si>
  <si>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</si>
  <si>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</si>
  <si>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</si>
  <si>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</si>
  <si>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</si>
  <si>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</si>
  <si>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</si>
  <si>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</si>
  <si>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</si>
  <si>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</si>
  <si>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</si>
  <si>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</si>
  <si>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</si>
  <si>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</si>
  <si>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</si>
  <si>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</si>
  <si>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</si>
  <si>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</si>
  <si>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</si>
  <si>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</si>
  <si>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</si>
  <si>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</si>
  <si>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</si>
  <si>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</si>
  <si>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</si>
  <si>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</si>
  <si>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</si>
  <si>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</si>
  <si>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</si>
  <si>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</si>
  <si>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</si>
  <si>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</si>
  <si>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</si>
  <si>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</si>
  <si>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</si>
  <si>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</si>
  <si>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</si>
  <si>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</si>
  <si>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</si>
  <si>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</si>
  <si>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</si>
  <si>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</si>
  <si>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</si>
  <si>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</si>
  <si>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</si>
  <si>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</si>
  <si>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</si>
  <si>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</si>
  <si>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</si>
  <si>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</si>
  <si>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</si>
  <si>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</si>
  <si>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</si>
  <si>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</si>
  <si>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</si>
  <si>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</si>
  <si>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</si>
  <si>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</si>
  <si>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</si>
  <si>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</si>
  <si>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</si>
  <si>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</si>
  <si>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</si>
  <si>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</si>
  <si>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</si>
  <si>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</si>
  <si>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</si>
  <si>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</si>
  <si>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</si>
  <si>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</si>
  <si>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</si>
  <si>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</si>
  <si>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</si>
  <si>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</si>
  <si>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</si>
  <si>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</si>
  <si>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</si>
  <si>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</si>
  <si>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</si>
  <si>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</si>
  <si>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</si>
  <si>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</si>
  <si>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</si>
  <si>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</si>
  <si>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</si>
  <si>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</si>
  <si>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</si>
  <si>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</si>
  <si>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</si>
  <si>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</si>
  <si>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</si>
  <si>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</si>
  <si>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</si>
  <si>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</si>
  <si>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</si>
  <si>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</si>
  <si>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</si>
  <si>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</si>
  <si>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</si>
  <si>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</si>
  <si>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</si>
  <si>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</si>
  <si>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</si>
  <si>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</si>
  <si>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</si>
  <si>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</si>
  <si>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</si>
  <si>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</si>
  <si>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</si>
  <si>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</si>
  <si>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</si>
  <si>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</si>
  <si>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</si>
  <si>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</si>
  <si>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</si>
  <si>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</si>
  <si>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</si>
  <si>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</si>
  <si>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</si>
  <si>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</si>
  <si>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</si>
  <si>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</si>
  <si>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</si>
  <si>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</si>
  <si>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</si>
  <si>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</si>
  <si>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</si>
  <si>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</si>
  <si>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</si>
  <si>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</si>
  <si>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</si>
  <si>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</si>
  <si>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</si>
  <si>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</si>
  <si>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</si>
  <si>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</si>
  <si>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</si>
  <si>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</si>
  <si>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</si>
  <si>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</si>
  <si>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</si>
  <si>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</si>
  <si>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</si>
  <si>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</si>
  <si>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</si>
  <si>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</si>
  <si>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</si>
  <si>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</si>
  <si>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</si>
  <si>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</si>
  <si>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</si>
  <si>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</si>
  <si>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</si>
  <si>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</si>
  <si>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</si>
  <si>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</si>
  <si>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</si>
  <si>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</si>
  <si>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</si>
  <si>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</si>
  <si>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</si>
  <si>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</si>
  <si>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</si>
  <si>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</si>
  <si>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</si>
  <si>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</si>
  <si>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</si>
  <si>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</si>
  <si>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</si>
  <si>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</si>
  <si>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</si>
  <si>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</si>
  <si>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</si>
  <si>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</si>
  <si>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</si>
  <si>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</si>
  <si>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</si>
  <si>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</si>
  <si>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</si>
  <si>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</si>
  <si>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</si>
  <si>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</si>
  <si>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</si>
  <si>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</si>
  <si>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</si>
  <si>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</si>
  <si>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</si>
  <si>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</si>
  <si>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</si>
  <si>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</si>
  <si>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</si>
  <si>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</si>
  <si>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</si>
  <si>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</si>
  <si>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</si>
  <si>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</si>
  <si>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</si>
  <si>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</si>
  <si>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</si>
  <si>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</si>
  <si>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</si>
  <si>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</si>
  <si>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</si>
  <si>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</si>
  <si>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</si>
  <si>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</si>
  <si>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</si>
  <si>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</si>
  <si>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</si>
  <si>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</si>
  <si>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</si>
  <si>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</si>
  <si>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</si>
  <si>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</si>
  <si>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</si>
  <si>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</si>
  <si>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</si>
  <si>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</si>
  <si>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</si>
  <si>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</si>
  <si>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</si>
  <si>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</si>
  <si>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</si>
  <si>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</si>
  <si>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</si>
  <si>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</si>
  <si>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</si>
  <si>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</si>
  <si>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</si>
  <si>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</si>
  <si>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</si>
  <si>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</si>
  <si>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</si>
  <si>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</si>
  <si>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</si>
  <si>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</si>
  <si>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</si>
  <si>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</si>
  <si>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</si>
  <si>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</si>
  <si>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</si>
  <si>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</si>
  <si>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</si>
  <si>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</si>
  <si>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</si>
  <si>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</si>
  <si>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</si>
  <si>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</si>
  <si>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</si>
  <si>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</si>
  <si>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</si>
  <si>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</si>
  <si>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</si>
  <si>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</si>
  <si>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</si>
  <si>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</si>
  <si>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</si>
  <si>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</si>
  <si>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</si>
  <si>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</si>
  <si>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</si>
  <si>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</si>
  <si>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</si>
  <si>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</si>
  <si>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</si>
  <si>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</si>
  <si>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</si>
  <si>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</si>
  <si>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</si>
  <si>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</si>
  <si>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</si>
  <si>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</si>
  <si>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</si>
  <si>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</si>
  <si>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</si>
  <si>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</si>
  <si>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</si>
  <si>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</si>
  <si>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</si>
  <si>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</si>
  <si>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</si>
  <si>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</si>
  <si>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</si>
  <si>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</si>
  <si>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</si>
  <si>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</si>
  <si>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</si>
  <si>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</si>
  <si>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</si>
  <si>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</si>
  <si>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</si>
  <si>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</si>
  <si>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</si>
  <si>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</si>
  <si>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</si>
  <si>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</si>
  <si>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</si>
  <si>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</si>
  <si>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</si>
  <si>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</si>
  <si>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</si>
  <si>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</si>
  <si>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</si>
  <si>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</si>
  <si>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</si>
  <si>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</si>
  <si>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</si>
  <si>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</si>
  <si>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</si>
  <si>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</si>
  <si>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</si>
  <si>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</si>
  <si>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</si>
  <si>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</si>
  <si>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</si>
  <si>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</si>
  <si>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</si>
  <si>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</si>
  <si>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</si>
  <si>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</si>
  <si>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</si>
  <si>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</si>
  <si>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</si>
  <si>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</si>
  <si>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</si>
  <si>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</si>
  <si>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</si>
  <si>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</si>
  <si>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</si>
  <si>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</si>
  <si>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</si>
  <si>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</si>
  <si>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</si>
  <si>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</si>
  <si>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</si>
  <si>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</si>
  <si>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</si>
  <si>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</si>
  <si>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 xml:space="preserve">BCA FINANCE </t>
  </si>
  <si>
    <t>PANSEL + HO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</si>
  <si>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</si>
  <si>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</si>
  <si>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</si>
  <si>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</si>
  <si>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</si>
  <si>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</si>
  <si>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</si>
  <si>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>SPJ</t>
  </si>
  <si>
    <t>MONTH: MARET 2022</t>
  </si>
  <si>
    <t>PT DIPO STAR FINANCE 30 OKT 2019 - 30 AGT '22</t>
  </si>
  <si>
    <t>TAHUN 2022</t>
  </si>
  <si>
    <t>22,24395450</t>
  </si>
  <si>
    <t xml:space="preserve">ASURANSI PERPANJANGAN CIS SMG 600 JT JADI 800 JT </t>
  </si>
  <si>
    <t>DAYS</t>
  </si>
  <si>
    <t>PER</t>
  </si>
  <si>
    <t>TGL BY</t>
  </si>
  <si>
    <t>EITI</t>
  </si>
  <si>
    <t>TGL BYR</t>
  </si>
  <si>
    <t xml:space="preserve">DAYS </t>
  </si>
  <si>
    <t xml:space="preserve">PER </t>
  </si>
  <si>
    <t>EB</t>
  </si>
  <si>
    <t>INC JPA LUWAK GULA TEAM PROMO</t>
  </si>
  <si>
    <t>INC WAFER SPJ</t>
  </si>
  <si>
    <t>INC AO SPJ</t>
  </si>
  <si>
    <t>TOP 30 HARI I</t>
  </si>
  <si>
    <t>MAS</t>
  </si>
  <si>
    <t>22,24436880</t>
  </si>
  <si>
    <t>SALDO AWAL BULAN MEI</t>
  </si>
  <si>
    <t>TOTAL PENAMBAHAN BULAN MEI</t>
  </si>
  <si>
    <t>TOTAL BAYAR BULAN MEI</t>
  </si>
  <si>
    <t>SALDO AKHIR BULAN MEI</t>
  </si>
  <si>
    <t>AI S</t>
  </si>
  <si>
    <t>MONTH: MEI 2022</t>
  </si>
  <si>
    <t>MONTH : MEI 2022</t>
  </si>
  <si>
    <t>11, 14, 18 /04/2022</t>
  </si>
  <si>
    <t>JANUARI - DESEMBER 2022</t>
  </si>
  <si>
    <t>PT SAS INDO</t>
  </si>
  <si>
    <t>XXX</t>
  </si>
  <si>
    <t>22,37317960</t>
  </si>
  <si>
    <t xml:space="preserve">ASURANSI PERPANJANGAN 3 UNT DAIHATSU XENIA H 8972 JY, H 8974 JY, H 8970 JY </t>
  </si>
  <si>
    <t xml:space="preserve">PT CARAKA TIRTA NUSANTARA </t>
  </si>
  <si>
    <t xml:space="preserve">MARET </t>
  </si>
  <si>
    <t>KB FEB</t>
  </si>
  <si>
    <t>KB JAN &amp; FEBRUARI</t>
  </si>
  <si>
    <t>MAC</t>
  </si>
  <si>
    <t>22,37339530</t>
  </si>
  <si>
    <t>YK</t>
  </si>
  <si>
    <t xml:space="preserve">ASURANSI PERPANJANGAN 1 UNT XENIA H 9406 RY , 1 UNT HONDA MOBILIO H 8401 BY </t>
  </si>
  <si>
    <t>30/03/2022 &amp; 19/05/2022</t>
  </si>
  <si>
    <t xml:space="preserve">ASURANSI PERPANJANGAN 1 UNT KIJANG INNOVA D 1553 BJ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</si>
</sst>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56"/>
      <name val="Calibri"/>
      <family val="2"/>
      <scheme val="minor"/>
    </font>
    <font>
      <b/>
      <sz val="9"/>
      <color indexed="81"/>
      <name val="Tahoma"/>
      <charset val="1"/>
    </font>
  </fonts>
  <fills count="4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210">
    <xf numFmtId="0" fontId="0" fillId="0" borderId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60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43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43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43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43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43" fontId="50" fillId="19" borderId="0" xfId="2" applyFont="1" applyFill="1" applyAlignment="1"/>
    <xf numFmtId="43" fontId="0" fillId="19" borderId="0" xfId="2" quotePrefix="1" applyFont="1" applyFill="1" applyAlignment="1"/>
    <xf numFmtId="172" fontId="36" fillId="19" borderId="0" xfId="2" applyNumberFormat="1" applyFont="1" applyFill="1" applyAlignment="1"/>
    <xf numFmtId="43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170" fontId="61" fillId="0" borderId="56" xfId="96" applyNumberFormat="1" applyFont="1" applyFill="1" applyBorder="1" applyAlignment="1" applyProtection="1">
      <alignment vertical="center"/>
      <protection locked="0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41" fontId="8" fillId="0" borderId="0" xfId="95" applyNumberFormat="1"/>
    <xf numFmtId="14" fontId="8" fillId="0" borderId="56" xfId="95" applyNumberFormat="1" applyBorder="1"/>
    <xf numFmtId="41" fontId="8" fillId="0" borderId="56" xfId="95" applyNumberFormat="1" applyBorder="1"/>
    <xf numFmtId="41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41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41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43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43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43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41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165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41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41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43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43" fontId="84" fillId="0" borderId="0" xfId="2" applyFont="1" applyAlignment="1">
      <alignment vertical="center"/>
    </xf>
    <xf numFmtId="43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43" fontId="70" fillId="19" borderId="0" xfId="2" applyFont="1" applyFill="1" applyAlignment="1">
      <alignment vertical="center"/>
    </xf>
    <xf numFmtId="43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43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43" fontId="69" fillId="14" borderId="59" xfId="2" applyNumberFormat="1" applyFont="1" applyFill="1" applyBorder="1" applyAlignment="1"/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43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42" fontId="0" fillId="0" borderId="79" xfId="3" applyNumberFormat="1" applyFont="1" applyBorder="1" applyAlignment="1"/>
    <xf numFmtId="42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43" fontId="0" fillId="0" borderId="79" xfId="2" applyFont="1" applyBorder="1" applyAlignment="1"/>
    <xf numFmtId="0" fontId="8" fillId="0" borderId="79" xfId="95" applyBorder="1"/>
    <xf numFmtId="41" fontId="8" fillId="0" borderId="79" xfId="95" applyNumberFormat="1" applyBorder="1"/>
    <xf numFmtId="14" fontId="8" fillId="0" borderId="79" xfId="95" applyNumberFormat="1" applyBorder="1"/>
    <xf numFmtId="41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41" fontId="8" fillId="14" borderId="79" xfId="95" applyNumberFormat="1" applyFill="1" applyBorder="1"/>
    <xf numFmtId="0" fontId="8" fillId="24" borderId="79" xfId="95" applyFill="1" applyBorder="1"/>
    <xf numFmtId="41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43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41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41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41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41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41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41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43" fontId="8" fillId="0" borderId="79" xfId="95" applyNumberFormat="1" applyBorder="1"/>
    <xf numFmtId="43" fontId="0" fillId="0" borderId="79" xfId="98" applyNumberFormat="1" applyFont="1" applyBorder="1"/>
    <xf numFmtId="0" fontId="3" fillId="0" borderId="79" xfId="114" applyFont="1" applyBorder="1"/>
    <xf numFmtId="43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41" fontId="1" fillId="0" borderId="79" xfId="125" applyFont="1" applyBorder="1"/>
    <xf numFmtId="41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41" fontId="1" fillId="14" borderId="79" xfId="125" applyFont="1" applyFill="1" applyBorder="1"/>
    <xf numFmtId="41" fontId="1" fillId="14" borderId="79" xfId="124" applyNumberFormat="1" applyFill="1" applyBorder="1"/>
    <xf numFmtId="41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41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41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41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41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43" fontId="0" fillId="20" borderId="54" xfId="2" applyFont="1" applyFill="1" applyBorder="1" applyAlignment="1">
      <alignment horizontal="center" vertical="center" wrapText="1"/>
    </xf>
    <xf numFmtId="43" fontId="0" fillId="20" borderId="57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4" xfId="2" applyFont="1" applyFill="1" applyBorder="1" applyAlignment="1">
      <alignment vertical="center" wrapText="1"/>
    </xf>
    <xf numFmtId="43" fontId="0" fillId="20" borderId="57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41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41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41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41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43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41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41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41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41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43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43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41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43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41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41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41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41" fontId="23" fillId="0" borderId="79" xfId="3" applyNumberFormat="1" applyFont="1" applyBorder="1" applyAlignment="1"/>
    <xf numFmtId="41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43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43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41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41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41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41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42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41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41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41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41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41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41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41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166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55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68" fontId="94" fillId="42" borderId="80" xfId="3" applyFont="1" applyFill="1" applyBorder="1" applyAlignment="1">
      <alignment horizontal="center"/>
    </xf>
    <xf numFmtId="171" fontId="94" fillId="4" borderId="80" xfId="0" applyNumberFormat="1" applyFont="1" applyFill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164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68" fontId="94" fillId="42" borderId="79" xfId="3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right"/>
    </xf>
    <xf numFmtId="173" fontId="115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2" fontId="94" fillId="0" borderId="79" xfId="115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0" fontId="98" fillId="0" borderId="0" xfId="0" applyFont="1" applyFill="1" applyAlignment="1" applyProtection="1"/>
    <xf numFmtId="172" fontId="98" fillId="0" borderId="0" xfId="0" applyNumberFormat="1" applyFont="1" applyAlignment="1"/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43" fontId="91" fillId="0" borderId="79" xfId="2" applyFont="1" applyBorder="1" applyAlignment="1"/>
    <xf numFmtId="172" fontId="91" fillId="0" borderId="79" xfId="2" applyNumberFormat="1" applyFont="1" applyBorder="1" applyAlignment="1"/>
    <xf numFmtId="43" fontId="91" fillId="14" borderId="79" xfId="2" applyFont="1" applyFill="1" applyBorder="1" applyAlignment="1"/>
    <xf numFmtId="43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43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43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43" fontId="91" fillId="16" borderId="79" xfId="2" applyFont="1" applyFill="1" applyBorder="1" applyAlignment="1"/>
    <xf numFmtId="43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0" fontId="0" fillId="0" borderId="59" xfId="0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64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vertical="center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68" fontId="69" fillId="0" borderId="79" xfId="3" applyFont="1" applyBorder="1" applyAlignment="1">
      <alignment vertical="center"/>
    </xf>
    <xf numFmtId="184" fontId="69" fillId="0" borderId="79" xfId="3" applyNumberFormat="1" applyFont="1" applyFill="1" applyBorder="1" applyAlignment="1"/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43" fontId="69" fillId="0" borderId="79" xfId="2" applyNumberFormat="1" applyFont="1" applyFill="1" applyBorder="1" applyAlignment="1"/>
    <xf numFmtId="41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41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41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43" fontId="14" fillId="0" borderId="0" xfId="114" applyNumberFormat="1" applyFont="1" applyAlignment="1">
      <alignment vertical="center"/>
    </xf>
    <xf numFmtId="43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43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43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43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43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165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41" fontId="25" fillId="0" borderId="79" xfId="3" applyNumberFormat="1" applyFont="1" applyFill="1" applyBorder="1" applyAlignment="1">
      <alignment horizontal="center"/>
    </xf>
    <xf numFmtId="43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43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43" fontId="25" fillId="19" borderId="0" xfId="114" applyNumberFormat="1" applyFont="1" applyFill="1" applyAlignment="1">
      <alignment vertical="center"/>
    </xf>
    <xf numFmtId="41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43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" fontId="98" fillId="0" borderId="79" xfId="0" applyNumberFormat="1" applyFont="1" applyBorder="1" applyAlignment="1">
      <alignment horizontal="right"/>
    </xf>
    <xf numFmtId="168" fontId="94" fillId="0" borderId="79" xfId="3" applyFont="1" applyFill="1" applyBorder="1" applyAlignment="1">
      <alignment horizontal="right"/>
    </xf>
    <xf numFmtId="171" fontId="94" fillId="42" borderId="80" xfId="114" applyNumberFormat="1" applyFont="1" applyFill="1" applyBorder="1" applyAlignment="1">
      <alignment horizontal="center"/>
    </xf>
    <xf numFmtId="171" fontId="94" fillId="0" borderId="80" xfId="114" applyNumberFormat="1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172" fontId="94" fillId="42" borderId="79" xfId="115" applyNumberFormat="1" applyFont="1" applyFill="1" applyBorder="1" applyAlignment="1">
      <alignment horizontal="center"/>
    </xf>
    <xf numFmtId="171" fontId="94" fillId="42" borderId="62" xfId="114" applyNumberFormat="1" applyFont="1" applyFill="1" applyBorder="1" applyAlignment="1">
      <alignment horizontal="center"/>
    </xf>
    <xf numFmtId="0" fontId="94" fillId="42" borderId="80" xfId="114" applyFont="1" applyFill="1" applyBorder="1" applyAlignment="1">
      <alignment horizontal="center"/>
    </xf>
    <xf numFmtId="184" fontId="25" fillId="19" borderId="79" xfId="3" applyNumberFormat="1" applyFont="1" applyFill="1" applyBorder="1" applyAlignment="1">
      <alignment vertical="center"/>
    </xf>
    <xf numFmtId="170" fontId="69" fillId="23" borderId="79" xfId="2" applyNumberFormat="1" applyFont="1" applyFill="1" applyBorder="1" applyAlignment="1" applyProtection="1">
      <alignment vertical="center"/>
      <protection locked="0"/>
    </xf>
    <xf numFmtId="0" fontId="94" fillId="0" borderId="79" xfId="0" applyFont="1" applyBorder="1" applyAlignment="1">
      <alignment horizontal="right"/>
    </xf>
    <xf numFmtId="0" fontId="98" fillId="0" borderId="79" xfId="0" applyFont="1" applyBorder="1" applyAlignment="1">
      <alignment horizontal="right"/>
    </xf>
    <xf numFmtId="168" fontId="98" fillId="0" borderId="79" xfId="0" applyNumberFormat="1" applyFont="1" applyBorder="1" applyAlignment="1">
      <alignment horizontal="right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4" fillId="42" borderId="79" xfId="114" applyNumberFormat="1" applyFont="1" applyFill="1" applyBorder="1" applyAlignment="1">
      <alignment horizontal="center"/>
    </xf>
    <xf numFmtId="168" fontId="94" fillId="42" borderId="79" xfId="3" applyFont="1" applyFill="1" applyBorder="1" applyAlignment="1">
      <alignment horizontal="right"/>
    </xf>
    <xf numFmtId="0" fontId="9" fillId="0" borderId="79" xfId="0" applyFont="1" applyBorder="1" applyAlignment="1">
      <alignment horizontal="center"/>
    </xf>
    <xf numFmtId="168" fontId="31" fillId="0" borderId="79" xfId="3" applyFont="1" applyFill="1" applyBorder="1" applyAlignment="1">
      <alignment vertical="center"/>
    </xf>
    <xf numFmtId="171" fontId="94" fillId="4" borderId="62" xfId="0" applyNumberFormat="1" applyFont="1" applyFill="1" applyBorder="1" applyAlignment="1">
      <alignment horizontal="center"/>
    </xf>
    <xf numFmtId="1" fontId="94" fillId="4" borderId="80" xfId="2" applyNumberFormat="1" applyFont="1" applyFill="1" applyBorder="1" applyAlignment="1">
      <alignment horizontal="center"/>
    </xf>
    <xf numFmtId="171" fontId="94" fillId="42" borderId="80" xfId="0" applyNumberFormat="1" applyFont="1" applyFill="1" applyBorder="1" applyAlignment="1">
      <alignment horizontal="center"/>
    </xf>
    <xf numFmtId="171" fontId="94" fillId="42" borderId="62" xfId="0" applyNumberFormat="1" applyFont="1" applyFill="1" applyBorder="1" applyAlignment="1">
      <alignment horizontal="center"/>
    </xf>
    <xf numFmtId="14" fontId="0" fillId="0" borderId="79" xfId="0" applyNumberFormat="1" applyFont="1" applyBorder="1" applyAlignment="1"/>
    <xf numFmtId="172" fontId="98" fillId="0" borderId="32" xfId="0" applyNumberFormat="1" applyFont="1" applyBorder="1" applyAlignment="1"/>
    <xf numFmtId="171" fontId="98" fillId="0" borderId="32" xfId="0" applyNumberFormat="1" applyFont="1" applyBorder="1" applyAlignment="1"/>
    <xf numFmtId="171" fontId="94" fillId="0" borderId="59" xfId="0" applyNumberFormat="1" applyFont="1" applyFill="1" applyBorder="1" applyAlignment="1">
      <alignment horizontal="center"/>
    </xf>
    <xf numFmtId="185" fontId="94" fillId="0" borderId="59" xfId="193" quotePrefix="1" applyNumberFormat="1" applyFont="1" applyFill="1" applyBorder="1" applyAlignment="1">
      <alignment horizontal="center"/>
    </xf>
    <xf numFmtId="168" fontId="94" fillId="0" borderId="59" xfId="3" quotePrefix="1" applyFont="1" applyFill="1" applyBorder="1" applyAlignment="1">
      <alignment horizontal="center" vertical="center"/>
    </xf>
    <xf numFmtId="171" fontId="94" fillId="4" borderId="59" xfId="0" applyNumberFormat="1" applyFont="1" applyFill="1" applyBorder="1" applyAlignment="1">
      <alignment horizontal="center"/>
    </xf>
    <xf numFmtId="1" fontId="94" fillId="4" borderId="59" xfId="2" applyNumberFormat="1" applyFont="1" applyFill="1" applyBorder="1" applyAlignment="1">
      <alignment horizontal="center"/>
    </xf>
    <xf numFmtId="172" fontId="94" fillId="0" borderId="59" xfId="0" applyNumberFormat="1" applyFont="1" applyFill="1" applyBorder="1" applyAlignment="1"/>
    <xf numFmtId="179" fontId="94" fillId="0" borderId="59" xfId="0" applyNumberFormat="1" applyFont="1" applyFill="1" applyBorder="1" applyAlignment="1">
      <alignment horizontal="center"/>
    </xf>
    <xf numFmtId="172" fontId="94" fillId="4" borderId="59" xfId="0" applyNumberFormat="1" applyFont="1" applyFill="1" applyBorder="1" applyAlignment="1"/>
    <xf numFmtId="10" fontId="94" fillId="4" borderId="59" xfId="83" applyNumberFormat="1" applyFont="1" applyFill="1" applyBorder="1" applyAlignment="1"/>
    <xf numFmtId="172" fontId="94" fillId="0" borderId="59" xfId="2" applyNumberFormat="1" applyFont="1" applyFill="1" applyBorder="1" applyAlignment="1">
      <alignment horizontal="right"/>
    </xf>
    <xf numFmtId="173" fontId="94" fillId="0" borderId="59" xfId="0" applyNumberFormat="1" applyFont="1" applyFill="1" applyBorder="1" applyAlignment="1">
      <alignment horizontal="right"/>
    </xf>
    <xf numFmtId="178" fontId="94" fillId="0" borderId="59" xfId="0" applyNumberFormat="1" applyFont="1" applyFill="1" applyBorder="1" applyAlignment="1"/>
    <xf numFmtId="178" fontId="94" fillId="0" borderId="59" xfId="0" applyNumberFormat="1" applyFont="1" applyFill="1" applyBorder="1" applyAlignment="1">
      <alignment horizontal="right"/>
    </xf>
    <xf numFmtId="171" fontId="98" fillId="14" borderId="50" xfId="0" applyNumberFormat="1" applyFont="1" applyFill="1" applyBorder="1" applyAlignment="1" applyProtection="1">
      <alignment horizontal="center"/>
    </xf>
    <xf numFmtId="0" fontId="98" fillId="14" borderId="22" xfId="0" applyFont="1" applyFill="1" applyBorder="1" applyAlignment="1" applyProtection="1">
      <alignment horizontal="center" vertical="center"/>
    </xf>
    <xf numFmtId="0" fontId="98" fillId="14" borderId="22" xfId="0" applyFont="1" applyFill="1" applyBorder="1" applyAlignment="1" applyProtection="1"/>
    <xf numFmtId="171" fontId="98" fillId="14" borderId="22" xfId="0" applyNumberFormat="1" applyFont="1" applyFill="1" applyBorder="1" applyAlignment="1" applyProtection="1"/>
    <xf numFmtId="0" fontId="98" fillId="14" borderId="22" xfId="0" applyFont="1" applyFill="1" applyBorder="1" applyAlignment="1" applyProtection="1">
      <alignment horizontal="center"/>
    </xf>
    <xf numFmtId="0" fontId="98" fillId="14" borderId="24" xfId="0" applyFont="1" applyFill="1" applyBorder="1" applyAlignment="1" applyProtection="1"/>
    <xf numFmtId="1" fontId="115" fillId="4" borderId="79" xfId="0" applyNumberFormat="1" applyFont="1" applyFill="1" applyBorder="1" applyAlignment="1">
      <alignment horizontal="right"/>
    </xf>
    <xf numFmtId="10" fontId="94" fillId="4" borderId="79" xfId="83" applyNumberFormat="1" applyFont="1" applyFill="1" applyBorder="1" applyAlignment="1">
      <alignment horizontal="right"/>
    </xf>
    <xf numFmtId="1" fontId="94" fillId="4" borderId="79" xfId="0" applyNumberFormat="1" applyFont="1" applyFill="1" applyBorder="1" applyAlignment="1">
      <alignment horizontal="right"/>
    </xf>
    <xf numFmtId="10" fontId="94" fillId="40" borderId="79" xfId="83" applyNumberFormat="1" applyFont="1" applyFill="1" applyBorder="1" applyAlignment="1">
      <alignment horizontal="right"/>
    </xf>
    <xf numFmtId="171" fontId="98" fillId="14" borderId="46" xfId="64" applyNumberFormat="1" applyFont="1" applyFill="1" applyBorder="1" applyAlignment="1">
      <alignment vertical="center"/>
    </xf>
    <xf numFmtId="171" fontId="98" fillId="14" borderId="71" xfId="64" applyNumberFormat="1" applyFont="1" applyFill="1" applyBorder="1" applyAlignment="1">
      <alignment vertical="center"/>
    </xf>
    <xf numFmtId="171" fontId="98" fillId="14" borderId="36" xfId="64" applyNumberFormat="1" applyFont="1" applyFill="1" applyBorder="1" applyAlignment="1">
      <alignment vertical="center"/>
    </xf>
    <xf numFmtId="171" fontId="98" fillId="14" borderId="31" xfId="64" applyNumberFormat="1" applyFont="1" applyFill="1" applyBorder="1" applyAlignment="1">
      <alignment vertical="center"/>
    </xf>
    <xf numFmtId="171" fontId="98" fillId="14" borderId="30" xfId="64" applyNumberFormat="1" applyFont="1" applyFill="1" applyBorder="1" applyAlignment="1">
      <alignment vertical="center"/>
    </xf>
    <xf numFmtId="171" fontId="98" fillId="14" borderId="84" xfId="64" applyNumberFormat="1" applyFont="1" applyFill="1" applyBorder="1" applyAlignment="1">
      <alignment vertical="center"/>
    </xf>
    <xf numFmtId="1" fontId="94" fillId="4" borderId="80" xfId="0" applyNumberFormat="1" applyFont="1" applyFill="1" applyBorder="1" applyAlignment="1"/>
    <xf numFmtId="10" fontId="94" fillId="4" borderId="80" xfId="83" applyNumberFormat="1" applyFont="1" applyFill="1" applyBorder="1" applyAlignment="1"/>
    <xf numFmtId="171" fontId="94" fillId="4" borderId="80" xfId="0" applyNumberFormat="1" applyFont="1" applyFill="1" applyBorder="1" applyAlignment="1"/>
    <xf numFmtId="171" fontId="98" fillId="14" borderId="50" xfId="64" applyNumberFormat="1" applyFont="1" applyFill="1" applyBorder="1" applyAlignment="1">
      <alignment vertical="center"/>
    </xf>
    <xf numFmtId="171" fontId="98" fillId="14" borderId="22" xfId="64" applyNumberFormat="1" applyFont="1" applyFill="1" applyBorder="1" applyAlignment="1">
      <alignment vertical="center"/>
    </xf>
    <xf numFmtId="171" fontId="98" fillId="14" borderId="24" xfId="64" applyNumberFormat="1" applyFont="1" applyFill="1" applyBorder="1" applyAlignment="1">
      <alignment vertical="center"/>
    </xf>
    <xf numFmtId="179" fontId="94" fillId="0" borderId="79" xfId="2" applyNumberFormat="1" applyFont="1" applyFill="1" applyBorder="1" applyAlignment="1">
      <alignment horizontal="right"/>
    </xf>
    <xf numFmtId="179" fontId="98" fillId="0" borderId="79" xfId="0" applyNumberFormat="1" applyFont="1" applyBorder="1" applyAlignment="1">
      <alignment horizontal="right"/>
    </xf>
    <xf numFmtId="0" fontId="98" fillId="0" borderId="0" xfId="0" applyFont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85" fontId="94" fillId="0" borderId="79" xfId="208" quotePrefix="1" applyNumberFormat="1" applyFont="1" applyFill="1" applyBorder="1" applyAlignment="1">
      <alignment horizontal="center"/>
    </xf>
    <xf numFmtId="179" fontId="94" fillId="0" borderId="79" xfId="206" quotePrefix="1" applyNumberFormat="1" applyFont="1" applyFill="1" applyBorder="1" applyAlignment="1">
      <alignment horizontal="center" vertical="center"/>
    </xf>
    <xf numFmtId="183" fontId="94" fillId="0" borderId="79" xfId="209" quotePrefix="1" applyNumberFormat="1" applyFont="1" applyFill="1" applyBorder="1" applyAlignment="1">
      <alignment horizontal="center" vertical="center"/>
    </xf>
    <xf numFmtId="0" fontId="11" fillId="0" borderId="79" xfId="0" applyFont="1" applyFill="1" applyBorder="1" applyAlignment="1"/>
    <xf numFmtId="0" fontId="11" fillId="0" borderId="0" xfId="0" applyFont="1" applyFill="1" applyAlignment="1"/>
    <xf numFmtId="14" fontId="11" fillId="0" borderId="79" xfId="0" applyNumberFormat="1" applyFont="1" applyFill="1" applyBorder="1" applyAlignment="1"/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9" fillId="0" borderId="79" xfId="0" applyFont="1" applyBorder="1" applyAlignment="1">
      <alignment horizontal="center" vertical="center"/>
    </xf>
    <xf numFmtId="0" fontId="0" fillId="0" borderId="55" xfId="0" quotePrefix="1" applyBorder="1" applyAlignment="1"/>
    <xf numFmtId="168" fontId="0" fillId="0" borderId="88" xfId="3" applyFont="1" applyFill="1" applyBorder="1" applyAlignment="1"/>
    <xf numFmtId="168" fontId="0" fillId="0" borderId="55" xfId="3" applyFont="1" applyFill="1" applyBorder="1" applyAlignment="1"/>
    <xf numFmtId="168" fontId="0" fillId="0" borderId="79" xfId="3" applyFont="1" applyFill="1" applyBorder="1" applyAlignment="1">
      <alignment horizontal="center"/>
    </xf>
    <xf numFmtId="0" fontId="0" fillId="0" borderId="55" xfId="0" applyFill="1" applyBorder="1" applyAlignment="1"/>
    <xf numFmtId="184" fontId="69" fillId="0" borderId="79" xfId="3" applyNumberFormat="1" applyFont="1" applyBorder="1" applyAlignment="1"/>
    <xf numFmtId="170" fontId="58" fillId="25" borderId="79" xfId="2" applyNumberFormat="1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0" fillId="19" borderId="30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43" fontId="20" fillId="3" borderId="39" xfId="2" applyFont="1" applyFill="1" applyBorder="1" applyAlignment="1" applyProtection="1">
      <alignment horizontal="right" vertical="center" wrapText="1"/>
    </xf>
    <xf numFmtId="43" fontId="20" fillId="3" borderId="1" xfId="2" applyFont="1" applyFill="1" applyBorder="1" applyAlignment="1" applyProtection="1">
      <alignment horizontal="right" vertical="center" wrapText="1"/>
    </xf>
    <xf numFmtId="43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43" fontId="99" fillId="3" borderId="39" xfId="2" applyFont="1" applyFill="1" applyBorder="1" applyAlignment="1" applyProtection="1">
      <alignment horizontal="right" vertical="center" wrapText="1"/>
    </xf>
    <xf numFmtId="43" fontId="99" fillId="3" borderId="1" xfId="2" applyFont="1" applyFill="1" applyBorder="1" applyAlignment="1" applyProtection="1">
      <alignment horizontal="right" vertical="center" wrapText="1"/>
    </xf>
    <xf numFmtId="43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4" fontId="95" fillId="0" borderId="1" xfId="0" applyNumberFormat="1" applyFont="1" applyBorder="1" applyAlignment="1">
      <alignment horizontal="right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0" fontId="98" fillId="0" borderId="32" xfId="0" applyFont="1" applyBorder="1" applyAlignment="1">
      <alignment horizontal="center"/>
    </xf>
    <xf numFmtId="171" fontId="98" fillId="14" borderId="29" xfId="64" applyNumberFormat="1" applyFont="1" applyFill="1" applyBorder="1" applyAlignment="1">
      <alignment horizontal="center" vertical="center"/>
    </xf>
    <xf numFmtId="171" fontId="98" fillId="14" borderId="0" xfId="64" applyNumberFormat="1" applyFont="1" applyFill="1" applyBorder="1" applyAlignment="1">
      <alignment horizontal="center" vertical="center"/>
    </xf>
    <xf numFmtId="171" fontId="98" fillId="14" borderId="1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/>
    </xf>
    <xf numFmtId="171" fontId="98" fillId="14" borderId="47" xfId="64" applyNumberFormat="1" applyFont="1" applyFill="1" applyBorder="1" applyAlignment="1">
      <alignment horizontal="center" vertic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0" fillId="14" borderId="79" xfId="0" applyFill="1" applyBorder="1" applyAlignment="1">
      <alignment horizontal="center"/>
    </xf>
    <xf numFmtId="168" fontId="0" fillId="14" borderId="79" xfId="3" applyFont="1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9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/>
    </xf>
    <xf numFmtId="0" fontId="93" fillId="14" borderId="79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 wrapText="1"/>
    </xf>
    <xf numFmtId="0" fontId="93" fillId="14" borderId="7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210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01" xfId="202"/>
    <cellStyle name="Comma 102" xfId="203"/>
    <cellStyle name="Comma 103" xfId="201"/>
    <cellStyle name="Comma 104" xfId="199"/>
    <cellStyle name="Comma 105" xfId="200"/>
    <cellStyle name="Comma 106" xfId="205"/>
    <cellStyle name="Comma 107" xfId="204"/>
    <cellStyle name="Comma 108" xfId="207"/>
    <cellStyle name="Comma 109" xfId="206"/>
    <cellStyle name="Comma 11" xfId="6"/>
    <cellStyle name="Comma 110" xfId="208"/>
    <cellStyle name="Comma 111" xfId="209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5" bestFit="1" customWidth="1"/>
    <col min="4" max="4" width="13.28515625" customWidth="1"/>
  </cols>
  <sheetData>
    <row r="1" spans="1:4" ht="16.5" x14ac:dyDescent="0.3">
      <c r="A1" s="536" t="s">
        <v>0</v>
      </c>
    </row>
    <row r="2" spans="1:4" ht="15.75" x14ac:dyDescent="0.25">
      <c r="A2" s="537" t="s">
        <v>4752</v>
      </c>
    </row>
    <row r="3" spans="1:4" x14ac:dyDescent="0.25">
      <c r="A3" s="538">
        <v>44348</v>
      </c>
    </row>
    <row r="4" spans="1:4" ht="15.75" thickBot="1" x14ac:dyDescent="0.3"/>
    <row r="5" spans="1:4" x14ac:dyDescent="0.25">
      <c r="A5" s="539" t="s">
        <v>4753</v>
      </c>
      <c r="B5" s="540"/>
      <c r="C5" s="541">
        <f>RECEIPT!AY103</f>
        <v>0</v>
      </c>
      <c r="D5" s="542"/>
    </row>
    <row r="6" spans="1:4" x14ac:dyDescent="0.25">
      <c r="A6" s="543" t="s">
        <v>4754</v>
      </c>
      <c r="B6" s="349"/>
      <c r="C6" s="350">
        <f>RECEIPT!AY100</f>
        <v>0</v>
      </c>
      <c r="D6" s="544"/>
    </row>
    <row r="7" spans="1:4" x14ac:dyDescent="0.25">
      <c r="A7" s="543" t="s">
        <v>4755</v>
      </c>
      <c r="B7" s="349"/>
      <c r="C7" s="350">
        <f>RECEIPT!AY101</f>
        <v>4319652737</v>
      </c>
      <c r="D7" s="544"/>
    </row>
    <row r="8" spans="1:4" x14ac:dyDescent="0.25">
      <c r="A8" s="545" t="s">
        <v>4760</v>
      </c>
      <c r="B8" s="546"/>
      <c r="C8" s="547">
        <f>SUM(C5:C7)</f>
        <v>4319652737</v>
      </c>
      <c r="D8" s="544"/>
    </row>
    <row r="9" spans="1:4" s="254" customFormat="1" x14ac:dyDescent="0.25">
      <c r="A9" s="543"/>
      <c r="B9" s="349"/>
      <c r="C9" s="350"/>
      <c r="D9" s="544"/>
    </row>
    <row r="10" spans="1:4" x14ac:dyDescent="0.25">
      <c r="A10" s="543" t="s">
        <v>21</v>
      </c>
      <c r="B10" s="349"/>
      <c r="C10" s="350">
        <f>ATTACH!AL11</f>
        <v>46944294024</v>
      </c>
      <c r="D10" s="544"/>
    </row>
    <row r="11" spans="1:4" x14ac:dyDescent="0.25">
      <c r="A11" s="543" t="s">
        <v>28</v>
      </c>
      <c r="B11" s="349"/>
      <c r="C11" s="350">
        <f>SUM(ATTACH!AL73)</f>
        <v>2661416670</v>
      </c>
      <c r="D11" s="544"/>
    </row>
    <row r="12" spans="1:4" x14ac:dyDescent="0.25">
      <c r="A12" s="543" t="s">
        <v>4756</v>
      </c>
      <c r="B12" s="349"/>
      <c r="C12" s="350">
        <f>SUM(ATTACH!AL16:AL23)</f>
        <v>29859724031</v>
      </c>
      <c r="D12" s="544"/>
    </row>
    <row r="13" spans="1:4" x14ac:dyDescent="0.25">
      <c r="A13" s="543" t="s">
        <v>4757</v>
      </c>
      <c r="B13" s="349"/>
      <c r="C13" s="350">
        <f>+ATTACH!AL93</f>
        <v>587747678</v>
      </c>
      <c r="D13" s="544"/>
    </row>
    <row r="14" spans="1:4" x14ac:dyDescent="0.25">
      <c r="A14" s="543" t="s">
        <v>4758</v>
      </c>
      <c r="B14" s="349"/>
      <c r="C14" s="350">
        <f>ATTACH!AL112</f>
        <v>364702665</v>
      </c>
      <c r="D14" s="544"/>
    </row>
    <row r="15" spans="1:4" x14ac:dyDescent="0.25">
      <c r="A15" s="543" t="s">
        <v>4759</v>
      </c>
      <c r="B15" s="349"/>
      <c r="C15" s="350">
        <f>ATTACH!AL168</f>
        <v>3606013775.3499999</v>
      </c>
      <c r="D15" s="544"/>
    </row>
    <row r="16" spans="1:4" x14ac:dyDescent="0.25">
      <c r="A16" s="548" t="s">
        <v>4761</v>
      </c>
      <c r="B16" s="549"/>
      <c r="C16" s="550">
        <f>SUM(C10:C15)</f>
        <v>84023898843.350006</v>
      </c>
      <c r="D16" s="544"/>
    </row>
    <row r="17" spans="1:4" x14ac:dyDescent="0.25">
      <c r="A17" s="543"/>
      <c r="B17" s="349"/>
      <c r="C17" s="350"/>
      <c r="D17" s="544"/>
    </row>
    <row r="18" spans="1:4" ht="15.75" thickBot="1" x14ac:dyDescent="0.3">
      <c r="A18" s="558" t="s">
        <v>104</v>
      </c>
      <c r="B18" s="559"/>
      <c r="C18" s="560">
        <f>C8-C16</f>
        <v>-79704246106.350006</v>
      </c>
      <c r="D18" s="544"/>
    </row>
    <row r="19" spans="1:4" s="254" customFormat="1" ht="15.75" thickTop="1" x14ac:dyDescent="0.25">
      <c r="A19" s="551"/>
      <c r="B19" s="552"/>
      <c r="C19" s="553"/>
      <c r="D19" s="544"/>
    </row>
    <row r="20" spans="1:4" s="254" customFormat="1" x14ac:dyDescent="0.25">
      <c r="A20" s="551" t="s">
        <v>6122</v>
      </c>
      <c r="B20" s="552"/>
      <c r="C20" s="553">
        <f>'[1]CF STAT'!$C$22</f>
        <v>33106326342.440002</v>
      </c>
      <c r="D20" s="677"/>
    </row>
    <row r="21" spans="1:4" s="254" customFormat="1" x14ac:dyDescent="0.25">
      <c r="A21" s="551"/>
      <c r="B21" s="552"/>
      <c r="C21" s="553"/>
      <c r="D21" s="544"/>
    </row>
    <row r="22" spans="1:4" s="254" customFormat="1" x14ac:dyDescent="0.25">
      <c r="A22" s="551" t="s">
        <v>4762</v>
      </c>
      <c r="B22" s="552"/>
      <c r="C22" s="553">
        <f>C18+C20</f>
        <v>-46597919763.910004</v>
      </c>
      <c r="D22" s="676"/>
    </row>
    <row r="23" spans="1:4" ht="15.75" thickBot="1" x14ac:dyDescent="0.3">
      <c r="A23" s="554"/>
      <c r="B23" s="555"/>
      <c r="C23" s="556"/>
      <c r="D23" s="557"/>
    </row>
    <row r="25" spans="1:4" x14ac:dyDescent="0.25">
      <c r="C25" s="465">
        <f>RECEIPT!AY103-ATTACH!AL170+C20</f>
        <v>-50917572500.910004</v>
      </c>
    </row>
    <row r="26" spans="1:4" x14ac:dyDescent="0.25">
      <c r="C26" s="465">
        <f>C22-C25</f>
        <v>4319652737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N48"/>
  <sheetViews>
    <sheetView zoomScale="80" zoomScaleNormal="80" zoomScaleSheetLayoutView="100" workbookViewId="0">
      <pane xSplit="4" ySplit="4" topLeftCell="E29" activePane="bottomRight" state="frozen"/>
      <selection pane="topRight" activeCell="E1" sqref="E1"/>
      <selection pane="bottomLeft" activeCell="A5" sqref="A5"/>
      <selection pane="bottomRight" activeCell="G31" sqref="G31"/>
    </sheetView>
  </sheetViews>
  <sheetFormatPr defaultRowHeight="15.75" x14ac:dyDescent="0.25"/>
  <cols>
    <col min="1" max="1" width="12.42578125" style="1027" customWidth="1"/>
    <col min="2" max="2" width="12.140625" style="1020" bestFit="1" customWidth="1"/>
    <col min="3" max="3" width="20.28515625" style="1062" customWidth="1"/>
    <col min="4" max="4" width="12" style="1027" bestFit="1" customWidth="1"/>
    <col min="5" max="5" width="14.42578125" style="1021" bestFit="1" customWidth="1"/>
    <col min="6" max="6" width="20.85546875" style="1035" bestFit="1" customWidth="1"/>
    <col min="7" max="7" width="19.28515625" style="1035" customWidth="1"/>
    <col min="8" max="8" width="9" style="1060" customWidth="1"/>
    <col min="9" max="9" width="17.85546875" style="1035" bestFit="1" customWidth="1"/>
    <col min="10" max="10" width="14.140625" style="1035" customWidth="1"/>
    <col min="11" max="11" width="19.42578125" style="1035" customWidth="1"/>
    <col min="12" max="12" width="7.42578125" style="1035" customWidth="1"/>
    <col min="13" max="13" width="11.7109375" style="1035" customWidth="1"/>
    <col min="14" max="14" width="19.28515625" style="1035" customWidth="1"/>
    <col min="15" max="15" width="13.140625" style="1035" customWidth="1"/>
    <col min="16" max="16" width="9.5703125" style="1035" bestFit="1" customWidth="1"/>
    <col min="17" max="17" width="9.5703125" style="1035" customWidth="1"/>
    <col min="18" max="18" width="12.28515625" style="1035" customWidth="1"/>
    <col min="19" max="19" width="18.140625" style="1035" bestFit="1" customWidth="1"/>
    <col min="20" max="20" width="11.7109375" style="1035" bestFit="1" customWidth="1"/>
    <col min="21" max="23" width="17.28515625" style="1035" customWidth="1"/>
    <col min="24" max="24" width="19.7109375" style="1035" customWidth="1"/>
    <col min="25" max="25" width="15.42578125" style="1035" customWidth="1"/>
    <col min="26" max="26" width="16.85546875" style="1035" customWidth="1"/>
    <col min="27" max="27" width="9.140625" style="1035"/>
    <col min="28" max="28" width="14.85546875" style="1035" bestFit="1" customWidth="1"/>
    <col min="29" max="248" width="9.140625" style="1035"/>
    <col min="249" max="16384" width="9.140625" style="1036"/>
  </cols>
  <sheetData>
    <row r="1" spans="1:59" ht="16.5" thickBot="1" x14ac:dyDescent="0.3">
      <c r="A1" s="1027" t="s">
        <v>688</v>
      </c>
      <c r="B1" s="997"/>
      <c r="C1" s="1037" t="s">
        <v>6220</v>
      </c>
      <c r="D1" s="1142">
        <v>8.2000000000000003E-2</v>
      </c>
      <c r="E1" s="990" t="s">
        <v>6221</v>
      </c>
      <c r="F1" s="1143">
        <v>8.7999999999999995E-2</v>
      </c>
      <c r="G1" s="1033">
        <v>30</v>
      </c>
      <c r="H1" s="1034"/>
      <c r="I1" s="1038"/>
      <c r="J1" s="1038"/>
      <c r="K1" s="1038"/>
      <c r="L1" s="1038"/>
      <c r="M1" s="1038"/>
      <c r="N1" s="1038"/>
      <c r="O1" s="1038"/>
      <c r="P1" s="1038"/>
      <c r="Q1" s="1038"/>
      <c r="R1" s="1038"/>
      <c r="S1" s="1033"/>
      <c r="T1" s="1033"/>
      <c r="U1" s="1033"/>
      <c r="V1" s="1033"/>
      <c r="W1" s="1033"/>
      <c r="X1" s="1033"/>
      <c r="Y1" s="1033"/>
      <c r="Z1" s="1033"/>
      <c r="AA1" s="1033"/>
      <c r="AB1" s="1033"/>
      <c r="AC1" s="1033"/>
      <c r="AD1" s="1033"/>
      <c r="AE1" s="1033"/>
      <c r="AF1" s="1033"/>
      <c r="AG1" s="1033"/>
      <c r="AH1" s="1033"/>
      <c r="AI1" s="1033"/>
      <c r="AJ1" s="1033"/>
      <c r="AK1" s="1033"/>
      <c r="AL1" s="1033"/>
      <c r="AM1" s="1033"/>
      <c r="AN1" s="1033"/>
      <c r="AO1" s="1033"/>
      <c r="AP1" s="1033"/>
      <c r="AQ1" s="1033"/>
      <c r="AR1" s="1033"/>
      <c r="AS1" s="1033"/>
      <c r="AT1" s="1033"/>
      <c r="AU1" s="1033"/>
      <c r="AV1" s="1033"/>
      <c r="AW1" s="1033"/>
      <c r="AX1" s="1033"/>
      <c r="AY1" s="1033"/>
      <c r="AZ1" s="1033"/>
      <c r="BA1" s="1033"/>
      <c r="BB1" s="1033"/>
      <c r="BC1" s="1033"/>
      <c r="BD1" s="1033"/>
      <c r="BE1" s="1033"/>
      <c r="BF1" s="1033"/>
      <c r="BG1" s="1033"/>
    </row>
    <row r="2" spans="1:59" s="1040" customFormat="1" ht="15" customHeight="1" thickBot="1" x14ac:dyDescent="0.3">
      <c r="A2" s="1562" t="s">
        <v>102</v>
      </c>
      <c r="B2" s="1502"/>
      <c r="C2" s="1502"/>
      <c r="D2" s="1557" t="s">
        <v>103</v>
      </c>
      <c r="E2" s="1494" t="s">
        <v>124</v>
      </c>
      <c r="F2" s="1494"/>
      <c r="G2" s="1494"/>
      <c r="H2" s="1039"/>
      <c r="I2" s="1558" t="s">
        <v>104</v>
      </c>
      <c r="J2" s="1560" t="s">
        <v>105</v>
      </c>
      <c r="K2" s="1387" t="s">
        <v>106</v>
      </c>
      <c r="L2" s="1388"/>
      <c r="M2" s="1388"/>
      <c r="N2" s="1388"/>
      <c r="O2" s="1388"/>
      <c r="P2" s="1388"/>
      <c r="Q2" s="1388"/>
      <c r="R2" s="1388"/>
      <c r="S2" s="1388"/>
      <c r="T2" s="1388"/>
      <c r="U2" s="1388"/>
      <c r="V2" s="1388"/>
      <c r="W2" s="1388"/>
      <c r="X2" s="1388"/>
      <c r="Y2" s="1389"/>
    </row>
    <row r="3" spans="1:59" s="1040" customFormat="1" ht="16.5" thickBot="1" x14ac:dyDescent="0.3">
      <c r="A3" s="1330" t="s">
        <v>109</v>
      </c>
      <c r="B3" s="1041" t="s">
        <v>110</v>
      </c>
      <c r="C3" s="1042" t="s">
        <v>111</v>
      </c>
      <c r="D3" s="1557"/>
      <c r="E3" s="1001" t="s">
        <v>112</v>
      </c>
      <c r="F3" s="1001" t="s">
        <v>113</v>
      </c>
      <c r="G3" s="1001" t="s">
        <v>114</v>
      </c>
      <c r="H3" s="1002" t="s">
        <v>5960</v>
      </c>
      <c r="I3" s="1559"/>
      <c r="J3" s="1561"/>
      <c r="K3" s="1390" t="s">
        <v>117</v>
      </c>
      <c r="L3" s="1391"/>
      <c r="M3" s="1391"/>
      <c r="N3" s="1391"/>
      <c r="O3" s="1391"/>
      <c r="P3" s="1391"/>
      <c r="Q3" s="1391"/>
      <c r="R3" s="1391"/>
      <c r="S3" s="1391"/>
      <c r="T3" s="1391"/>
      <c r="U3" s="1391"/>
      <c r="V3" s="1391"/>
      <c r="W3" s="1391"/>
      <c r="X3" s="1391"/>
      <c r="Y3" s="1392"/>
    </row>
    <row r="4" spans="1:59" s="1043" customFormat="1" ht="16.5" customHeight="1" thickBot="1" x14ac:dyDescent="0.3">
      <c r="A4" s="1072"/>
      <c r="B4" s="1073"/>
      <c r="C4" s="1074"/>
      <c r="D4" s="1072"/>
      <c r="E4" s="1074"/>
      <c r="F4" s="1074"/>
      <c r="G4" s="1074"/>
      <c r="H4" s="1075"/>
      <c r="I4" s="1074"/>
      <c r="J4" s="1074"/>
      <c r="K4" s="1335" t="s">
        <v>6219</v>
      </c>
      <c r="L4" s="1335" t="s">
        <v>6265</v>
      </c>
      <c r="M4" s="1335" t="s">
        <v>6266</v>
      </c>
      <c r="N4" s="1074" t="s">
        <v>6145</v>
      </c>
      <c r="O4" s="1074" t="s">
        <v>6267</v>
      </c>
      <c r="P4" s="1074" t="s">
        <v>6219</v>
      </c>
      <c r="Q4" s="1074" t="s">
        <v>6265</v>
      </c>
      <c r="R4" s="1074" t="s">
        <v>6266</v>
      </c>
      <c r="S4" s="1336" t="s">
        <v>6146</v>
      </c>
      <c r="T4" s="1337" t="s">
        <v>6267</v>
      </c>
      <c r="U4" s="1074" t="s">
        <v>6219</v>
      </c>
      <c r="V4" s="1074" t="s">
        <v>6265</v>
      </c>
      <c r="W4" s="1074" t="s">
        <v>6266</v>
      </c>
      <c r="X4" s="1336" t="s">
        <v>6146</v>
      </c>
      <c r="Y4" s="1337" t="s">
        <v>6267</v>
      </c>
    </row>
    <row r="5" spans="1:59" ht="15" customHeight="1" x14ac:dyDescent="0.25">
      <c r="A5" s="1340">
        <v>44659</v>
      </c>
      <c r="B5" s="1344" t="s">
        <v>50</v>
      </c>
      <c r="C5" s="1044">
        <v>848482098</v>
      </c>
      <c r="D5" s="1045">
        <f t="shared" ref="D5:D38" si="0">A5+G$1</f>
        <v>44689</v>
      </c>
      <c r="E5" s="1046">
        <f t="shared" ref="E5:E23" si="1">D5-G5</f>
        <v>-3</v>
      </c>
      <c r="F5" s="1051">
        <v>848482098</v>
      </c>
      <c r="G5" s="1047">
        <v>44692</v>
      </c>
      <c r="H5" s="1383">
        <f>G5-A5</f>
        <v>33</v>
      </c>
      <c r="I5" s="1050">
        <f t="shared" ref="I5:I38" si="2">C5-F5</f>
        <v>0</v>
      </c>
      <c r="J5" s="1051">
        <f t="shared" ref="J5:J23" si="3">(C5/360)*H5*$D$1</f>
        <v>6377757.1033000005</v>
      </c>
      <c r="K5" s="1386">
        <v>8.2000000000000003E-2</v>
      </c>
      <c r="L5" s="1050">
        <v>32</v>
      </c>
      <c r="M5" s="1047">
        <v>44690</v>
      </c>
      <c r="N5" s="1051">
        <f t="shared" ref="N5:N6" si="4">C5/360*L5*K5</f>
        <v>6184491.7365333335</v>
      </c>
      <c r="O5" s="1047">
        <v>44691</v>
      </c>
      <c r="P5" s="1325">
        <v>8.2000000000000003E-2</v>
      </c>
      <c r="Q5" s="1385">
        <v>2</v>
      </c>
      <c r="R5" s="1047">
        <v>44692</v>
      </c>
      <c r="S5" s="1051">
        <f>C5/360*Q5*P5</f>
        <v>386530.73353333335</v>
      </c>
      <c r="T5" s="1052">
        <v>44692</v>
      </c>
      <c r="U5" s="1349"/>
      <c r="V5" s="1349"/>
      <c r="W5" s="1349"/>
      <c r="X5" s="1349"/>
      <c r="Y5" s="1349"/>
    </row>
    <row r="6" spans="1:59" ht="15" customHeight="1" x14ac:dyDescent="0.25">
      <c r="A6" s="1340">
        <v>44659</v>
      </c>
      <c r="B6" s="1344" t="s">
        <v>68</v>
      </c>
      <c r="C6" s="1044">
        <v>1474186003</v>
      </c>
      <c r="D6" s="1045">
        <f t="shared" si="0"/>
        <v>44689</v>
      </c>
      <c r="E6" s="1046">
        <f t="shared" si="1"/>
        <v>-3</v>
      </c>
      <c r="F6" s="1051">
        <v>1474186003</v>
      </c>
      <c r="G6" s="1047">
        <v>44692</v>
      </c>
      <c r="H6" s="1383">
        <f t="shared" ref="H6:H23" si="5">G6-A6</f>
        <v>33</v>
      </c>
      <c r="I6" s="1050">
        <f t="shared" si="2"/>
        <v>0</v>
      </c>
      <c r="J6" s="1051">
        <f t="shared" si="3"/>
        <v>11080964.789216667</v>
      </c>
      <c r="K6" s="1386">
        <v>8.4000000000000005E-2</v>
      </c>
      <c r="L6" s="1050">
        <v>32</v>
      </c>
      <c r="M6" s="1047">
        <v>44690</v>
      </c>
      <c r="N6" s="1051">
        <f t="shared" si="4"/>
        <v>11007255.489066668</v>
      </c>
      <c r="O6" s="1047">
        <v>44691</v>
      </c>
      <c r="P6" s="1325">
        <v>8.4000000000000005E-2</v>
      </c>
      <c r="Q6" s="1385">
        <v>2</v>
      </c>
      <c r="R6" s="1047">
        <v>44692</v>
      </c>
      <c r="S6" s="1051">
        <f t="shared" ref="S6:S9" si="6">C6/360*Q6*P6</f>
        <v>687953.46806666674</v>
      </c>
      <c r="T6" s="1052">
        <v>44692</v>
      </c>
      <c r="U6" s="1349"/>
      <c r="V6" s="1349"/>
      <c r="W6" s="1349"/>
      <c r="X6" s="1349"/>
      <c r="Y6" s="1349"/>
    </row>
    <row r="7" spans="1:59" ht="15" customHeight="1" x14ac:dyDescent="0.25">
      <c r="A7" s="1340">
        <v>44662</v>
      </c>
      <c r="B7" s="1344" t="s">
        <v>50</v>
      </c>
      <c r="C7" s="1044">
        <v>538186523</v>
      </c>
      <c r="D7" s="1045">
        <f t="shared" si="0"/>
        <v>44692</v>
      </c>
      <c r="E7" s="1046">
        <f t="shared" si="1"/>
        <v>0</v>
      </c>
      <c r="F7" s="1051">
        <v>538186523</v>
      </c>
      <c r="G7" s="1047">
        <v>44692</v>
      </c>
      <c r="H7" s="1383">
        <f t="shared" si="5"/>
        <v>30</v>
      </c>
      <c r="I7" s="1050">
        <f t="shared" si="2"/>
        <v>0</v>
      </c>
      <c r="J7" s="1051">
        <f t="shared" si="3"/>
        <v>3677607.9071666668</v>
      </c>
      <c r="K7" s="1050"/>
      <c r="L7" s="1050"/>
      <c r="M7" s="1399"/>
      <c r="N7" s="1051"/>
      <c r="O7" s="1047"/>
      <c r="P7" s="1384">
        <v>0.08</v>
      </c>
      <c r="Q7" s="1385">
        <v>31</v>
      </c>
      <c r="R7" s="1047">
        <v>44692</v>
      </c>
      <c r="S7" s="1051">
        <f t="shared" si="6"/>
        <v>3707507.1584444442</v>
      </c>
      <c r="T7" s="1052">
        <v>44692</v>
      </c>
      <c r="U7" s="1349"/>
      <c r="V7" s="1349"/>
      <c r="W7" s="1349"/>
      <c r="X7" s="1349"/>
      <c r="Y7" s="1349"/>
    </row>
    <row r="8" spans="1:59" ht="15" customHeight="1" x14ac:dyDescent="0.25">
      <c r="A8" s="1340">
        <v>44662</v>
      </c>
      <c r="B8" s="1344" t="s">
        <v>68</v>
      </c>
      <c r="C8" s="1044">
        <v>1797473147</v>
      </c>
      <c r="D8" s="1045">
        <f t="shared" si="0"/>
        <v>44692</v>
      </c>
      <c r="E8" s="1046">
        <f t="shared" si="1"/>
        <v>0</v>
      </c>
      <c r="F8" s="1051">
        <v>1797473147</v>
      </c>
      <c r="G8" s="1047">
        <v>44692</v>
      </c>
      <c r="H8" s="1383">
        <f t="shared" si="5"/>
        <v>30</v>
      </c>
      <c r="I8" s="1050">
        <f t="shared" si="2"/>
        <v>0</v>
      </c>
      <c r="J8" s="1051">
        <f t="shared" si="3"/>
        <v>12282733.17116667</v>
      </c>
      <c r="K8" s="1050"/>
      <c r="L8" s="1050"/>
      <c r="M8" s="1399"/>
      <c r="N8" s="1051"/>
      <c r="O8" s="1047"/>
      <c r="P8" s="1384">
        <v>0.08</v>
      </c>
      <c r="Q8" s="1385">
        <v>31</v>
      </c>
      <c r="R8" s="1047">
        <v>44692</v>
      </c>
      <c r="S8" s="1051">
        <f t="shared" si="6"/>
        <v>12382592.790444447</v>
      </c>
      <c r="T8" s="1052">
        <v>44692</v>
      </c>
      <c r="U8" s="1349"/>
      <c r="V8" s="1349"/>
      <c r="W8" s="1349"/>
      <c r="X8" s="1349"/>
      <c r="Y8" s="1349"/>
    </row>
    <row r="9" spans="1:59" ht="15" customHeight="1" x14ac:dyDescent="0.25">
      <c r="A9" s="1340">
        <v>44665</v>
      </c>
      <c r="B9" s="1344" t="s">
        <v>38</v>
      </c>
      <c r="C9" s="1044">
        <v>1054416984</v>
      </c>
      <c r="D9" s="1045">
        <f t="shared" si="0"/>
        <v>44695</v>
      </c>
      <c r="E9" s="1046">
        <f t="shared" si="1"/>
        <v>3</v>
      </c>
      <c r="F9" s="1051">
        <v>1054416984</v>
      </c>
      <c r="G9" s="1047">
        <v>44692</v>
      </c>
      <c r="H9" s="1383">
        <f t="shared" si="5"/>
        <v>27</v>
      </c>
      <c r="I9" s="1050">
        <f t="shared" si="2"/>
        <v>0</v>
      </c>
      <c r="J9" s="1051">
        <f t="shared" si="3"/>
        <v>6484664.4516000012</v>
      </c>
      <c r="K9" s="1050"/>
      <c r="L9" s="1050"/>
      <c r="M9" s="1399"/>
      <c r="N9" s="1051"/>
      <c r="O9" s="1047"/>
      <c r="P9" s="1384">
        <v>0.08</v>
      </c>
      <c r="Q9" s="1385">
        <v>28</v>
      </c>
      <c r="R9" s="1047">
        <v>44692</v>
      </c>
      <c r="S9" s="1051">
        <f t="shared" si="6"/>
        <v>6560816.7893333342</v>
      </c>
      <c r="T9" s="1052">
        <v>44692</v>
      </c>
      <c r="U9" s="1349"/>
      <c r="V9" s="1349"/>
      <c r="W9" s="1349"/>
      <c r="X9" s="1349"/>
      <c r="Y9" s="1349"/>
    </row>
    <row r="10" spans="1:59" ht="15" customHeight="1" x14ac:dyDescent="0.25">
      <c r="A10" s="1340">
        <v>44669</v>
      </c>
      <c r="B10" s="1344" t="s">
        <v>50</v>
      </c>
      <c r="C10" s="1044">
        <v>690914378</v>
      </c>
      <c r="D10" s="1045">
        <f t="shared" si="0"/>
        <v>44699</v>
      </c>
      <c r="E10" s="1046">
        <f t="shared" si="1"/>
        <v>5</v>
      </c>
      <c r="F10" s="1051">
        <v>690914378</v>
      </c>
      <c r="G10" s="1047">
        <v>44694</v>
      </c>
      <c r="H10" s="1383">
        <f t="shared" si="5"/>
        <v>25</v>
      </c>
      <c r="I10" s="1050">
        <f t="shared" si="2"/>
        <v>0</v>
      </c>
      <c r="J10" s="1051">
        <f t="shared" si="3"/>
        <v>3934373.5413888888</v>
      </c>
      <c r="K10" s="1384">
        <v>0.08</v>
      </c>
      <c r="L10" s="1050">
        <v>26</v>
      </c>
      <c r="M10" s="1399">
        <v>44694</v>
      </c>
      <c r="N10" s="1051">
        <f t="shared" ref="N10:N23" si="7">C10/360*L10*K10</f>
        <v>3991949.7395555559</v>
      </c>
      <c r="O10" s="1047">
        <v>44694</v>
      </c>
      <c r="P10" s="1047"/>
      <c r="Q10" s="1047"/>
      <c r="R10" s="1047"/>
      <c r="S10" s="1051"/>
      <c r="T10" s="1052"/>
      <c r="U10" s="1349"/>
      <c r="V10" s="1349"/>
      <c r="W10" s="1349"/>
      <c r="X10" s="1349"/>
      <c r="Y10" s="1349"/>
    </row>
    <row r="11" spans="1:59" ht="15" customHeight="1" x14ac:dyDescent="0.25">
      <c r="A11" s="1340">
        <v>44669</v>
      </c>
      <c r="B11" s="1344" t="s">
        <v>38</v>
      </c>
      <c r="C11" s="1044">
        <v>1699116424</v>
      </c>
      <c r="D11" s="1045">
        <f t="shared" si="0"/>
        <v>44699</v>
      </c>
      <c r="E11" s="1046">
        <f t="shared" si="1"/>
        <v>5</v>
      </c>
      <c r="F11" s="1051">
        <v>1699116424</v>
      </c>
      <c r="G11" s="1047">
        <v>44694</v>
      </c>
      <c r="H11" s="1383">
        <f t="shared" si="5"/>
        <v>25</v>
      </c>
      <c r="I11" s="1050">
        <f t="shared" si="2"/>
        <v>0</v>
      </c>
      <c r="J11" s="1051">
        <f t="shared" si="3"/>
        <v>9675524.0811111107</v>
      </c>
      <c r="K11" s="1384">
        <v>0.08</v>
      </c>
      <c r="L11" s="1050">
        <v>26</v>
      </c>
      <c r="M11" s="1399">
        <v>44694</v>
      </c>
      <c r="N11" s="1051">
        <f t="shared" si="7"/>
        <v>9817117.1164444443</v>
      </c>
      <c r="O11" s="1047">
        <v>44694</v>
      </c>
      <c r="P11" s="1047"/>
      <c r="Q11" s="1047"/>
      <c r="R11" s="1047"/>
      <c r="S11" s="1051"/>
      <c r="T11" s="1052"/>
      <c r="U11" s="1349"/>
      <c r="V11" s="1349"/>
      <c r="W11" s="1349"/>
      <c r="X11" s="1349"/>
      <c r="Y11" s="1349"/>
    </row>
    <row r="12" spans="1:59" ht="15" customHeight="1" x14ac:dyDescent="0.25">
      <c r="A12" s="1340">
        <v>44671</v>
      </c>
      <c r="B12" s="1344" t="s">
        <v>50</v>
      </c>
      <c r="C12" s="1044">
        <v>990741506</v>
      </c>
      <c r="D12" s="1045">
        <f t="shared" si="0"/>
        <v>44701</v>
      </c>
      <c r="E12" s="1046">
        <f t="shared" si="1"/>
        <v>3</v>
      </c>
      <c r="F12" s="1051">
        <v>990741506</v>
      </c>
      <c r="G12" s="1047">
        <v>44698</v>
      </c>
      <c r="H12" s="1383">
        <f t="shared" si="5"/>
        <v>27</v>
      </c>
      <c r="I12" s="1050">
        <f t="shared" si="2"/>
        <v>0</v>
      </c>
      <c r="J12" s="1051">
        <f t="shared" si="3"/>
        <v>6093060.2619000003</v>
      </c>
      <c r="K12" s="1384">
        <v>0.08</v>
      </c>
      <c r="L12" s="1050">
        <v>28</v>
      </c>
      <c r="M12" s="1399">
        <v>44698</v>
      </c>
      <c r="N12" s="1051">
        <f t="shared" si="7"/>
        <v>6164613.8151111118</v>
      </c>
      <c r="O12" s="1399">
        <v>44698</v>
      </c>
      <c r="P12" s="1047"/>
      <c r="Q12" s="1047"/>
      <c r="R12" s="1047"/>
      <c r="S12" s="1051"/>
      <c r="T12" s="1052"/>
      <c r="U12" s="1349"/>
      <c r="V12" s="1349"/>
      <c r="W12" s="1349"/>
      <c r="X12" s="1349"/>
      <c r="Y12" s="1349"/>
    </row>
    <row r="13" spans="1:59" ht="15" customHeight="1" x14ac:dyDescent="0.25">
      <c r="A13" s="1340">
        <v>44671</v>
      </c>
      <c r="B13" s="1344" t="s">
        <v>38</v>
      </c>
      <c r="C13" s="1044">
        <v>3789896895</v>
      </c>
      <c r="D13" s="1045">
        <f t="shared" si="0"/>
        <v>44701</v>
      </c>
      <c r="E13" s="1046">
        <f t="shared" si="1"/>
        <v>3</v>
      </c>
      <c r="F13" s="1051">
        <v>3789896895</v>
      </c>
      <c r="G13" s="1047">
        <v>44698</v>
      </c>
      <c r="H13" s="1383">
        <f t="shared" si="5"/>
        <v>27</v>
      </c>
      <c r="I13" s="1050">
        <f t="shared" si="2"/>
        <v>0</v>
      </c>
      <c r="J13" s="1051">
        <f t="shared" si="3"/>
        <v>23307865.90425</v>
      </c>
      <c r="K13" s="1384">
        <v>0.08</v>
      </c>
      <c r="L13" s="1050">
        <v>28</v>
      </c>
      <c r="M13" s="1399">
        <v>44698</v>
      </c>
      <c r="N13" s="1051">
        <f t="shared" si="7"/>
        <v>23581580.68</v>
      </c>
      <c r="O13" s="1399">
        <v>44698</v>
      </c>
      <c r="P13" s="1047"/>
      <c r="Q13" s="1047"/>
      <c r="R13" s="1047"/>
      <c r="S13" s="1051"/>
      <c r="T13" s="1052"/>
      <c r="U13" s="1349"/>
      <c r="V13" s="1349"/>
      <c r="W13" s="1349"/>
      <c r="X13" s="1349"/>
      <c r="Y13" s="1349"/>
    </row>
    <row r="14" spans="1:59" ht="15" customHeight="1" x14ac:dyDescent="0.25">
      <c r="A14" s="1340">
        <v>44673</v>
      </c>
      <c r="B14" s="1344" t="s">
        <v>50</v>
      </c>
      <c r="C14" s="1044">
        <v>614240853</v>
      </c>
      <c r="D14" s="1045">
        <f t="shared" si="0"/>
        <v>44703</v>
      </c>
      <c r="E14" s="1046">
        <f t="shared" si="1"/>
        <v>4</v>
      </c>
      <c r="F14" s="1051">
        <v>614240853</v>
      </c>
      <c r="G14" s="1047">
        <v>44699</v>
      </c>
      <c r="H14" s="1383">
        <f t="shared" si="5"/>
        <v>26</v>
      </c>
      <c r="I14" s="1050">
        <f t="shared" si="2"/>
        <v>0</v>
      </c>
      <c r="J14" s="1051">
        <f t="shared" si="3"/>
        <v>3637670.8294333336</v>
      </c>
      <c r="K14" s="1384">
        <v>0.08</v>
      </c>
      <c r="L14" s="1050">
        <v>27</v>
      </c>
      <c r="M14" s="1399">
        <v>44699</v>
      </c>
      <c r="N14" s="1051">
        <f t="shared" si="7"/>
        <v>3685445.1179999998</v>
      </c>
      <c r="O14" s="1399">
        <v>44699</v>
      </c>
      <c r="P14" s="1047"/>
      <c r="Q14" s="1047"/>
      <c r="R14" s="1047"/>
      <c r="S14" s="1051"/>
      <c r="T14" s="1052"/>
      <c r="U14" s="1349"/>
      <c r="V14" s="1349"/>
      <c r="W14" s="1349"/>
      <c r="X14" s="1349"/>
      <c r="Y14" s="1349"/>
    </row>
    <row r="15" spans="1:59" ht="15" customHeight="1" x14ac:dyDescent="0.25">
      <c r="A15" s="1340">
        <v>44676</v>
      </c>
      <c r="B15" s="1344" t="s">
        <v>50</v>
      </c>
      <c r="C15" s="1044">
        <v>874676052</v>
      </c>
      <c r="D15" s="1045">
        <f t="shared" si="0"/>
        <v>44706</v>
      </c>
      <c r="E15" s="1046">
        <f t="shared" si="1"/>
        <v>5</v>
      </c>
      <c r="F15" s="1051">
        <v>874676052</v>
      </c>
      <c r="G15" s="1047">
        <v>44701</v>
      </c>
      <c r="H15" s="1383">
        <f t="shared" si="5"/>
        <v>25</v>
      </c>
      <c r="I15" s="1050">
        <f t="shared" si="2"/>
        <v>0</v>
      </c>
      <c r="J15" s="1051">
        <f t="shared" si="3"/>
        <v>4980794.1850000005</v>
      </c>
      <c r="K15" s="1384">
        <v>0.08</v>
      </c>
      <c r="L15" s="1050">
        <v>26</v>
      </c>
      <c r="M15" s="1047">
        <v>44701</v>
      </c>
      <c r="N15" s="1051">
        <f t="shared" si="7"/>
        <v>5053683.8560000006</v>
      </c>
      <c r="O15" s="1047">
        <v>44701</v>
      </c>
      <c r="P15" s="1047"/>
      <c r="Q15" s="1047"/>
      <c r="R15" s="1047"/>
      <c r="S15" s="1051"/>
      <c r="T15" s="1052"/>
      <c r="U15" s="1349"/>
      <c r="V15" s="1349"/>
      <c r="W15" s="1349"/>
      <c r="X15" s="1349"/>
      <c r="Y15" s="1349"/>
    </row>
    <row r="16" spans="1:59" ht="15" customHeight="1" x14ac:dyDescent="0.25">
      <c r="A16" s="1340">
        <v>44676</v>
      </c>
      <c r="B16" s="1344" t="s">
        <v>38</v>
      </c>
      <c r="C16" s="1044">
        <v>3002239916</v>
      </c>
      <c r="D16" s="1045">
        <f t="shared" si="0"/>
        <v>44706</v>
      </c>
      <c r="E16" s="1046">
        <f t="shared" si="1"/>
        <v>5</v>
      </c>
      <c r="F16" s="1051">
        <v>3002239916</v>
      </c>
      <c r="G16" s="1047">
        <v>44701</v>
      </c>
      <c r="H16" s="1383">
        <f t="shared" si="5"/>
        <v>25</v>
      </c>
      <c r="I16" s="1050">
        <f t="shared" si="2"/>
        <v>0</v>
      </c>
      <c r="J16" s="1051">
        <f t="shared" si="3"/>
        <v>17096088.410555556</v>
      </c>
      <c r="K16" s="1384">
        <v>0.08</v>
      </c>
      <c r="L16" s="1050">
        <v>26</v>
      </c>
      <c r="M16" s="1047">
        <v>44701</v>
      </c>
      <c r="N16" s="1051">
        <f t="shared" si="7"/>
        <v>17346275.070222221</v>
      </c>
      <c r="O16" s="1047">
        <v>44701</v>
      </c>
      <c r="P16" s="1047"/>
      <c r="Q16" s="1047"/>
      <c r="R16" s="1047"/>
      <c r="S16" s="1051"/>
      <c r="T16" s="1052"/>
      <c r="U16" s="1349"/>
      <c r="V16" s="1349"/>
      <c r="W16" s="1349"/>
      <c r="X16" s="1349"/>
      <c r="Y16" s="1349"/>
    </row>
    <row r="17" spans="1:25" ht="15" customHeight="1" x14ac:dyDescent="0.25">
      <c r="A17" s="1340">
        <v>44678</v>
      </c>
      <c r="B17" s="1344" t="s">
        <v>50</v>
      </c>
      <c r="C17" s="1044">
        <v>1563714575</v>
      </c>
      <c r="D17" s="1045">
        <f t="shared" si="0"/>
        <v>44708</v>
      </c>
      <c r="E17" s="1046">
        <f t="shared" si="1"/>
        <v>4</v>
      </c>
      <c r="F17" s="1051">
        <v>1563714575</v>
      </c>
      <c r="G17" s="1047">
        <v>44704</v>
      </c>
      <c r="H17" s="1383">
        <f t="shared" si="5"/>
        <v>26</v>
      </c>
      <c r="I17" s="1050">
        <f t="shared" si="2"/>
        <v>0</v>
      </c>
      <c r="J17" s="1051">
        <f t="shared" si="3"/>
        <v>9260665.2052777782</v>
      </c>
      <c r="K17" s="1384">
        <v>0.08</v>
      </c>
      <c r="L17" s="1050">
        <v>27</v>
      </c>
      <c r="M17" s="1047">
        <v>44704</v>
      </c>
      <c r="N17" s="1051">
        <f t="shared" si="7"/>
        <v>9382287.4500000011</v>
      </c>
      <c r="O17" s="1047">
        <v>44704</v>
      </c>
      <c r="P17" s="1047"/>
      <c r="Q17" s="1047"/>
      <c r="R17" s="1047"/>
      <c r="S17" s="1051"/>
      <c r="T17" s="1052"/>
      <c r="U17" s="1349"/>
      <c r="V17" s="1349"/>
      <c r="W17" s="1349"/>
      <c r="X17" s="1349"/>
      <c r="Y17" s="1349"/>
    </row>
    <row r="18" spans="1:25" ht="15" customHeight="1" x14ac:dyDescent="0.25">
      <c r="A18" s="1340">
        <v>44678</v>
      </c>
      <c r="B18" s="1344" t="s">
        <v>38</v>
      </c>
      <c r="C18" s="1044">
        <v>4110167509</v>
      </c>
      <c r="D18" s="1045">
        <f t="shared" si="0"/>
        <v>44708</v>
      </c>
      <c r="E18" s="1046">
        <f t="shared" si="1"/>
        <v>4</v>
      </c>
      <c r="F18" s="1051">
        <v>4110167509</v>
      </c>
      <c r="G18" s="1047">
        <v>44704</v>
      </c>
      <c r="H18" s="1383">
        <f t="shared" si="5"/>
        <v>26</v>
      </c>
      <c r="I18" s="1050">
        <f t="shared" si="2"/>
        <v>0</v>
      </c>
      <c r="J18" s="1051">
        <f t="shared" si="3"/>
        <v>24341325.358855557</v>
      </c>
      <c r="K18" s="1384">
        <v>0.08</v>
      </c>
      <c r="L18" s="1050">
        <v>27</v>
      </c>
      <c r="M18" s="1047">
        <v>44704</v>
      </c>
      <c r="N18" s="1051">
        <f t="shared" si="7"/>
        <v>24661005.054000001</v>
      </c>
      <c r="O18" s="1047">
        <v>44704</v>
      </c>
      <c r="P18" s="1047"/>
      <c r="Q18" s="1047"/>
      <c r="R18" s="1047"/>
      <c r="S18" s="1051"/>
      <c r="T18" s="1052"/>
      <c r="U18" s="1349"/>
      <c r="V18" s="1349"/>
      <c r="W18" s="1349"/>
      <c r="X18" s="1349"/>
      <c r="Y18" s="1349"/>
    </row>
    <row r="19" spans="1:25" ht="15" customHeight="1" x14ac:dyDescent="0.25">
      <c r="A19" s="1340">
        <v>44690</v>
      </c>
      <c r="B19" s="1344" t="s">
        <v>50</v>
      </c>
      <c r="C19" s="1044">
        <v>521006417</v>
      </c>
      <c r="D19" s="1045">
        <f t="shared" si="0"/>
        <v>44720</v>
      </c>
      <c r="E19" s="1046">
        <f t="shared" si="1"/>
        <v>12</v>
      </c>
      <c r="F19" s="1051">
        <v>521006417</v>
      </c>
      <c r="G19" s="1047">
        <v>44708</v>
      </c>
      <c r="H19" s="1383">
        <f t="shared" si="5"/>
        <v>18</v>
      </c>
      <c r="I19" s="1050">
        <f t="shared" si="2"/>
        <v>0</v>
      </c>
      <c r="J19" s="1051">
        <f t="shared" si="3"/>
        <v>2136126.3097000001</v>
      </c>
      <c r="K19" s="1384">
        <v>0.08</v>
      </c>
      <c r="L19" s="1050">
        <v>19</v>
      </c>
      <c r="M19" s="1047">
        <v>44708</v>
      </c>
      <c r="N19" s="1051">
        <f t="shared" si="7"/>
        <v>2199804.8717777776</v>
      </c>
      <c r="O19" s="1047">
        <v>44708</v>
      </c>
      <c r="P19" s="1047"/>
      <c r="Q19" s="1047"/>
      <c r="R19" s="1047"/>
      <c r="S19" s="1051"/>
      <c r="T19" s="1052"/>
      <c r="U19" s="1349"/>
      <c r="V19" s="1349"/>
      <c r="W19" s="1349"/>
      <c r="X19" s="1349"/>
      <c r="Y19" s="1349"/>
    </row>
    <row r="20" spans="1:25" ht="15" customHeight="1" x14ac:dyDescent="0.25">
      <c r="A20" s="1340">
        <v>44690</v>
      </c>
      <c r="B20" s="1344" t="s">
        <v>38</v>
      </c>
      <c r="C20" s="1044">
        <v>1919307170</v>
      </c>
      <c r="D20" s="1045">
        <f t="shared" si="0"/>
        <v>44720</v>
      </c>
      <c r="E20" s="1046">
        <f t="shared" si="1"/>
        <v>12</v>
      </c>
      <c r="F20" s="1051">
        <v>1919307170</v>
      </c>
      <c r="G20" s="1047">
        <v>44708</v>
      </c>
      <c r="H20" s="1383">
        <f t="shared" si="5"/>
        <v>18</v>
      </c>
      <c r="I20" s="1050">
        <f t="shared" si="2"/>
        <v>0</v>
      </c>
      <c r="J20" s="1051">
        <f t="shared" si="3"/>
        <v>7869159.3969999999</v>
      </c>
      <c r="K20" s="1384">
        <v>0.08</v>
      </c>
      <c r="L20" s="1050">
        <v>19</v>
      </c>
      <c r="M20" s="1047">
        <v>44708</v>
      </c>
      <c r="N20" s="1051">
        <f t="shared" si="7"/>
        <v>8103741.3844444454</v>
      </c>
      <c r="O20" s="1047">
        <v>44708</v>
      </c>
      <c r="P20" s="1047"/>
      <c r="Q20" s="1047"/>
      <c r="R20" s="1047"/>
      <c r="S20" s="1051"/>
      <c r="T20" s="1052"/>
      <c r="U20" s="1349"/>
      <c r="V20" s="1349"/>
      <c r="W20" s="1349"/>
      <c r="X20" s="1349"/>
      <c r="Y20" s="1349"/>
    </row>
    <row r="21" spans="1:25" ht="15" customHeight="1" x14ac:dyDescent="0.25">
      <c r="A21" s="1340">
        <v>44692</v>
      </c>
      <c r="B21" s="1344" t="s">
        <v>68</v>
      </c>
      <c r="C21" s="1044">
        <v>1055501698</v>
      </c>
      <c r="D21" s="1045">
        <f t="shared" si="0"/>
        <v>44722</v>
      </c>
      <c r="E21" s="1046">
        <f t="shared" si="1"/>
        <v>10</v>
      </c>
      <c r="F21" s="1051">
        <v>1055501698</v>
      </c>
      <c r="G21" s="1047">
        <v>44712</v>
      </c>
      <c r="H21" s="1383">
        <f t="shared" si="5"/>
        <v>20</v>
      </c>
      <c r="I21" s="1050">
        <f t="shared" si="2"/>
        <v>0</v>
      </c>
      <c r="J21" s="1051">
        <f t="shared" si="3"/>
        <v>4808396.6242222227</v>
      </c>
      <c r="K21" s="1384">
        <v>0.08</v>
      </c>
      <c r="L21" s="1050">
        <v>21</v>
      </c>
      <c r="M21" s="1047">
        <v>44712</v>
      </c>
      <c r="N21" s="1051">
        <f t="shared" si="7"/>
        <v>4925674.5906666676</v>
      </c>
      <c r="O21" s="1047">
        <v>44712</v>
      </c>
      <c r="P21" s="1047"/>
      <c r="Q21" s="1047"/>
      <c r="R21" s="1047"/>
      <c r="S21" s="1051"/>
      <c r="T21" s="1052"/>
      <c r="U21" s="1349"/>
      <c r="V21" s="1349"/>
      <c r="W21" s="1349"/>
      <c r="X21" s="1349"/>
      <c r="Y21" s="1349"/>
    </row>
    <row r="22" spans="1:25" ht="15" customHeight="1" x14ac:dyDescent="0.25">
      <c r="A22" s="1340">
        <v>44694</v>
      </c>
      <c r="B22" s="1344" t="s">
        <v>50</v>
      </c>
      <c r="C22" s="1044">
        <v>341775011</v>
      </c>
      <c r="D22" s="1045">
        <f t="shared" si="0"/>
        <v>44724</v>
      </c>
      <c r="E22" s="1046">
        <f t="shared" si="1"/>
        <v>12</v>
      </c>
      <c r="F22" s="1051">
        <v>341775011</v>
      </c>
      <c r="G22" s="1047">
        <v>44712</v>
      </c>
      <c r="H22" s="1383">
        <f t="shared" si="5"/>
        <v>18</v>
      </c>
      <c r="I22" s="1050">
        <f t="shared" si="2"/>
        <v>0</v>
      </c>
      <c r="J22" s="1051">
        <f t="shared" si="3"/>
        <v>1401277.5451000002</v>
      </c>
      <c r="K22" s="1384">
        <v>0.08</v>
      </c>
      <c r="L22" s="1050">
        <v>19</v>
      </c>
      <c r="M22" s="1047">
        <v>44712</v>
      </c>
      <c r="N22" s="1051">
        <f t="shared" si="7"/>
        <v>1443050.0464444447</v>
      </c>
      <c r="O22" s="1047">
        <v>44712</v>
      </c>
      <c r="P22" s="1047"/>
      <c r="Q22" s="1047"/>
      <c r="R22" s="1047"/>
      <c r="S22" s="1051"/>
      <c r="T22" s="1052"/>
      <c r="U22" s="1349"/>
      <c r="V22" s="1349"/>
      <c r="W22" s="1349"/>
      <c r="X22" s="1349"/>
      <c r="Y22" s="1349"/>
    </row>
    <row r="23" spans="1:25" ht="15" customHeight="1" x14ac:dyDescent="0.25">
      <c r="A23" s="1340">
        <v>44694</v>
      </c>
      <c r="B23" s="1344" t="s">
        <v>68</v>
      </c>
      <c r="C23" s="1044">
        <v>3119562433</v>
      </c>
      <c r="D23" s="1045">
        <f t="shared" si="0"/>
        <v>44724</v>
      </c>
      <c r="E23" s="1046">
        <f t="shared" si="1"/>
        <v>12</v>
      </c>
      <c r="F23" s="1051">
        <v>3119562433</v>
      </c>
      <c r="G23" s="1047">
        <v>44712</v>
      </c>
      <c r="H23" s="1383">
        <f t="shared" si="5"/>
        <v>18</v>
      </c>
      <c r="I23" s="1050">
        <f t="shared" si="2"/>
        <v>0</v>
      </c>
      <c r="J23" s="1051">
        <f t="shared" si="3"/>
        <v>12790205.975299999</v>
      </c>
      <c r="K23" s="1384">
        <v>0.08</v>
      </c>
      <c r="L23" s="1050">
        <v>19</v>
      </c>
      <c r="M23" s="1047">
        <v>44712</v>
      </c>
      <c r="N23" s="1051">
        <f t="shared" si="7"/>
        <v>13171485.828222221</v>
      </c>
      <c r="O23" s="1047">
        <v>44712</v>
      </c>
      <c r="P23" s="1047"/>
      <c r="Q23" s="1047"/>
      <c r="R23" s="1047"/>
      <c r="S23" s="1051"/>
      <c r="T23" s="1052"/>
      <c r="U23" s="1349"/>
      <c r="V23" s="1349"/>
      <c r="W23" s="1349"/>
      <c r="X23" s="1349"/>
      <c r="Y23" s="1349"/>
    </row>
    <row r="24" spans="1:25" ht="15" customHeight="1" x14ac:dyDescent="0.25">
      <c r="A24" s="1341">
        <v>44698</v>
      </c>
      <c r="B24" s="1053" t="s">
        <v>50</v>
      </c>
      <c r="C24" s="1343">
        <v>981358172</v>
      </c>
      <c r="D24" s="1045">
        <f t="shared" si="0"/>
        <v>44728</v>
      </c>
      <c r="E24" s="1046"/>
      <c r="F24" s="1051"/>
      <c r="G24" s="1047"/>
      <c r="H24" s="1048"/>
      <c r="I24" s="1050">
        <f t="shared" si="2"/>
        <v>981358172</v>
      </c>
      <c r="J24" s="1051"/>
      <c r="K24" s="1050"/>
      <c r="L24" s="1050"/>
      <c r="M24" s="1399"/>
      <c r="N24" s="1051"/>
      <c r="O24" s="1047"/>
      <c r="P24" s="1047"/>
      <c r="Q24" s="1047"/>
      <c r="R24" s="1047"/>
      <c r="S24" s="1051"/>
      <c r="T24" s="1052"/>
      <c r="U24" s="1349"/>
      <c r="V24" s="1349"/>
      <c r="W24" s="1349"/>
      <c r="X24" s="1349"/>
      <c r="Y24" s="1349"/>
    </row>
    <row r="25" spans="1:25" ht="15" customHeight="1" x14ac:dyDescent="0.25">
      <c r="A25" s="1341">
        <v>44698</v>
      </c>
      <c r="B25" s="1053" t="s">
        <v>38</v>
      </c>
      <c r="C25" s="1343">
        <v>780163266</v>
      </c>
      <c r="D25" s="1045">
        <f t="shared" si="0"/>
        <v>44728</v>
      </c>
      <c r="E25" s="1046"/>
      <c r="F25" s="1051"/>
      <c r="G25" s="1047"/>
      <c r="H25" s="1048"/>
      <c r="I25" s="1050">
        <f t="shared" si="2"/>
        <v>780163266</v>
      </c>
      <c r="J25" s="1051"/>
      <c r="K25" s="1050"/>
      <c r="L25" s="1050"/>
      <c r="M25" s="1399"/>
      <c r="N25" s="1051"/>
      <c r="O25" s="1047"/>
      <c r="P25" s="1047"/>
      <c r="Q25" s="1047"/>
      <c r="R25" s="1047"/>
      <c r="S25" s="1051"/>
      <c r="T25" s="1052"/>
      <c r="U25" s="1349"/>
      <c r="V25" s="1349"/>
      <c r="W25" s="1349"/>
      <c r="X25" s="1349"/>
      <c r="Y25" s="1349"/>
    </row>
    <row r="26" spans="1:25" ht="15" customHeight="1" x14ac:dyDescent="0.25">
      <c r="A26" s="1341">
        <v>44698</v>
      </c>
      <c r="B26" s="1053" t="s">
        <v>68</v>
      </c>
      <c r="C26" s="1343">
        <v>636545298</v>
      </c>
      <c r="D26" s="1045">
        <f t="shared" si="0"/>
        <v>44728</v>
      </c>
      <c r="E26" s="1046"/>
      <c r="F26" s="1051"/>
      <c r="G26" s="1047"/>
      <c r="H26" s="1048"/>
      <c r="I26" s="1050">
        <f t="shared" si="2"/>
        <v>636545298</v>
      </c>
      <c r="J26" s="1051"/>
      <c r="K26" s="1050"/>
      <c r="L26" s="1050"/>
      <c r="M26" s="1399"/>
      <c r="N26" s="1051"/>
      <c r="O26" s="1047"/>
      <c r="P26" s="1047"/>
      <c r="Q26" s="1047"/>
      <c r="R26" s="1047"/>
      <c r="S26" s="1051"/>
      <c r="T26" s="1052"/>
      <c r="U26" s="1349"/>
      <c r="V26" s="1349"/>
      <c r="W26" s="1349"/>
      <c r="X26" s="1349"/>
      <c r="Y26" s="1349"/>
    </row>
    <row r="27" spans="1:25" ht="15" customHeight="1" x14ac:dyDescent="0.25">
      <c r="A27" s="1341">
        <v>44700</v>
      </c>
      <c r="B27" s="1053" t="s">
        <v>50</v>
      </c>
      <c r="C27" s="1343">
        <v>680719460</v>
      </c>
      <c r="D27" s="1045">
        <f t="shared" si="0"/>
        <v>44730</v>
      </c>
      <c r="E27" s="1046"/>
      <c r="F27" s="1051"/>
      <c r="G27" s="1047"/>
      <c r="H27" s="1048"/>
      <c r="I27" s="1050">
        <f t="shared" si="2"/>
        <v>680719460</v>
      </c>
      <c r="J27" s="1051"/>
      <c r="K27" s="1050"/>
      <c r="L27" s="1050"/>
      <c r="M27" s="1399"/>
      <c r="N27" s="1051"/>
      <c r="O27" s="1047"/>
      <c r="P27" s="1047"/>
      <c r="Q27" s="1047"/>
      <c r="R27" s="1047"/>
      <c r="S27" s="1051"/>
      <c r="T27" s="1052"/>
      <c r="U27" s="1349"/>
      <c r="V27" s="1349"/>
      <c r="W27" s="1349"/>
      <c r="X27" s="1349"/>
      <c r="Y27" s="1349"/>
    </row>
    <row r="28" spans="1:25" ht="15" customHeight="1" x14ac:dyDescent="0.25">
      <c r="A28" s="1341">
        <v>44700</v>
      </c>
      <c r="B28" s="1053" t="s">
        <v>38</v>
      </c>
      <c r="C28" s="1343">
        <v>3537873889</v>
      </c>
      <c r="D28" s="1045">
        <f t="shared" si="0"/>
        <v>44730</v>
      </c>
      <c r="E28" s="1046"/>
      <c r="F28" s="1051"/>
      <c r="G28" s="1047"/>
      <c r="H28" s="1048"/>
      <c r="I28" s="1050">
        <f t="shared" si="2"/>
        <v>3537873889</v>
      </c>
      <c r="J28" s="1051"/>
      <c r="K28" s="1050"/>
      <c r="L28" s="1050"/>
      <c r="M28" s="1399"/>
      <c r="N28" s="1051"/>
      <c r="O28" s="1047"/>
      <c r="P28" s="1047"/>
      <c r="Q28" s="1047"/>
      <c r="R28" s="1047"/>
      <c r="S28" s="1051"/>
      <c r="T28" s="1052"/>
      <c r="U28" s="1349"/>
      <c r="V28" s="1349"/>
      <c r="W28" s="1349"/>
      <c r="X28" s="1349"/>
      <c r="Y28" s="1349"/>
    </row>
    <row r="29" spans="1:25" ht="15" customHeight="1" x14ac:dyDescent="0.25">
      <c r="A29" s="1341">
        <v>44700</v>
      </c>
      <c r="B29" s="1053" t="s">
        <v>68</v>
      </c>
      <c r="C29" s="1343">
        <v>1047848698</v>
      </c>
      <c r="D29" s="1045">
        <f t="shared" si="0"/>
        <v>44730</v>
      </c>
      <c r="E29" s="1046"/>
      <c r="F29" s="1051"/>
      <c r="G29" s="1047"/>
      <c r="H29" s="1048"/>
      <c r="I29" s="1050">
        <f t="shared" si="2"/>
        <v>1047848698</v>
      </c>
      <c r="J29" s="1051"/>
      <c r="K29" s="1050"/>
      <c r="L29" s="1050"/>
      <c r="M29" s="1399"/>
      <c r="N29" s="1051"/>
      <c r="O29" s="1047"/>
      <c r="P29" s="1047"/>
      <c r="Q29" s="1047"/>
      <c r="R29" s="1047"/>
      <c r="S29" s="1051"/>
      <c r="T29" s="1052"/>
      <c r="U29" s="1349"/>
      <c r="V29" s="1349"/>
      <c r="W29" s="1349"/>
      <c r="X29" s="1349"/>
      <c r="Y29" s="1349"/>
    </row>
    <row r="30" spans="1:25" ht="15" customHeight="1" x14ac:dyDescent="0.25">
      <c r="A30" s="1341">
        <v>44704</v>
      </c>
      <c r="B30" s="1053" t="s">
        <v>50</v>
      </c>
      <c r="C30" s="1343">
        <v>987966138</v>
      </c>
      <c r="D30" s="1045">
        <f t="shared" si="0"/>
        <v>44734</v>
      </c>
      <c r="E30" s="1046"/>
      <c r="F30" s="1051"/>
      <c r="G30" s="1047"/>
      <c r="H30" s="1048"/>
      <c r="I30" s="1050">
        <f t="shared" si="2"/>
        <v>987966138</v>
      </c>
      <c r="J30" s="1051"/>
      <c r="K30" s="1050"/>
      <c r="L30" s="1050"/>
      <c r="M30" s="1399"/>
      <c r="N30" s="1051"/>
      <c r="O30" s="1047"/>
      <c r="P30" s="1047"/>
      <c r="Q30" s="1047"/>
      <c r="R30" s="1047"/>
      <c r="S30" s="1051"/>
      <c r="T30" s="1052"/>
      <c r="U30" s="1349"/>
      <c r="V30" s="1349"/>
      <c r="W30" s="1349"/>
      <c r="X30" s="1349"/>
      <c r="Y30" s="1349"/>
    </row>
    <row r="31" spans="1:25" ht="15" customHeight="1" x14ac:dyDescent="0.25">
      <c r="A31" s="1341">
        <v>44704</v>
      </c>
      <c r="B31" s="1053" t="s">
        <v>68</v>
      </c>
      <c r="C31" s="1343">
        <v>5750425227</v>
      </c>
      <c r="D31" s="1045">
        <f t="shared" si="0"/>
        <v>44734</v>
      </c>
      <c r="E31" s="1046"/>
      <c r="F31" s="1051"/>
      <c r="G31" s="1047"/>
      <c r="H31" s="1048"/>
      <c r="I31" s="1050">
        <f t="shared" si="2"/>
        <v>5750425227</v>
      </c>
      <c r="J31" s="1051"/>
      <c r="K31" s="1050"/>
      <c r="L31" s="1050"/>
      <c r="M31" s="1399"/>
      <c r="N31" s="1051"/>
      <c r="O31" s="1047"/>
      <c r="P31" s="1047"/>
      <c r="Q31" s="1047"/>
      <c r="R31" s="1047"/>
      <c r="S31" s="1051"/>
      <c r="T31" s="1052"/>
      <c r="U31" s="1349"/>
      <c r="V31" s="1349"/>
      <c r="W31" s="1349"/>
      <c r="X31" s="1349"/>
      <c r="Y31" s="1349"/>
    </row>
    <row r="32" spans="1:25" ht="15" customHeight="1" x14ac:dyDescent="0.25">
      <c r="A32" s="1341">
        <v>44704</v>
      </c>
      <c r="B32" s="1053" t="s">
        <v>38</v>
      </c>
      <c r="C32" s="1343">
        <v>316590693</v>
      </c>
      <c r="D32" s="1045">
        <f t="shared" si="0"/>
        <v>44734</v>
      </c>
      <c r="E32" s="1046"/>
      <c r="F32" s="1051"/>
      <c r="G32" s="1047"/>
      <c r="H32" s="1048"/>
      <c r="I32" s="1050">
        <f t="shared" si="2"/>
        <v>316590693</v>
      </c>
      <c r="J32" s="1051"/>
      <c r="K32" s="1050"/>
      <c r="L32" s="1050"/>
      <c r="M32" s="1399"/>
      <c r="N32" s="1051"/>
      <c r="O32" s="1047"/>
      <c r="P32" s="1047"/>
      <c r="Q32" s="1047"/>
      <c r="R32" s="1047"/>
      <c r="S32" s="1051"/>
      <c r="T32" s="1052"/>
      <c r="U32" s="1349"/>
      <c r="V32" s="1349"/>
      <c r="W32" s="1349"/>
      <c r="X32" s="1349"/>
      <c r="Y32" s="1349"/>
    </row>
    <row r="33" spans="1:248" ht="15" customHeight="1" x14ac:dyDescent="0.25">
      <c r="A33" s="1341">
        <v>44706</v>
      </c>
      <c r="B33" s="1053" t="s">
        <v>50</v>
      </c>
      <c r="C33" s="1343">
        <v>579494911</v>
      </c>
      <c r="D33" s="1045">
        <f t="shared" si="0"/>
        <v>44736</v>
      </c>
      <c r="E33" s="1046"/>
      <c r="F33" s="1051"/>
      <c r="G33" s="1047"/>
      <c r="H33" s="1048"/>
      <c r="I33" s="1050">
        <f t="shared" si="2"/>
        <v>579494911</v>
      </c>
      <c r="J33" s="1051"/>
      <c r="K33" s="1050"/>
      <c r="L33" s="1050"/>
      <c r="M33" s="1399"/>
      <c r="N33" s="1051"/>
      <c r="O33" s="1047"/>
      <c r="P33" s="1047"/>
      <c r="Q33" s="1047"/>
      <c r="R33" s="1047"/>
      <c r="S33" s="1051"/>
      <c r="T33" s="1052"/>
      <c r="U33" s="1349"/>
      <c r="V33" s="1349"/>
      <c r="W33" s="1349"/>
      <c r="X33" s="1349"/>
      <c r="Y33" s="1349"/>
    </row>
    <row r="34" spans="1:248" ht="15" customHeight="1" x14ac:dyDescent="0.25">
      <c r="A34" s="1341">
        <v>44706</v>
      </c>
      <c r="B34" s="1053" t="s">
        <v>38</v>
      </c>
      <c r="C34" s="1343">
        <v>4333441623</v>
      </c>
      <c r="D34" s="1045">
        <f t="shared" si="0"/>
        <v>44736</v>
      </c>
      <c r="E34" s="1046"/>
      <c r="F34" s="1051"/>
      <c r="G34" s="1047"/>
      <c r="H34" s="1048"/>
      <c r="I34" s="1050">
        <f t="shared" si="2"/>
        <v>4333441623</v>
      </c>
      <c r="J34" s="1051"/>
      <c r="K34" s="1050"/>
      <c r="L34" s="1050"/>
      <c r="M34" s="1399"/>
      <c r="N34" s="1051"/>
      <c r="O34" s="1047"/>
      <c r="P34" s="1047"/>
      <c r="Q34" s="1047"/>
      <c r="R34" s="1047"/>
      <c r="S34" s="1051"/>
      <c r="T34" s="1052"/>
      <c r="U34" s="1349"/>
      <c r="V34" s="1349"/>
      <c r="W34" s="1349"/>
      <c r="X34" s="1349"/>
      <c r="Y34" s="1349"/>
    </row>
    <row r="35" spans="1:248" ht="15" customHeight="1" x14ac:dyDescent="0.25">
      <c r="A35" s="1341">
        <v>44706</v>
      </c>
      <c r="B35" s="1053" t="s">
        <v>68</v>
      </c>
      <c r="C35" s="1343">
        <v>1578140270</v>
      </c>
      <c r="D35" s="1045">
        <f t="shared" si="0"/>
        <v>44736</v>
      </c>
      <c r="E35" s="1046"/>
      <c r="F35" s="1051"/>
      <c r="G35" s="1047"/>
      <c r="H35" s="1048"/>
      <c r="I35" s="1050">
        <f t="shared" si="2"/>
        <v>1578140270</v>
      </c>
      <c r="J35" s="1051"/>
      <c r="K35" s="1050"/>
      <c r="L35" s="1050"/>
      <c r="M35" s="1399"/>
      <c r="N35" s="1051"/>
      <c r="O35" s="1047"/>
      <c r="P35" s="1047"/>
      <c r="Q35" s="1047"/>
      <c r="R35" s="1047"/>
      <c r="S35" s="1051"/>
      <c r="T35" s="1052"/>
      <c r="U35" s="1349"/>
      <c r="V35" s="1349"/>
      <c r="W35" s="1349"/>
      <c r="X35" s="1349"/>
      <c r="Y35" s="1349"/>
    </row>
    <row r="36" spans="1:248" ht="15" customHeight="1" x14ac:dyDescent="0.25">
      <c r="A36" s="1341">
        <v>44708</v>
      </c>
      <c r="B36" s="1053" t="s">
        <v>50</v>
      </c>
      <c r="C36" s="1343">
        <v>667774778</v>
      </c>
      <c r="D36" s="1045">
        <f t="shared" si="0"/>
        <v>44738</v>
      </c>
      <c r="E36" s="1046"/>
      <c r="F36" s="1051"/>
      <c r="G36" s="1047"/>
      <c r="H36" s="1048"/>
      <c r="I36" s="1050">
        <f t="shared" si="2"/>
        <v>667774778</v>
      </c>
      <c r="J36" s="1051"/>
      <c r="K36" s="1050"/>
      <c r="L36" s="1050"/>
      <c r="M36" s="1399"/>
      <c r="N36" s="1051"/>
      <c r="O36" s="1047"/>
      <c r="P36" s="1047"/>
      <c r="Q36" s="1047"/>
      <c r="R36" s="1047"/>
      <c r="S36" s="1051"/>
      <c r="T36" s="1052"/>
      <c r="U36" s="1349"/>
      <c r="V36" s="1349"/>
      <c r="W36" s="1349"/>
      <c r="X36" s="1349"/>
      <c r="Y36" s="1349"/>
    </row>
    <row r="37" spans="1:248" ht="15" customHeight="1" x14ac:dyDescent="0.25">
      <c r="A37" s="1341">
        <v>44708</v>
      </c>
      <c r="B37" s="1053" t="s">
        <v>68</v>
      </c>
      <c r="C37" s="1343">
        <v>3168599518</v>
      </c>
      <c r="D37" s="1045">
        <f t="shared" si="0"/>
        <v>44738</v>
      </c>
      <c r="E37" s="1046"/>
      <c r="F37" s="1051"/>
      <c r="G37" s="1047"/>
      <c r="H37" s="1048"/>
      <c r="I37" s="1050">
        <f t="shared" si="2"/>
        <v>3168599518</v>
      </c>
      <c r="J37" s="1051"/>
      <c r="K37" s="1050"/>
      <c r="L37" s="1050"/>
      <c r="M37" s="1399"/>
      <c r="N37" s="1051"/>
      <c r="O37" s="1047"/>
      <c r="P37" s="1047"/>
      <c r="Q37" s="1047"/>
      <c r="R37" s="1047"/>
      <c r="S37" s="1051"/>
      <c r="T37" s="1052"/>
      <c r="U37" s="1349"/>
      <c r="V37" s="1349"/>
      <c r="W37" s="1349"/>
      <c r="X37" s="1349"/>
      <c r="Y37" s="1349"/>
    </row>
    <row r="38" spans="1:248" ht="15" customHeight="1" x14ac:dyDescent="0.25">
      <c r="A38" s="1341">
        <v>44711</v>
      </c>
      <c r="B38" s="1053" t="s">
        <v>50</v>
      </c>
      <c r="C38" s="1343">
        <v>287620878</v>
      </c>
      <c r="D38" s="1045">
        <f t="shared" si="0"/>
        <v>44741</v>
      </c>
      <c r="E38" s="1046"/>
      <c r="F38" s="1051"/>
      <c r="G38" s="1047"/>
      <c r="H38" s="1048"/>
      <c r="I38" s="1050">
        <f t="shared" si="2"/>
        <v>287620878</v>
      </c>
      <c r="J38" s="1051"/>
      <c r="K38" s="1050"/>
      <c r="L38" s="1050"/>
      <c r="M38" s="1399"/>
      <c r="N38" s="1051"/>
      <c r="O38" s="1047"/>
      <c r="P38" s="1047"/>
      <c r="Q38" s="1047"/>
      <c r="R38" s="1047"/>
      <c r="S38" s="1051"/>
      <c r="T38" s="1052"/>
      <c r="U38" s="1349"/>
      <c r="V38" s="1349"/>
      <c r="W38" s="1349"/>
      <c r="X38" s="1349"/>
      <c r="Y38" s="1349"/>
    </row>
    <row r="39" spans="1:248" ht="15" customHeight="1" x14ac:dyDescent="0.25">
      <c r="A39" s="1341"/>
      <c r="B39" s="1053"/>
      <c r="C39" s="1343"/>
      <c r="D39" s="1045"/>
      <c r="E39" s="1046"/>
      <c r="F39" s="1051"/>
      <c r="G39" s="1047"/>
      <c r="H39" s="1048"/>
      <c r="I39" s="1050"/>
      <c r="J39" s="1051"/>
      <c r="K39" s="1050"/>
      <c r="L39" s="1050"/>
      <c r="M39" s="1399"/>
      <c r="N39" s="1051"/>
      <c r="O39" s="1047"/>
      <c r="P39" s="1047"/>
      <c r="Q39" s="1047"/>
      <c r="R39" s="1047"/>
      <c r="S39" s="1051"/>
      <c r="T39" s="1052"/>
      <c r="U39" s="1349"/>
      <c r="V39" s="1349"/>
      <c r="W39" s="1349"/>
      <c r="X39" s="1349"/>
      <c r="Y39" s="1349"/>
    </row>
    <row r="40" spans="1:248" s="1025" customFormat="1" x14ac:dyDescent="0.25">
      <c r="A40" s="1555" t="s">
        <v>24</v>
      </c>
      <c r="B40" s="1556"/>
      <c r="C40" s="1054">
        <f>SUM(C5:C38)</f>
        <v>55340168411</v>
      </c>
      <c r="D40" s="1055"/>
      <c r="E40" s="1056"/>
      <c r="F40" s="1057">
        <f>SUM(F5:F23)</f>
        <v>30005605592</v>
      </c>
      <c r="G40" s="1058"/>
      <c r="H40" s="1338" t="e">
        <f>AVERAGE(#REF!)</f>
        <v>#REF!</v>
      </c>
      <c r="I40" s="1058">
        <f>SUM(I5:I38)</f>
        <v>25334562819</v>
      </c>
      <c r="J40" s="1058"/>
      <c r="K40" s="1324"/>
      <c r="L40" s="1324"/>
      <c r="M40" s="1400"/>
      <c r="N40" s="1058">
        <f>SUM(N5:N23)</f>
        <v>150719461.84648889</v>
      </c>
      <c r="O40" s="1058"/>
      <c r="P40" s="1324"/>
      <c r="Q40" s="1324"/>
      <c r="R40" s="1324"/>
      <c r="S40" s="1058">
        <f>SUM(S5:S19)</f>
        <v>23725400.939822227</v>
      </c>
      <c r="T40" s="1058"/>
      <c r="U40" s="1350"/>
      <c r="V40" s="1350"/>
      <c r="W40" s="1350"/>
      <c r="X40" s="1351">
        <f>SUM(X5:X19)</f>
        <v>0</v>
      </c>
      <c r="Y40" s="1350"/>
      <c r="Z40" s="1040"/>
      <c r="AA40" s="1040"/>
      <c r="AB40" s="1040"/>
      <c r="AC40" s="1040"/>
      <c r="AD40" s="1040"/>
      <c r="AE40" s="1040"/>
      <c r="AF40" s="1040"/>
      <c r="AG40" s="1040"/>
      <c r="AH40" s="1040"/>
      <c r="AI40" s="1040"/>
      <c r="AJ40" s="1040"/>
      <c r="AK40" s="1040"/>
      <c r="AL40" s="1040"/>
      <c r="AM40" s="1040"/>
      <c r="AN40" s="1040"/>
      <c r="AO40" s="1040"/>
      <c r="AP40" s="1040"/>
      <c r="AQ40" s="1040"/>
      <c r="AR40" s="1040"/>
      <c r="AS40" s="1040"/>
      <c r="AT40" s="1040"/>
      <c r="AU40" s="1040"/>
      <c r="AV40" s="1040"/>
      <c r="AW40" s="1040"/>
      <c r="AX40" s="1040"/>
      <c r="AY40" s="1040"/>
      <c r="AZ40" s="1040"/>
      <c r="BA40" s="1040"/>
      <c r="BB40" s="1040"/>
      <c r="BC40" s="1040"/>
      <c r="BD40" s="1040"/>
      <c r="BE40" s="1040"/>
      <c r="BF40" s="1040"/>
      <c r="BG40" s="1040"/>
      <c r="BH40" s="1040"/>
      <c r="BI40" s="1040"/>
      <c r="BJ40" s="1040"/>
      <c r="BK40" s="1040"/>
      <c r="BL40" s="1040"/>
      <c r="BM40" s="1040"/>
      <c r="BN40" s="1040"/>
      <c r="BO40" s="1040"/>
      <c r="BP40" s="1040"/>
      <c r="BQ40" s="1040"/>
      <c r="BR40" s="1040"/>
      <c r="BS40" s="1040"/>
      <c r="BT40" s="1040"/>
      <c r="BU40" s="1040"/>
      <c r="BV40" s="1040"/>
      <c r="BW40" s="1040"/>
      <c r="BX40" s="1040"/>
      <c r="BY40" s="1040"/>
      <c r="BZ40" s="1040"/>
      <c r="CA40" s="1040"/>
      <c r="CB40" s="1040"/>
      <c r="CC40" s="1040"/>
      <c r="CD40" s="1040"/>
      <c r="CE40" s="1040"/>
      <c r="CF40" s="1040"/>
      <c r="CG40" s="1040"/>
      <c r="CH40" s="1040"/>
      <c r="CI40" s="1040"/>
      <c r="CJ40" s="1040"/>
      <c r="CK40" s="1040"/>
      <c r="CL40" s="1040"/>
      <c r="CM40" s="1040"/>
      <c r="CN40" s="1040"/>
      <c r="CO40" s="1040"/>
      <c r="CP40" s="1040"/>
      <c r="CQ40" s="1040"/>
      <c r="CR40" s="1040"/>
      <c r="CS40" s="1040"/>
      <c r="CT40" s="1040"/>
      <c r="CU40" s="1040"/>
      <c r="CV40" s="1040"/>
      <c r="CW40" s="1040"/>
      <c r="CX40" s="1040"/>
      <c r="CY40" s="1040"/>
      <c r="CZ40" s="1040"/>
      <c r="DA40" s="1040"/>
      <c r="DB40" s="1040"/>
      <c r="DC40" s="1040"/>
      <c r="DD40" s="1040"/>
      <c r="DE40" s="1040"/>
      <c r="DF40" s="1040"/>
      <c r="DG40" s="1040"/>
      <c r="DH40" s="1040"/>
      <c r="DI40" s="1040"/>
      <c r="DJ40" s="1040"/>
      <c r="DK40" s="1040"/>
      <c r="DL40" s="1040"/>
      <c r="DM40" s="1040"/>
      <c r="DN40" s="1040"/>
      <c r="DO40" s="1040"/>
      <c r="DP40" s="1040"/>
      <c r="DQ40" s="1040"/>
      <c r="DR40" s="1040"/>
      <c r="DS40" s="1040"/>
      <c r="DT40" s="1040"/>
      <c r="DU40" s="1040"/>
      <c r="DV40" s="1040"/>
      <c r="DW40" s="1040"/>
      <c r="DX40" s="1040"/>
      <c r="DY40" s="1040"/>
      <c r="DZ40" s="1040"/>
      <c r="EA40" s="1040"/>
      <c r="EB40" s="1040"/>
      <c r="EC40" s="1040"/>
      <c r="ED40" s="1040"/>
      <c r="EE40" s="1040"/>
      <c r="EF40" s="1040"/>
      <c r="EG40" s="1040"/>
      <c r="EH40" s="1040"/>
      <c r="EI40" s="1040"/>
      <c r="EJ40" s="1040"/>
      <c r="EK40" s="1040"/>
      <c r="EL40" s="1040"/>
      <c r="EM40" s="1040"/>
      <c r="EN40" s="1040"/>
      <c r="EO40" s="1040"/>
      <c r="EP40" s="1040"/>
      <c r="EQ40" s="1040"/>
      <c r="ER40" s="1040"/>
      <c r="ES40" s="1040"/>
      <c r="ET40" s="1040"/>
      <c r="EU40" s="1040"/>
      <c r="EV40" s="1040"/>
      <c r="EW40" s="1040"/>
      <c r="EX40" s="1040"/>
      <c r="EY40" s="1040"/>
      <c r="EZ40" s="1040"/>
      <c r="FA40" s="1040"/>
      <c r="FB40" s="1040"/>
      <c r="FC40" s="1040"/>
      <c r="FD40" s="1040"/>
      <c r="FE40" s="1040"/>
      <c r="FF40" s="1040"/>
      <c r="FG40" s="1040"/>
      <c r="FH40" s="1040"/>
      <c r="FI40" s="1040"/>
      <c r="FJ40" s="1040"/>
      <c r="FK40" s="1040"/>
      <c r="FL40" s="1040"/>
      <c r="FM40" s="1040"/>
      <c r="FN40" s="1040"/>
      <c r="FO40" s="1040"/>
      <c r="FP40" s="1040"/>
      <c r="FQ40" s="1040"/>
      <c r="FR40" s="1040"/>
      <c r="FS40" s="1040"/>
      <c r="FT40" s="1040"/>
      <c r="FU40" s="1040"/>
      <c r="FV40" s="1040"/>
      <c r="FW40" s="1040"/>
      <c r="FX40" s="1040"/>
      <c r="FY40" s="1040"/>
      <c r="FZ40" s="1040"/>
      <c r="GA40" s="1040"/>
      <c r="GB40" s="1040"/>
      <c r="GC40" s="1040"/>
      <c r="GD40" s="1040"/>
      <c r="GE40" s="1040"/>
      <c r="GF40" s="1040"/>
      <c r="GG40" s="1040"/>
      <c r="GH40" s="1040"/>
      <c r="GI40" s="1040"/>
      <c r="GJ40" s="1040"/>
      <c r="GK40" s="1040"/>
      <c r="GL40" s="1040"/>
      <c r="GM40" s="1040"/>
      <c r="GN40" s="1040"/>
      <c r="GO40" s="1040"/>
      <c r="GP40" s="1040"/>
      <c r="GQ40" s="1040"/>
      <c r="GR40" s="1040"/>
      <c r="GS40" s="1040"/>
      <c r="GT40" s="1040"/>
      <c r="GU40" s="1040"/>
      <c r="GV40" s="1040"/>
      <c r="GW40" s="1040"/>
      <c r="GX40" s="1040"/>
      <c r="GY40" s="1040"/>
      <c r="GZ40" s="1040"/>
      <c r="HA40" s="1040"/>
      <c r="HB40" s="1040"/>
      <c r="HC40" s="1040"/>
      <c r="HD40" s="1040"/>
      <c r="HE40" s="1040"/>
      <c r="HF40" s="1040"/>
      <c r="HG40" s="1040"/>
      <c r="HH40" s="1040"/>
      <c r="HI40" s="1040"/>
      <c r="HJ40" s="1040"/>
      <c r="HK40" s="1040"/>
      <c r="HL40" s="1040"/>
      <c r="HM40" s="1040"/>
      <c r="HN40" s="1040"/>
      <c r="HO40" s="1040"/>
      <c r="HP40" s="1040"/>
      <c r="HQ40" s="1040"/>
      <c r="HR40" s="1040"/>
      <c r="HS40" s="1040"/>
      <c r="HT40" s="1040"/>
      <c r="HU40" s="1040"/>
      <c r="HV40" s="1040"/>
      <c r="HW40" s="1040"/>
      <c r="HX40" s="1040"/>
      <c r="HY40" s="1040"/>
      <c r="HZ40" s="1040"/>
      <c r="IA40" s="1040"/>
      <c r="IB40" s="1040"/>
      <c r="IC40" s="1040"/>
      <c r="ID40" s="1040"/>
      <c r="IE40" s="1040"/>
      <c r="IF40" s="1040"/>
      <c r="IG40" s="1040"/>
      <c r="IH40" s="1040"/>
      <c r="II40" s="1040"/>
      <c r="IJ40" s="1040"/>
      <c r="IK40" s="1040"/>
      <c r="IL40" s="1040"/>
      <c r="IM40" s="1040"/>
      <c r="IN40" s="1040"/>
    </row>
    <row r="42" spans="1:248" x14ac:dyDescent="0.25">
      <c r="A42" s="1497" t="s">
        <v>6279</v>
      </c>
      <c r="B42" s="1498"/>
      <c r="C42" s="1497"/>
      <c r="D42" s="1497"/>
      <c r="E42" s="1025"/>
      <c r="F42" s="1026">
        <f>SUM(C5:C18)</f>
        <v>23048452863</v>
      </c>
      <c r="G42" s="1059"/>
      <c r="I42" s="1059"/>
      <c r="J42" s="1059"/>
      <c r="K42" s="1059"/>
      <c r="L42" s="1059"/>
      <c r="M42" s="1059"/>
      <c r="N42" s="1059"/>
      <c r="O42" s="1059"/>
      <c r="P42" s="1059"/>
      <c r="Q42" s="1059"/>
      <c r="R42" s="1059"/>
      <c r="S42" s="1059"/>
      <c r="T42" s="1059"/>
    </row>
    <row r="43" spans="1:248" x14ac:dyDescent="0.25">
      <c r="A43" s="1497" t="s">
        <v>6280</v>
      </c>
      <c r="B43" s="1497"/>
      <c r="C43" s="1497"/>
      <c r="D43" s="1497"/>
      <c r="E43" s="1028"/>
      <c r="F43" s="1029">
        <f>SUM(C19)</f>
        <v>521006417</v>
      </c>
    </row>
    <row r="44" spans="1:248" x14ac:dyDescent="0.25">
      <c r="A44" s="1497" t="s">
        <v>6281</v>
      </c>
      <c r="B44" s="1498"/>
      <c r="C44" s="1497"/>
      <c r="D44" s="1497"/>
      <c r="E44" s="1028"/>
      <c r="F44" s="1029">
        <f>F40</f>
        <v>30005605592</v>
      </c>
    </row>
    <row r="45" spans="1:248" x14ac:dyDescent="0.25">
      <c r="A45" s="1497" t="s">
        <v>6282</v>
      </c>
      <c r="B45" s="1498"/>
      <c r="C45" s="1497"/>
      <c r="D45" s="1497"/>
      <c r="E45" s="1028"/>
      <c r="F45" s="1030">
        <f>F42+F43-F44</f>
        <v>-6436146312</v>
      </c>
    </row>
    <row r="47" spans="1:248" x14ac:dyDescent="0.25">
      <c r="C47" s="1061"/>
      <c r="W47" s="1035">
        <f>7733039-7729120</f>
        <v>3919</v>
      </c>
    </row>
    <row r="48" spans="1:248" x14ac:dyDescent="0.25">
      <c r="C48" s="1061"/>
    </row>
  </sheetData>
  <sortState ref="A450:R546">
    <sortCondition ref="A450:A546"/>
  </sortState>
  <mergeCells count="10">
    <mergeCell ref="I2:I3"/>
    <mergeCell ref="A42:D42"/>
    <mergeCell ref="J2:J3"/>
    <mergeCell ref="A2:C2"/>
    <mergeCell ref="E2:G2"/>
    <mergeCell ref="A45:D45"/>
    <mergeCell ref="A40:B40"/>
    <mergeCell ref="A43:D43"/>
    <mergeCell ref="A44:D44"/>
    <mergeCell ref="D2:D3"/>
  </mergeCells>
  <pageMargins left="0.17" right="0.28000000000000003" top="0.14000000000000001" bottom="0.39" header="0.3" footer="0.3"/>
  <pageSetup paperSize="9" scale="68"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L75"/>
  <sheetViews>
    <sheetView zoomScale="80" zoomScaleNormal="80" zoomScaleSheetLayoutView="100" workbookViewId="0">
      <pane ySplit="4" topLeftCell="A26" activePane="bottomLeft" state="frozen"/>
      <selection activeCell="K1" sqref="K1"/>
      <selection pane="bottomLeft" activeCell="H49" sqref="H49"/>
    </sheetView>
  </sheetViews>
  <sheetFormatPr defaultRowHeight="15.75" x14ac:dyDescent="0.25"/>
  <cols>
    <col min="1" max="1" width="13.42578125" style="1063" customWidth="1"/>
    <col min="2" max="2" width="12.7109375" style="1328" customWidth="1"/>
    <col min="3" max="3" width="19.140625" style="1327" customWidth="1"/>
    <col min="4" max="4" width="14" style="1040" customWidth="1"/>
    <col min="5" max="5" width="12.140625" style="1028" bestFit="1" customWidth="1"/>
    <col min="6" max="6" width="18" style="1040" bestFit="1" customWidth="1"/>
    <col min="7" max="7" width="16" style="1040" customWidth="1"/>
    <col min="8" max="8" width="9.7109375" style="1064" customWidth="1"/>
    <col min="9" max="9" width="18.5703125" style="1040" customWidth="1"/>
    <col min="10" max="10" width="18.42578125" style="1040" customWidth="1"/>
    <col min="11" max="12" width="9.42578125" style="1040" customWidth="1"/>
    <col min="13" max="13" width="17.140625" style="1040" customWidth="1"/>
    <col min="14" max="14" width="15.140625" style="1040" customWidth="1"/>
    <col min="15" max="15" width="15.140625" style="1040" bestFit="1" customWidth="1"/>
    <col min="16" max="16" width="5.5703125" style="1040" bestFit="1" customWidth="1"/>
    <col min="17" max="17" width="21.7109375" style="1040" customWidth="1"/>
    <col min="18" max="18" width="9.85546875" style="1040" bestFit="1" customWidth="1"/>
    <col min="19" max="168" width="9.140625" style="1040"/>
    <col min="169" max="16384" width="9.140625" style="1025"/>
  </cols>
  <sheetData>
    <row r="1" spans="1:18" ht="16.5" thickBot="1" x14ac:dyDescent="0.3">
      <c r="A1" s="1063" t="s">
        <v>23</v>
      </c>
      <c r="B1" s="1069"/>
      <c r="C1" s="1070"/>
      <c r="D1" s="1066">
        <v>30</v>
      </c>
      <c r="E1" s="1067"/>
      <c r="F1" s="1066" t="s">
        <v>6219</v>
      </c>
      <c r="G1" s="1140">
        <v>8.7499999999999994E-2</v>
      </c>
      <c r="H1" s="1068"/>
      <c r="I1" s="1071">
        <v>0.1</v>
      </c>
      <c r="J1" s="1071"/>
      <c r="K1" s="1071"/>
      <c r="L1" s="1071"/>
      <c r="M1" s="1071"/>
      <c r="N1" s="1071"/>
      <c r="O1" s="1071"/>
      <c r="P1" s="1071"/>
      <c r="Q1" s="1066"/>
      <c r="R1" s="1066"/>
    </row>
    <row r="2" spans="1:18" s="1028" customFormat="1" ht="15" customHeight="1" thickBot="1" x14ac:dyDescent="0.3">
      <c r="A2" s="1494" t="s">
        <v>102</v>
      </c>
      <c r="B2" s="1494"/>
      <c r="C2" s="1494"/>
      <c r="D2" s="1493" t="s">
        <v>103</v>
      </c>
      <c r="E2" s="1501" t="s">
        <v>124</v>
      </c>
      <c r="F2" s="1502"/>
      <c r="G2" s="1502"/>
      <c r="H2" s="1503"/>
      <c r="I2" s="1494" t="s">
        <v>104</v>
      </c>
      <c r="J2" s="1563" t="s">
        <v>105</v>
      </c>
      <c r="K2" s="1396" t="s">
        <v>106</v>
      </c>
      <c r="L2" s="1397"/>
      <c r="M2" s="1397"/>
      <c r="N2" s="1397"/>
      <c r="O2" s="1397"/>
      <c r="P2" s="1397"/>
      <c r="Q2" s="1397"/>
      <c r="R2" s="1398"/>
    </row>
    <row r="3" spans="1:18" s="1028" customFormat="1" ht="16.5" thickBot="1" x14ac:dyDescent="0.3">
      <c r="A3" s="1329" t="s">
        <v>109</v>
      </c>
      <c r="B3" s="1000" t="s">
        <v>110</v>
      </c>
      <c r="C3" s="1001" t="s">
        <v>111</v>
      </c>
      <c r="D3" s="1493"/>
      <c r="E3" s="1001" t="s">
        <v>112</v>
      </c>
      <c r="F3" s="1001" t="s">
        <v>113</v>
      </c>
      <c r="G3" s="1001" t="s">
        <v>114</v>
      </c>
      <c r="H3" s="1002" t="s">
        <v>5960</v>
      </c>
      <c r="I3" s="1494"/>
      <c r="J3" s="1564"/>
      <c r="K3" s="1396" t="s">
        <v>117</v>
      </c>
      <c r="L3" s="1397"/>
      <c r="M3" s="1397"/>
      <c r="N3" s="1397"/>
      <c r="O3" s="1397"/>
      <c r="P3" s="1397"/>
      <c r="Q3" s="1397"/>
      <c r="R3" s="1398"/>
    </row>
    <row r="4" spans="1:18" s="1079" customFormat="1" ht="16.5" thickBot="1" x14ac:dyDescent="0.3">
      <c r="A4" s="1072"/>
      <c r="B4" s="1073"/>
      <c r="C4" s="1074"/>
      <c r="D4" s="1074"/>
      <c r="E4" s="1074"/>
      <c r="F4" s="1074"/>
      <c r="G4" s="1074"/>
      <c r="H4" s="1076"/>
      <c r="I4" s="1077"/>
      <c r="J4" s="1078"/>
      <c r="K4" s="1074" t="s">
        <v>6218</v>
      </c>
      <c r="L4" s="1074" t="s">
        <v>6265</v>
      </c>
      <c r="M4" s="1074" t="s">
        <v>6266</v>
      </c>
      <c r="N4" s="1074" t="s">
        <v>6276</v>
      </c>
      <c r="O4" s="1074" t="s">
        <v>6267</v>
      </c>
      <c r="P4" s="1074" t="s">
        <v>6218</v>
      </c>
      <c r="Q4" s="1074" t="s">
        <v>6146</v>
      </c>
      <c r="R4" s="1074" t="s">
        <v>114</v>
      </c>
    </row>
    <row r="5" spans="1:18" s="1040" customFormat="1" ht="15" customHeight="1" x14ac:dyDescent="0.25">
      <c r="A5" s="1353">
        <v>44669</v>
      </c>
      <c r="B5" s="798" t="s">
        <v>4973</v>
      </c>
      <c r="C5" s="1354">
        <v>342555104</v>
      </c>
      <c r="D5" s="1045">
        <f t="shared" ref="D5:D41" si="0">A5+D$1</f>
        <v>44699</v>
      </c>
      <c r="E5" s="1046">
        <f t="shared" ref="E5:E41" si="1">D5-G5</f>
        <v>5</v>
      </c>
      <c r="F5" s="1322">
        <v>342555104</v>
      </c>
      <c r="G5" s="1080">
        <v>44694</v>
      </c>
      <c r="H5" s="1049">
        <f t="shared" ref="H5:H35" si="2">G5-A5</f>
        <v>25</v>
      </c>
      <c r="I5" s="1085">
        <f t="shared" ref="I5:I41" si="3">C5-F5</f>
        <v>0</v>
      </c>
      <c r="J5" s="1322">
        <f t="shared" ref="J5:J28" si="4">C5/360*H5*$G$1</f>
        <v>2081498.0277777775</v>
      </c>
      <c r="K5" s="1325">
        <v>8.5000000000000006E-2</v>
      </c>
      <c r="L5" s="1050">
        <v>26</v>
      </c>
      <c r="M5" s="1080">
        <v>44694</v>
      </c>
      <c r="N5" s="1322">
        <f>C5/360*L5*K5</f>
        <v>2102907.7217777777</v>
      </c>
      <c r="O5" s="1080">
        <v>44694</v>
      </c>
      <c r="P5" s="1082"/>
      <c r="Q5" s="1082"/>
      <c r="R5" s="1082"/>
    </row>
    <row r="6" spans="1:18" s="1040" customFormat="1" ht="15" customHeight="1" x14ac:dyDescent="0.25">
      <c r="A6" s="1353">
        <v>44669</v>
      </c>
      <c r="B6" s="798" t="s">
        <v>6277</v>
      </c>
      <c r="C6" s="1354">
        <v>335975720</v>
      </c>
      <c r="D6" s="1045">
        <f t="shared" si="0"/>
        <v>44699</v>
      </c>
      <c r="E6" s="1046">
        <f t="shared" si="1"/>
        <v>5</v>
      </c>
      <c r="F6" s="1322">
        <v>335975720</v>
      </c>
      <c r="G6" s="1080">
        <v>44694</v>
      </c>
      <c r="H6" s="1049">
        <f t="shared" si="2"/>
        <v>25</v>
      </c>
      <c r="I6" s="1085">
        <f t="shared" si="3"/>
        <v>0</v>
      </c>
      <c r="J6" s="1322">
        <f t="shared" si="4"/>
        <v>2041519.131944444</v>
      </c>
      <c r="K6" s="1325">
        <v>8.5000000000000006E-2</v>
      </c>
      <c r="L6" s="1050">
        <v>26</v>
      </c>
      <c r="M6" s="1080">
        <v>44694</v>
      </c>
      <c r="N6" s="1322">
        <f t="shared" ref="N6:N28" si="5">C6/360*L6*K6</f>
        <v>2062517.6144444447</v>
      </c>
      <c r="O6" s="1080">
        <v>44694</v>
      </c>
      <c r="P6" s="1082"/>
      <c r="Q6" s="1082"/>
      <c r="R6" s="1082"/>
    </row>
    <row r="7" spans="1:18" s="1040" customFormat="1" ht="15" customHeight="1" x14ac:dyDescent="0.25">
      <c r="A7" s="1353">
        <v>44669</v>
      </c>
      <c r="B7" s="798" t="s">
        <v>64</v>
      </c>
      <c r="C7" s="1354">
        <v>311053000</v>
      </c>
      <c r="D7" s="1045">
        <f t="shared" si="0"/>
        <v>44699</v>
      </c>
      <c r="E7" s="1046">
        <f t="shared" si="1"/>
        <v>5</v>
      </c>
      <c r="F7" s="1322">
        <v>311053000</v>
      </c>
      <c r="G7" s="1080">
        <v>44694</v>
      </c>
      <c r="H7" s="1049">
        <f t="shared" si="2"/>
        <v>25</v>
      </c>
      <c r="I7" s="1085">
        <f t="shared" si="3"/>
        <v>0</v>
      </c>
      <c r="J7" s="1322">
        <f t="shared" si="4"/>
        <v>1890078.9930555555</v>
      </c>
      <c r="K7" s="1325">
        <v>8.5000000000000006E-2</v>
      </c>
      <c r="L7" s="1050">
        <v>26</v>
      </c>
      <c r="M7" s="1080">
        <v>44694</v>
      </c>
      <c r="N7" s="1322">
        <f t="shared" si="5"/>
        <v>1909519.8055555557</v>
      </c>
      <c r="O7" s="1080">
        <v>44694</v>
      </c>
      <c r="P7" s="1082"/>
      <c r="Q7" s="1082"/>
      <c r="R7" s="1082"/>
    </row>
    <row r="8" spans="1:18" s="1040" customFormat="1" ht="15" customHeight="1" x14ac:dyDescent="0.25">
      <c r="A8" s="1353">
        <v>44671</v>
      </c>
      <c r="B8" s="798" t="s">
        <v>52</v>
      </c>
      <c r="C8" s="1354">
        <v>1884846211</v>
      </c>
      <c r="D8" s="1045">
        <f t="shared" si="0"/>
        <v>44701</v>
      </c>
      <c r="E8" s="1046">
        <f t="shared" si="1"/>
        <v>3</v>
      </c>
      <c r="F8" s="1322">
        <v>1884846211</v>
      </c>
      <c r="G8" s="1080">
        <v>44698</v>
      </c>
      <c r="H8" s="1049">
        <f t="shared" si="2"/>
        <v>27</v>
      </c>
      <c r="I8" s="1085">
        <f t="shared" si="3"/>
        <v>0</v>
      </c>
      <c r="J8" s="1322">
        <f t="shared" si="4"/>
        <v>12369303.2596875</v>
      </c>
      <c r="K8" s="1325">
        <v>8.5000000000000006E-2</v>
      </c>
      <c r="L8" s="1050">
        <v>28</v>
      </c>
      <c r="M8" s="1080">
        <v>44698</v>
      </c>
      <c r="N8" s="1322">
        <f t="shared" si="5"/>
        <v>12460927.72827778</v>
      </c>
      <c r="O8" s="1080">
        <v>44698</v>
      </c>
      <c r="P8" s="1082"/>
      <c r="Q8" s="1082"/>
      <c r="R8" s="1082"/>
    </row>
    <row r="9" spans="1:18" s="1040" customFormat="1" ht="15" customHeight="1" x14ac:dyDescent="0.25">
      <c r="A9" s="1353">
        <v>44671</v>
      </c>
      <c r="B9" s="798" t="s">
        <v>64</v>
      </c>
      <c r="C9" s="1354">
        <v>507370000</v>
      </c>
      <c r="D9" s="1045">
        <f t="shared" si="0"/>
        <v>44701</v>
      </c>
      <c r="E9" s="1046">
        <f t="shared" si="1"/>
        <v>3</v>
      </c>
      <c r="F9" s="1322">
        <v>507370000</v>
      </c>
      <c r="G9" s="1080">
        <v>44698</v>
      </c>
      <c r="H9" s="1049">
        <f t="shared" si="2"/>
        <v>27</v>
      </c>
      <c r="I9" s="1085">
        <f t="shared" si="3"/>
        <v>0</v>
      </c>
      <c r="J9" s="1322">
        <f t="shared" si="4"/>
        <v>3329615.625</v>
      </c>
      <c r="K9" s="1325">
        <v>8.5000000000000006E-2</v>
      </c>
      <c r="L9" s="1050">
        <v>28</v>
      </c>
      <c r="M9" s="1080">
        <v>44698</v>
      </c>
      <c r="N9" s="1322">
        <f t="shared" si="5"/>
        <v>3354279.444444444</v>
      </c>
      <c r="O9" s="1080">
        <v>44698</v>
      </c>
      <c r="P9" s="1082"/>
      <c r="Q9" s="1082"/>
      <c r="R9" s="1082"/>
    </row>
    <row r="10" spans="1:18" s="1040" customFormat="1" ht="15" customHeight="1" x14ac:dyDescent="0.25">
      <c r="A10" s="1353">
        <v>44673</v>
      </c>
      <c r="B10" s="798" t="s">
        <v>4973</v>
      </c>
      <c r="C10" s="1354">
        <v>508105436</v>
      </c>
      <c r="D10" s="1045">
        <f t="shared" si="0"/>
        <v>44703</v>
      </c>
      <c r="E10" s="1046">
        <f t="shared" si="1"/>
        <v>4</v>
      </c>
      <c r="F10" s="1322">
        <v>508105436</v>
      </c>
      <c r="G10" s="1080">
        <v>44699</v>
      </c>
      <c r="H10" s="1049">
        <f t="shared" si="2"/>
        <v>26</v>
      </c>
      <c r="I10" s="1085">
        <f t="shared" si="3"/>
        <v>0</v>
      </c>
      <c r="J10" s="1322">
        <f t="shared" si="4"/>
        <v>3210944.0747222221</v>
      </c>
      <c r="K10" s="1325">
        <v>8.5000000000000006E-2</v>
      </c>
      <c r="L10" s="1050">
        <v>27</v>
      </c>
      <c r="M10" s="1080">
        <v>44699</v>
      </c>
      <c r="N10" s="1322">
        <f t="shared" si="5"/>
        <v>3239172.1544999997</v>
      </c>
      <c r="O10" s="1080">
        <v>44699</v>
      </c>
      <c r="P10" s="1082"/>
      <c r="Q10" s="1082"/>
      <c r="R10" s="1082"/>
    </row>
    <row r="11" spans="1:18" s="1040" customFormat="1" ht="15" customHeight="1" x14ac:dyDescent="0.25">
      <c r="A11" s="1353">
        <v>44676</v>
      </c>
      <c r="B11" s="798" t="s">
        <v>52</v>
      </c>
      <c r="C11" s="1044">
        <v>593531833</v>
      </c>
      <c r="D11" s="1045">
        <f t="shared" si="0"/>
        <v>44706</v>
      </c>
      <c r="E11" s="1046">
        <f t="shared" si="1"/>
        <v>5</v>
      </c>
      <c r="F11" s="1322">
        <v>593531833</v>
      </c>
      <c r="G11" s="1080">
        <v>44701</v>
      </c>
      <c r="H11" s="1049">
        <f t="shared" si="2"/>
        <v>25</v>
      </c>
      <c r="I11" s="1085">
        <f t="shared" si="3"/>
        <v>0</v>
      </c>
      <c r="J11" s="1322">
        <f t="shared" si="4"/>
        <v>3606530.235243055</v>
      </c>
      <c r="K11" s="1325">
        <v>8.5000000000000006E-2</v>
      </c>
      <c r="L11" s="1050">
        <v>26</v>
      </c>
      <c r="M11" s="1080">
        <v>44701</v>
      </c>
      <c r="N11" s="1322">
        <f t="shared" si="5"/>
        <v>3643625.9748055553</v>
      </c>
      <c r="O11" s="1080">
        <v>44701</v>
      </c>
      <c r="P11" s="1082"/>
      <c r="Q11" s="1082"/>
      <c r="R11" s="1082"/>
    </row>
    <row r="12" spans="1:18" s="1040" customFormat="1" ht="15" customHeight="1" x14ac:dyDescent="0.25">
      <c r="A12" s="1353">
        <v>44676</v>
      </c>
      <c r="B12" s="798" t="s">
        <v>4973</v>
      </c>
      <c r="C12" s="1044">
        <v>538839606</v>
      </c>
      <c r="D12" s="1045">
        <f t="shared" si="0"/>
        <v>44706</v>
      </c>
      <c r="E12" s="1046">
        <f t="shared" si="1"/>
        <v>5</v>
      </c>
      <c r="F12" s="1322">
        <v>538839606</v>
      </c>
      <c r="G12" s="1080">
        <v>44701</v>
      </c>
      <c r="H12" s="1049">
        <f t="shared" si="2"/>
        <v>25</v>
      </c>
      <c r="I12" s="1085">
        <f t="shared" si="3"/>
        <v>0</v>
      </c>
      <c r="J12" s="1322">
        <f t="shared" si="4"/>
        <v>3274198.9947916665</v>
      </c>
      <c r="K12" s="1325">
        <v>8.5000000000000006E-2</v>
      </c>
      <c r="L12" s="1050">
        <v>26</v>
      </c>
      <c r="M12" s="1080">
        <v>44701</v>
      </c>
      <c r="N12" s="1322">
        <f t="shared" si="5"/>
        <v>3307876.4701666669</v>
      </c>
      <c r="O12" s="1080">
        <v>44701</v>
      </c>
      <c r="P12" s="1082"/>
      <c r="Q12" s="1082"/>
      <c r="R12" s="1082"/>
    </row>
    <row r="13" spans="1:18" s="1040" customFormat="1" ht="15" customHeight="1" x14ac:dyDescent="0.25">
      <c r="A13" s="1353">
        <v>44676</v>
      </c>
      <c r="B13" s="798" t="s">
        <v>52</v>
      </c>
      <c r="C13" s="1354">
        <v>303576468</v>
      </c>
      <c r="D13" s="1045">
        <f t="shared" si="0"/>
        <v>44706</v>
      </c>
      <c r="E13" s="1046">
        <f t="shared" si="1"/>
        <v>5</v>
      </c>
      <c r="F13" s="1322">
        <v>303576468</v>
      </c>
      <c r="G13" s="1080">
        <v>44701</v>
      </c>
      <c r="H13" s="1049">
        <f t="shared" si="2"/>
        <v>25</v>
      </c>
      <c r="I13" s="1085">
        <f t="shared" si="3"/>
        <v>0</v>
      </c>
      <c r="J13" s="1322">
        <f t="shared" si="4"/>
        <v>1844648.6770833333</v>
      </c>
      <c r="K13" s="1325">
        <v>8.5000000000000006E-2</v>
      </c>
      <c r="L13" s="1050">
        <v>26</v>
      </c>
      <c r="M13" s="1080">
        <v>44701</v>
      </c>
      <c r="N13" s="1322">
        <f t="shared" si="5"/>
        <v>1863622.2063333334</v>
      </c>
      <c r="O13" s="1080">
        <v>44701</v>
      </c>
      <c r="P13" s="1082"/>
      <c r="Q13" s="1082"/>
      <c r="R13" s="1082"/>
    </row>
    <row r="14" spans="1:18" s="1040" customFormat="1" ht="15" customHeight="1" x14ac:dyDescent="0.25">
      <c r="A14" s="1353">
        <v>44676</v>
      </c>
      <c r="B14" s="798" t="s">
        <v>64</v>
      </c>
      <c r="C14" s="1354">
        <v>362195000</v>
      </c>
      <c r="D14" s="1045">
        <f t="shared" si="0"/>
        <v>44706</v>
      </c>
      <c r="E14" s="1046">
        <f t="shared" si="1"/>
        <v>5</v>
      </c>
      <c r="F14" s="1322">
        <v>362195000</v>
      </c>
      <c r="G14" s="1080">
        <v>44701</v>
      </c>
      <c r="H14" s="1049">
        <f t="shared" si="2"/>
        <v>25</v>
      </c>
      <c r="I14" s="1085">
        <f t="shared" si="3"/>
        <v>0</v>
      </c>
      <c r="J14" s="1322">
        <f t="shared" si="4"/>
        <v>2200837.673611111</v>
      </c>
      <c r="K14" s="1325">
        <v>8.5000000000000006E-2</v>
      </c>
      <c r="L14" s="1050">
        <v>26</v>
      </c>
      <c r="M14" s="1080">
        <v>44701</v>
      </c>
      <c r="N14" s="1322">
        <f t="shared" si="5"/>
        <v>2223474.8611111115</v>
      </c>
      <c r="O14" s="1080">
        <v>44701</v>
      </c>
      <c r="P14" s="1082"/>
      <c r="Q14" s="1082"/>
      <c r="R14" s="1082"/>
    </row>
    <row r="15" spans="1:18" s="1040" customFormat="1" ht="15" customHeight="1" x14ac:dyDescent="0.25">
      <c r="A15" s="1353">
        <v>44678</v>
      </c>
      <c r="B15" s="798" t="s">
        <v>6272</v>
      </c>
      <c r="C15" s="1354">
        <v>1367030000</v>
      </c>
      <c r="D15" s="1045">
        <f t="shared" si="0"/>
        <v>44708</v>
      </c>
      <c r="E15" s="1046">
        <f t="shared" si="1"/>
        <v>4</v>
      </c>
      <c r="F15" s="1322">
        <v>1367030000</v>
      </c>
      <c r="G15" s="1080">
        <v>44704</v>
      </c>
      <c r="H15" s="1049">
        <f t="shared" si="2"/>
        <v>26</v>
      </c>
      <c r="I15" s="1085">
        <f t="shared" si="3"/>
        <v>0</v>
      </c>
      <c r="J15" s="1322">
        <f t="shared" si="4"/>
        <v>8638870.1388888881</v>
      </c>
      <c r="K15" s="1325">
        <v>8.5000000000000006E-2</v>
      </c>
      <c r="L15" s="1050">
        <v>27</v>
      </c>
      <c r="M15" s="1080">
        <v>44704</v>
      </c>
      <c r="N15" s="1322">
        <f t="shared" si="5"/>
        <v>8714816.25</v>
      </c>
      <c r="O15" s="1080">
        <v>44704</v>
      </c>
      <c r="P15" s="1082"/>
      <c r="Q15" s="1082"/>
      <c r="R15" s="1082"/>
    </row>
    <row r="16" spans="1:18" s="1040" customFormat="1" ht="15" customHeight="1" x14ac:dyDescent="0.25">
      <c r="A16" s="1353">
        <v>44678</v>
      </c>
      <c r="B16" s="798" t="s">
        <v>59</v>
      </c>
      <c r="C16" s="1354">
        <v>1178940478</v>
      </c>
      <c r="D16" s="1045">
        <f t="shared" si="0"/>
        <v>44708</v>
      </c>
      <c r="E16" s="1046">
        <f t="shared" si="1"/>
        <v>4</v>
      </c>
      <c r="F16" s="1322">
        <v>1178940478</v>
      </c>
      <c r="G16" s="1080">
        <v>44704</v>
      </c>
      <c r="H16" s="1049">
        <f t="shared" si="2"/>
        <v>26</v>
      </c>
      <c r="I16" s="1085">
        <f t="shared" si="3"/>
        <v>0</v>
      </c>
      <c r="J16" s="1322">
        <f t="shared" si="4"/>
        <v>7450248.8540277779</v>
      </c>
      <c r="K16" s="1325">
        <v>8.5000000000000006E-2</v>
      </c>
      <c r="L16" s="1050">
        <v>27</v>
      </c>
      <c r="M16" s="1080">
        <v>44704</v>
      </c>
      <c r="N16" s="1322">
        <f t="shared" si="5"/>
        <v>7515745.5472500017</v>
      </c>
      <c r="O16" s="1080">
        <v>44704</v>
      </c>
      <c r="P16" s="1082"/>
      <c r="Q16" s="1082"/>
      <c r="R16" s="1082"/>
    </row>
    <row r="17" spans="1:18" s="1040" customFormat="1" ht="15" customHeight="1" x14ac:dyDescent="0.25">
      <c r="A17" s="1353">
        <v>44678</v>
      </c>
      <c r="B17" s="798" t="s">
        <v>52</v>
      </c>
      <c r="C17" s="1354">
        <v>961505111</v>
      </c>
      <c r="D17" s="1045">
        <f t="shared" si="0"/>
        <v>44708</v>
      </c>
      <c r="E17" s="1046">
        <f t="shared" si="1"/>
        <v>4</v>
      </c>
      <c r="F17" s="1322">
        <v>961505111</v>
      </c>
      <c r="G17" s="1080">
        <v>44704</v>
      </c>
      <c r="H17" s="1049">
        <f t="shared" si="2"/>
        <v>26</v>
      </c>
      <c r="I17" s="1085">
        <f t="shared" si="3"/>
        <v>0</v>
      </c>
      <c r="J17" s="1322">
        <f t="shared" si="4"/>
        <v>6076178.1320138881</v>
      </c>
      <c r="K17" s="1325">
        <v>8.5000000000000006E-2</v>
      </c>
      <c r="L17" s="1050">
        <v>27</v>
      </c>
      <c r="M17" s="1080">
        <v>44704</v>
      </c>
      <c r="N17" s="1322">
        <f t="shared" si="5"/>
        <v>6129595.0826250007</v>
      </c>
      <c r="O17" s="1080">
        <v>44704</v>
      </c>
      <c r="P17" s="1082"/>
      <c r="Q17" s="1082"/>
      <c r="R17" s="1082"/>
    </row>
    <row r="18" spans="1:18" s="1040" customFormat="1" ht="15" customHeight="1" x14ac:dyDescent="0.25">
      <c r="A18" s="1353">
        <v>44678</v>
      </c>
      <c r="B18" s="798" t="s">
        <v>59</v>
      </c>
      <c r="C18" s="1354">
        <v>719464451</v>
      </c>
      <c r="D18" s="1045">
        <f t="shared" si="0"/>
        <v>44708</v>
      </c>
      <c r="E18" s="1046">
        <f t="shared" si="1"/>
        <v>4</v>
      </c>
      <c r="F18" s="1322">
        <v>719464451</v>
      </c>
      <c r="G18" s="1080">
        <v>44704</v>
      </c>
      <c r="H18" s="1049">
        <f t="shared" si="2"/>
        <v>26</v>
      </c>
      <c r="I18" s="1085">
        <f t="shared" si="3"/>
        <v>0</v>
      </c>
      <c r="J18" s="1322">
        <f t="shared" si="4"/>
        <v>4546615.6278472217</v>
      </c>
      <c r="K18" s="1325">
        <v>8.5000000000000006E-2</v>
      </c>
      <c r="L18" s="1050">
        <v>27</v>
      </c>
      <c r="M18" s="1080">
        <v>44704</v>
      </c>
      <c r="N18" s="1322">
        <f t="shared" si="5"/>
        <v>4586585.8751250003</v>
      </c>
      <c r="O18" s="1080">
        <v>44704</v>
      </c>
      <c r="P18" s="1082"/>
      <c r="Q18" s="1082"/>
      <c r="R18" s="1082"/>
    </row>
    <row r="19" spans="1:18" s="1040" customFormat="1" ht="15" customHeight="1" x14ac:dyDescent="0.25">
      <c r="A19" s="1353">
        <v>44678</v>
      </c>
      <c r="B19" s="798" t="s">
        <v>59</v>
      </c>
      <c r="C19" s="1354">
        <v>354691529</v>
      </c>
      <c r="D19" s="1045">
        <f t="shared" si="0"/>
        <v>44708</v>
      </c>
      <c r="E19" s="1046">
        <f t="shared" si="1"/>
        <v>4</v>
      </c>
      <c r="F19" s="1322">
        <v>354691529</v>
      </c>
      <c r="G19" s="1080">
        <v>44704</v>
      </c>
      <c r="H19" s="1049">
        <f t="shared" si="2"/>
        <v>26</v>
      </c>
      <c r="I19" s="1085">
        <f t="shared" si="3"/>
        <v>0</v>
      </c>
      <c r="J19" s="1322">
        <f t="shared" si="4"/>
        <v>2241453.4124305556</v>
      </c>
      <c r="K19" s="1325">
        <v>8.5000000000000006E-2</v>
      </c>
      <c r="L19" s="1050">
        <v>27</v>
      </c>
      <c r="M19" s="1080">
        <v>44704</v>
      </c>
      <c r="N19" s="1322">
        <f t="shared" si="5"/>
        <v>2261158.4973750003</v>
      </c>
      <c r="O19" s="1080">
        <v>44704</v>
      </c>
      <c r="P19" s="1082"/>
      <c r="Q19" s="1082"/>
      <c r="R19" s="1082"/>
    </row>
    <row r="20" spans="1:18" s="1040" customFormat="1" ht="15" customHeight="1" x14ac:dyDescent="0.25">
      <c r="A20" s="1353">
        <v>44678</v>
      </c>
      <c r="B20" s="798" t="s">
        <v>70</v>
      </c>
      <c r="C20" s="1354">
        <v>275399325</v>
      </c>
      <c r="D20" s="1045">
        <f t="shared" si="0"/>
        <v>44708</v>
      </c>
      <c r="E20" s="1046">
        <f t="shared" si="1"/>
        <v>4</v>
      </c>
      <c r="F20" s="1322">
        <v>275399325</v>
      </c>
      <c r="G20" s="1080">
        <v>44704</v>
      </c>
      <c r="H20" s="1049">
        <f t="shared" si="2"/>
        <v>26</v>
      </c>
      <c r="I20" s="1085">
        <f t="shared" si="3"/>
        <v>0</v>
      </c>
      <c r="J20" s="1322">
        <f t="shared" si="4"/>
        <v>1740370.734375</v>
      </c>
      <c r="K20" s="1325">
        <v>8.5000000000000006E-2</v>
      </c>
      <c r="L20" s="1050">
        <v>27</v>
      </c>
      <c r="M20" s="1080">
        <v>44704</v>
      </c>
      <c r="N20" s="1322">
        <f t="shared" si="5"/>
        <v>1755670.6968750001</v>
      </c>
      <c r="O20" s="1080">
        <v>44704</v>
      </c>
      <c r="P20" s="1082"/>
      <c r="Q20" s="1082"/>
      <c r="R20" s="1082"/>
    </row>
    <row r="21" spans="1:18" s="1040" customFormat="1" ht="15" customHeight="1" x14ac:dyDescent="0.25">
      <c r="A21" s="1353">
        <v>44678</v>
      </c>
      <c r="B21" s="798" t="s">
        <v>4973</v>
      </c>
      <c r="C21" s="1354">
        <v>253610651</v>
      </c>
      <c r="D21" s="1045">
        <f t="shared" si="0"/>
        <v>44708</v>
      </c>
      <c r="E21" s="1046">
        <f t="shared" si="1"/>
        <v>4</v>
      </c>
      <c r="F21" s="1322">
        <v>253610651</v>
      </c>
      <c r="G21" s="1080">
        <v>44704</v>
      </c>
      <c r="H21" s="1049">
        <f t="shared" si="2"/>
        <v>26</v>
      </c>
      <c r="I21" s="1085">
        <f t="shared" si="3"/>
        <v>0</v>
      </c>
      <c r="J21" s="1322">
        <f t="shared" si="4"/>
        <v>1602678.4195138889</v>
      </c>
      <c r="K21" s="1325">
        <v>8.5000000000000006E-2</v>
      </c>
      <c r="L21" s="1050">
        <v>27</v>
      </c>
      <c r="M21" s="1080">
        <v>44704</v>
      </c>
      <c r="N21" s="1322">
        <f t="shared" si="5"/>
        <v>1616767.9001250004</v>
      </c>
      <c r="O21" s="1080">
        <v>44704</v>
      </c>
      <c r="P21" s="1082"/>
      <c r="Q21" s="1082"/>
      <c r="R21" s="1082"/>
    </row>
    <row r="22" spans="1:18" s="1040" customFormat="1" ht="15" customHeight="1" x14ac:dyDescent="0.25">
      <c r="A22" s="1353">
        <v>44690</v>
      </c>
      <c r="B22" s="798" t="s">
        <v>29</v>
      </c>
      <c r="C22" s="1354">
        <v>1969166226</v>
      </c>
      <c r="D22" s="1045">
        <f t="shared" si="0"/>
        <v>44720</v>
      </c>
      <c r="E22" s="1046">
        <f t="shared" si="1"/>
        <v>12</v>
      </c>
      <c r="F22" s="1322">
        <v>1969166226</v>
      </c>
      <c r="G22" s="1080">
        <v>44708</v>
      </c>
      <c r="H22" s="1049">
        <f t="shared" si="2"/>
        <v>18</v>
      </c>
      <c r="I22" s="1085">
        <f t="shared" si="3"/>
        <v>0</v>
      </c>
      <c r="J22" s="1322">
        <f t="shared" si="4"/>
        <v>8615102.2387500014</v>
      </c>
      <c r="K22" s="1325">
        <v>8.5000000000000006E-2</v>
      </c>
      <c r="L22" s="1050">
        <v>19</v>
      </c>
      <c r="M22" s="1080">
        <v>44708</v>
      </c>
      <c r="N22" s="1322">
        <f t="shared" si="5"/>
        <v>8833898.4860833343</v>
      </c>
      <c r="O22" s="1080">
        <v>44708</v>
      </c>
      <c r="P22" s="1082"/>
      <c r="Q22" s="1082"/>
      <c r="R22" s="1082"/>
    </row>
    <row r="23" spans="1:18" s="1040" customFormat="1" ht="15" customHeight="1" x14ac:dyDescent="0.25">
      <c r="A23" s="1353">
        <v>44692</v>
      </c>
      <c r="B23" s="798" t="s">
        <v>4973</v>
      </c>
      <c r="C23" s="1354">
        <v>1074342351</v>
      </c>
      <c r="D23" s="1045">
        <f t="shared" si="0"/>
        <v>44722</v>
      </c>
      <c r="E23" s="1046">
        <f t="shared" si="1"/>
        <v>10</v>
      </c>
      <c r="F23" s="1322">
        <v>1074342351</v>
      </c>
      <c r="G23" s="1080">
        <v>44712</v>
      </c>
      <c r="H23" s="1049">
        <f t="shared" si="2"/>
        <v>20</v>
      </c>
      <c r="I23" s="1085">
        <f t="shared" si="3"/>
        <v>0</v>
      </c>
      <c r="J23" s="1322">
        <f t="shared" si="4"/>
        <v>5222497.5395833328</v>
      </c>
      <c r="K23" s="1325">
        <v>8.5000000000000006E-2</v>
      </c>
      <c r="L23" s="1050">
        <v>21</v>
      </c>
      <c r="M23" s="1080">
        <v>44712</v>
      </c>
      <c r="N23" s="1322">
        <f t="shared" si="5"/>
        <v>5326947.4903750001</v>
      </c>
      <c r="O23" s="1080">
        <v>44712</v>
      </c>
      <c r="P23" s="1082"/>
      <c r="Q23" s="1082"/>
      <c r="R23" s="1082"/>
    </row>
    <row r="24" spans="1:18" s="1040" customFormat="1" ht="15" customHeight="1" x14ac:dyDescent="0.25">
      <c r="A24" s="1353">
        <v>44692</v>
      </c>
      <c r="B24" s="798" t="s">
        <v>70</v>
      </c>
      <c r="C24" s="1354">
        <v>642598426</v>
      </c>
      <c r="D24" s="1045">
        <f t="shared" si="0"/>
        <v>44722</v>
      </c>
      <c r="E24" s="1046">
        <f t="shared" si="1"/>
        <v>10</v>
      </c>
      <c r="F24" s="1322">
        <v>642598426</v>
      </c>
      <c r="G24" s="1080">
        <v>44712</v>
      </c>
      <c r="H24" s="1049">
        <f t="shared" si="2"/>
        <v>20</v>
      </c>
      <c r="I24" s="1085">
        <f t="shared" si="3"/>
        <v>0</v>
      </c>
      <c r="J24" s="1322">
        <f t="shared" si="4"/>
        <v>3123742.3486111113</v>
      </c>
      <c r="K24" s="1325">
        <v>8.5000000000000006E-2</v>
      </c>
      <c r="L24" s="1050">
        <v>21</v>
      </c>
      <c r="M24" s="1080">
        <v>44712</v>
      </c>
      <c r="N24" s="1322">
        <f t="shared" si="5"/>
        <v>3186217.1955833337</v>
      </c>
      <c r="O24" s="1080">
        <v>44712</v>
      </c>
      <c r="P24" s="1082"/>
      <c r="Q24" s="1082"/>
      <c r="R24" s="1082"/>
    </row>
    <row r="25" spans="1:18" s="1040" customFormat="1" ht="15" customHeight="1" x14ac:dyDescent="0.25">
      <c r="A25" s="1353">
        <v>44694</v>
      </c>
      <c r="B25" s="798" t="s">
        <v>64</v>
      </c>
      <c r="C25" s="1354">
        <v>819846000</v>
      </c>
      <c r="D25" s="1045">
        <f t="shared" si="0"/>
        <v>44724</v>
      </c>
      <c r="E25" s="1046">
        <f t="shared" si="1"/>
        <v>12</v>
      </c>
      <c r="F25" s="1322">
        <v>819846000</v>
      </c>
      <c r="G25" s="1080">
        <v>44712</v>
      </c>
      <c r="H25" s="1049">
        <f t="shared" si="2"/>
        <v>18</v>
      </c>
      <c r="I25" s="1085">
        <f t="shared" si="3"/>
        <v>0</v>
      </c>
      <c r="J25" s="1322">
        <f t="shared" si="4"/>
        <v>3586826.25</v>
      </c>
      <c r="K25" s="1325">
        <v>8.5000000000000006E-2</v>
      </c>
      <c r="L25" s="1050">
        <v>19</v>
      </c>
      <c r="M25" s="1080">
        <v>44712</v>
      </c>
      <c r="N25" s="1322">
        <f t="shared" si="5"/>
        <v>3677920.2500000005</v>
      </c>
      <c r="O25" s="1080">
        <v>44712</v>
      </c>
      <c r="P25" s="1082"/>
      <c r="Q25" s="1082"/>
      <c r="R25" s="1082"/>
    </row>
    <row r="26" spans="1:18" s="1040" customFormat="1" ht="15" customHeight="1" x14ac:dyDescent="0.25">
      <c r="A26" s="1353">
        <v>44694</v>
      </c>
      <c r="B26" s="798" t="s">
        <v>59</v>
      </c>
      <c r="C26" s="1354">
        <v>587501961</v>
      </c>
      <c r="D26" s="1045">
        <f t="shared" si="0"/>
        <v>44724</v>
      </c>
      <c r="E26" s="1046">
        <f t="shared" si="1"/>
        <v>12</v>
      </c>
      <c r="F26" s="1322">
        <v>587501961</v>
      </c>
      <c r="G26" s="1080">
        <v>44712</v>
      </c>
      <c r="H26" s="1049">
        <f t="shared" si="2"/>
        <v>18</v>
      </c>
      <c r="I26" s="1085">
        <f t="shared" si="3"/>
        <v>0</v>
      </c>
      <c r="J26" s="1322">
        <f t="shared" si="4"/>
        <v>2570321.0793749997</v>
      </c>
      <c r="K26" s="1325">
        <v>8.5000000000000006E-2</v>
      </c>
      <c r="L26" s="1050">
        <v>19</v>
      </c>
      <c r="M26" s="1080">
        <v>44712</v>
      </c>
      <c r="N26" s="1322">
        <f t="shared" si="5"/>
        <v>2635599.0750416666</v>
      </c>
      <c r="O26" s="1080">
        <v>44712</v>
      </c>
      <c r="P26" s="1082"/>
      <c r="Q26" s="1082"/>
      <c r="R26" s="1082"/>
    </row>
    <row r="27" spans="1:18" s="1040" customFormat="1" ht="15" customHeight="1" x14ac:dyDescent="0.25">
      <c r="A27" s="1353">
        <v>44694</v>
      </c>
      <c r="B27" s="798" t="s">
        <v>59</v>
      </c>
      <c r="C27" s="1354">
        <v>547343144</v>
      </c>
      <c r="D27" s="1045">
        <f t="shared" si="0"/>
        <v>44724</v>
      </c>
      <c r="E27" s="1046">
        <f t="shared" si="1"/>
        <v>12</v>
      </c>
      <c r="F27" s="1322">
        <v>547343144</v>
      </c>
      <c r="G27" s="1080">
        <v>44712</v>
      </c>
      <c r="H27" s="1049">
        <f t="shared" si="2"/>
        <v>18</v>
      </c>
      <c r="I27" s="1085">
        <f t="shared" si="3"/>
        <v>0</v>
      </c>
      <c r="J27" s="1322">
        <f t="shared" si="4"/>
        <v>2394626.2549999999</v>
      </c>
      <c r="K27" s="1325">
        <v>8.5000000000000006E-2</v>
      </c>
      <c r="L27" s="1050">
        <v>19</v>
      </c>
      <c r="M27" s="1080">
        <v>44712</v>
      </c>
      <c r="N27" s="1322">
        <f t="shared" si="5"/>
        <v>2455442.1598888892</v>
      </c>
      <c r="O27" s="1080">
        <v>44712</v>
      </c>
      <c r="P27" s="1082"/>
      <c r="Q27" s="1082"/>
      <c r="R27" s="1082"/>
    </row>
    <row r="28" spans="1:18" s="1040" customFormat="1" ht="15" customHeight="1" x14ac:dyDescent="0.25">
      <c r="A28" s="1353">
        <v>44694</v>
      </c>
      <c r="B28" s="798" t="s">
        <v>4973</v>
      </c>
      <c r="C28" s="1354">
        <v>469362850</v>
      </c>
      <c r="D28" s="1045">
        <f t="shared" si="0"/>
        <v>44724</v>
      </c>
      <c r="E28" s="1046">
        <f t="shared" si="1"/>
        <v>12</v>
      </c>
      <c r="F28" s="1322">
        <v>469362850</v>
      </c>
      <c r="G28" s="1080">
        <v>44712</v>
      </c>
      <c r="H28" s="1049">
        <f t="shared" si="2"/>
        <v>18</v>
      </c>
      <c r="I28" s="1085">
        <f t="shared" si="3"/>
        <v>0</v>
      </c>
      <c r="J28" s="1322">
        <f t="shared" si="4"/>
        <v>2053462.4687499998</v>
      </c>
      <c r="K28" s="1325">
        <v>8.5000000000000006E-2</v>
      </c>
      <c r="L28" s="1050">
        <v>19</v>
      </c>
      <c r="M28" s="1080">
        <v>44712</v>
      </c>
      <c r="N28" s="1322">
        <f t="shared" si="5"/>
        <v>2105613.8965277779</v>
      </c>
      <c r="O28" s="1080">
        <v>44712</v>
      </c>
      <c r="P28" s="1082"/>
      <c r="Q28" s="1082"/>
      <c r="R28" s="1082"/>
    </row>
    <row r="29" spans="1:18" s="1040" customFormat="1" ht="15" customHeight="1" x14ac:dyDescent="0.25">
      <c r="A29" s="1032">
        <v>44700</v>
      </c>
      <c r="B29" s="1013" t="s">
        <v>52</v>
      </c>
      <c r="C29" s="1339">
        <v>1467361573</v>
      </c>
      <c r="D29" s="1045">
        <f t="shared" si="0"/>
        <v>44730</v>
      </c>
      <c r="E29" s="1046">
        <f t="shared" si="1"/>
        <v>44730</v>
      </c>
      <c r="F29" s="1322"/>
      <c r="G29" s="1080"/>
      <c r="H29" s="1049">
        <f t="shared" si="2"/>
        <v>-44700</v>
      </c>
      <c r="I29" s="1085">
        <f t="shared" si="3"/>
        <v>1467361573</v>
      </c>
      <c r="J29" s="1322"/>
      <c r="K29" s="1085"/>
      <c r="L29" s="1050"/>
      <c r="M29" s="1080"/>
      <c r="N29" s="1322"/>
      <c r="O29" s="1322"/>
      <c r="P29" s="1082"/>
      <c r="Q29" s="1082"/>
      <c r="R29" s="1082"/>
    </row>
    <row r="30" spans="1:18" s="1040" customFormat="1" ht="15" customHeight="1" x14ac:dyDescent="0.25">
      <c r="A30" s="1032">
        <v>44700</v>
      </c>
      <c r="B30" s="1013" t="s">
        <v>4973</v>
      </c>
      <c r="C30" s="1339">
        <v>1035571000</v>
      </c>
      <c r="D30" s="1045">
        <f t="shared" si="0"/>
        <v>44730</v>
      </c>
      <c r="E30" s="1046">
        <f t="shared" si="1"/>
        <v>44730</v>
      </c>
      <c r="F30" s="1322"/>
      <c r="G30" s="1080"/>
      <c r="H30" s="1049">
        <f t="shared" si="2"/>
        <v>-44700</v>
      </c>
      <c r="I30" s="1085">
        <f t="shared" si="3"/>
        <v>1035571000</v>
      </c>
      <c r="J30" s="1082"/>
      <c r="K30" s="1085"/>
      <c r="L30" s="1050"/>
      <c r="M30" s="1080"/>
      <c r="N30" s="1322"/>
      <c r="O30" s="1322"/>
      <c r="P30" s="1082"/>
      <c r="Q30" s="1082"/>
      <c r="R30" s="1082"/>
    </row>
    <row r="31" spans="1:18" s="1040" customFormat="1" ht="15" customHeight="1" x14ac:dyDescent="0.25">
      <c r="A31" s="1032">
        <v>44700</v>
      </c>
      <c r="B31" s="1013" t="s">
        <v>52</v>
      </c>
      <c r="C31" s="1339">
        <v>780850471</v>
      </c>
      <c r="D31" s="1045">
        <f t="shared" si="0"/>
        <v>44730</v>
      </c>
      <c r="E31" s="1046">
        <f t="shared" si="1"/>
        <v>44730</v>
      </c>
      <c r="F31" s="1322"/>
      <c r="G31" s="1080"/>
      <c r="H31" s="1049">
        <f t="shared" si="2"/>
        <v>-44700</v>
      </c>
      <c r="I31" s="1085">
        <f t="shared" si="3"/>
        <v>780850471</v>
      </c>
      <c r="J31" s="1082"/>
      <c r="K31" s="1085"/>
      <c r="L31" s="1050"/>
      <c r="M31" s="1080"/>
      <c r="N31" s="1322"/>
      <c r="O31" s="1322"/>
      <c r="P31" s="1082"/>
      <c r="Q31" s="1082"/>
      <c r="R31" s="1082"/>
    </row>
    <row r="32" spans="1:18" s="1040" customFormat="1" ht="15" customHeight="1" x14ac:dyDescent="0.25">
      <c r="A32" s="1032">
        <v>44700</v>
      </c>
      <c r="B32" s="1013" t="s">
        <v>4973</v>
      </c>
      <c r="C32" s="1339">
        <v>761676515</v>
      </c>
      <c r="D32" s="1045">
        <f t="shared" si="0"/>
        <v>44730</v>
      </c>
      <c r="E32" s="1046">
        <f t="shared" si="1"/>
        <v>44730</v>
      </c>
      <c r="F32" s="1322"/>
      <c r="G32" s="1080"/>
      <c r="H32" s="1049">
        <f t="shared" si="2"/>
        <v>-44700</v>
      </c>
      <c r="I32" s="1085">
        <f t="shared" si="3"/>
        <v>761676515</v>
      </c>
      <c r="J32" s="1082"/>
      <c r="K32" s="1085"/>
      <c r="L32" s="1050"/>
      <c r="M32" s="1080"/>
      <c r="N32" s="1322"/>
      <c r="O32" s="1322"/>
      <c r="P32" s="1082"/>
      <c r="Q32" s="1082"/>
      <c r="R32" s="1082"/>
    </row>
    <row r="33" spans="1:18" s="1040" customFormat="1" ht="15" customHeight="1" x14ac:dyDescent="0.25">
      <c r="A33" s="1032">
        <v>44700</v>
      </c>
      <c r="B33" s="1013" t="s">
        <v>52</v>
      </c>
      <c r="C33" s="1339">
        <v>411641144</v>
      </c>
      <c r="D33" s="1045">
        <f t="shared" si="0"/>
        <v>44730</v>
      </c>
      <c r="E33" s="1046">
        <f t="shared" si="1"/>
        <v>44730</v>
      </c>
      <c r="F33" s="1322"/>
      <c r="G33" s="1080"/>
      <c r="H33" s="1049">
        <f t="shared" si="2"/>
        <v>-44700</v>
      </c>
      <c r="I33" s="1085">
        <f t="shared" si="3"/>
        <v>411641144</v>
      </c>
      <c r="J33" s="1082"/>
      <c r="K33" s="1085"/>
      <c r="L33" s="1050"/>
      <c r="M33" s="1080"/>
      <c r="N33" s="1322"/>
      <c r="O33" s="1322"/>
      <c r="P33" s="1082"/>
      <c r="Q33" s="1082"/>
      <c r="R33" s="1082"/>
    </row>
    <row r="34" spans="1:18" s="1040" customFormat="1" ht="15" customHeight="1" x14ac:dyDescent="0.25">
      <c r="A34" s="1032">
        <v>44700</v>
      </c>
      <c r="B34" s="1013" t="s">
        <v>64</v>
      </c>
      <c r="C34" s="1339">
        <v>406260000</v>
      </c>
      <c r="D34" s="1045">
        <f t="shared" si="0"/>
        <v>44730</v>
      </c>
      <c r="E34" s="1046">
        <f t="shared" si="1"/>
        <v>44730</v>
      </c>
      <c r="F34" s="1322"/>
      <c r="G34" s="1080"/>
      <c r="H34" s="1049">
        <f t="shared" si="2"/>
        <v>-44700</v>
      </c>
      <c r="I34" s="1085">
        <f t="shared" si="3"/>
        <v>406260000</v>
      </c>
      <c r="J34" s="1082"/>
      <c r="K34" s="1085"/>
      <c r="L34" s="1050"/>
      <c r="M34" s="1080"/>
      <c r="N34" s="1322"/>
      <c r="O34" s="1322"/>
      <c r="P34" s="1082"/>
      <c r="Q34" s="1082"/>
      <c r="R34" s="1082"/>
    </row>
    <row r="35" spans="1:18" s="1040" customFormat="1" ht="15" customHeight="1" x14ac:dyDescent="0.25">
      <c r="A35" s="1032">
        <v>44704</v>
      </c>
      <c r="B35" s="1013" t="s">
        <v>6283</v>
      </c>
      <c r="C35" s="1339">
        <v>3993762844</v>
      </c>
      <c r="D35" s="1045">
        <f t="shared" si="0"/>
        <v>44734</v>
      </c>
      <c r="E35" s="1046">
        <f t="shared" si="1"/>
        <v>44734</v>
      </c>
      <c r="F35" s="1322"/>
      <c r="G35" s="1080"/>
      <c r="H35" s="1049">
        <f t="shared" si="2"/>
        <v>-44704</v>
      </c>
      <c r="I35" s="1085">
        <f t="shared" si="3"/>
        <v>3993762844</v>
      </c>
      <c r="J35" s="1082"/>
      <c r="K35" s="1085"/>
      <c r="L35" s="1050"/>
      <c r="M35" s="1080"/>
      <c r="N35" s="1322"/>
      <c r="O35" s="1322"/>
      <c r="P35" s="1082"/>
      <c r="Q35" s="1082"/>
      <c r="R35" s="1082"/>
    </row>
    <row r="36" spans="1:18" s="1040" customFormat="1" ht="15" customHeight="1" x14ac:dyDescent="0.25">
      <c r="A36" s="1032">
        <v>44704</v>
      </c>
      <c r="B36" s="1013" t="s">
        <v>4973</v>
      </c>
      <c r="C36" s="1339">
        <v>745868106</v>
      </c>
      <c r="D36" s="1045">
        <f t="shared" si="0"/>
        <v>44734</v>
      </c>
      <c r="E36" s="1046">
        <f t="shared" si="1"/>
        <v>44734</v>
      </c>
      <c r="F36" s="1322"/>
      <c r="G36" s="1080"/>
      <c r="H36" s="1049"/>
      <c r="I36" s="1085">
        <f t="shared" si="3"/>
        <v>745868106</v>
      </c>
      <c r="J36" s="1082"/>
      <c r="K36" s="1085"/>
      <c r="L36" s="1050"/>
      <c r="M36" s="1080"/>
      <c r="N36" s="1322"/>
      <c r="O36" s="1322"/>
      <c r="P36" s="1082"/>
      <c r="Q36" s="1082"/>
      <c r="R36" s="1082"/>
    </row>
    <row r="37" spans="1:18" s="1040" customFormat="1" ht="15" customHeight="1" x14ac:dyDescent="0.25">
      <c r="A37" s="1032">
        <v>44704</v>
      </c>
      <c r="B37" s="1013" t="s">
        <v>64</v>
      </c>
      <c r="C37" s="1339">
        <v>499500000</v>
      </c>
      <c r="D37" s="1045">
        <f t="shared" si="0"/>
        <v>44734</v>
      </c>
      <c r="E37" s="1046">
        <f t="shared" si="1"/>
        <v>44734</v>
      </c>
      <c r="F37" s="1322"/>
      <c r="G37" s="1080"/>
      <c r="H37" s="1049"/>
      <c r="I37" s="1085">
        <f t="shared" si="3"/>
        <v>499500000</v>
      </c>
      <c r="J37" s="1082"/>
      <c r="K37" s="1085"/>
      <c r="L37" s="1050"/>
      <c r="M37" s="1080"/>
      <c r="N37" s="1322"/>
      <c r="O37" s="1322"/>
      <c r="P37" s="1082"/>
      <c r="Q37" s="1082"/>
      <c r="R37" s="1082"/>
    </row>
    <row r="38" spans="1:18" s="1040" customFormat="1" ht="15" customHeight="1" x14ac:dyDescent="0.25">
      <c r="A38" s="1032">
        <v>44706</v>
      </c>
      <c r="B38" s="1013" t="s">
        <v>64</v>
      </c>
      <c r="C38" s="1339">
        <v>935730000</v>
      </c>
      <c r="D38" s="1045">
        <f t="shared" si="0"/>
        <v>44736</v>
      </c>
      <c r="E38" s="1046">
        <f t="shared" si="1"/>
        <v>44736</v>
      </c>
      <c r="F38" s="1322"/>
      <c r="G38" s="1080"/>
      <c r="H38" s="1049"/>
      <c r="I38" s="1085">
        <f t="shared" si="3"/>
        <v>935730000</v>
      </c>
      <c r="J38" s="1082"/>
      <c r="K38" s="1085"/>
      <c r="L38" s="1050"/>
      <c r="M38" s="1080"/>
      <c r="N38" s="1082"/>
      <c r="O38" s="1082"/>
      <c r="P38" s="1082"/>
      <c r="Q38" s="1082"/>
      <c r="R38" s="1082"/>
    </row>
    <row r="39" spans="1:18" s="1040" customFormat="1" ht="15" customHeight="1" x14ac:dyDescent="0.25">
      <c r="A39" s="1032">
        <v>44706</v>
      </c>
      <c r="B39" s="1013" t="s">
        <v>6272</v>
      </c>
      <c r="C39" s="1339">
        <v>489456000</v>
      </c>
      <c r="D39" s="1045">
        <f t="shared" si="0"/>
        <v>44736</v>
      </c>
      <c r="E39" s="1046">
        <f t="shared" si="1"/>
        <v>44736</v>
      </c>
      <c r="F39" s="1322"/>
      <c r="G39" s="1080"/>
      <c r="H39" s="1049"/>
      <c r="I39" s="1085">
        <f t="shared" si="3"/>
        <v>489456000</v>
      </c>
      <c r="J39" s="1082"/>
      <c r="K39" s="1085"/>
      <c r="L39" s="1085"/>
      <c r="M39" s="1080"/>
      <c r="N39" s="1082"/>
      <c r="O39" s="1082"/>
      <c r="P39" s="1082"/>
      <c r="Q39" s="1082"/>
      <c r="R39" s="1082"/>
    </row>
    <row r="40" spans="1:18" s="1040" customFormat="1" ht="15" customHeight="1" x14ac:dyDescent="0.25">
      <c r="A40" s="1032">
        <v>44706</v>
      </c>
      <c r="B40" s="1013" t="s">
        <v>55</v>
      </c>
      <c r="C40" s="1339">
        <v>262692430</v>
      </c>
      <c r="D40" s="1045">
        <f t="shared" si="0"/>
        <v>44736</v>
      </c>
      <c r="E40" s="1046">
        <f t="shared" si="1"/>
        <v>44736</v>
      </c>
      <c r="F40" s="1322"/>
      <c r="G40" s="1080"/>
      <c r="H40" s="1049"/>
      <c r="I40" s="1085">
        <f t="shared" si="3"/>
        <v>262692430</v>
      </c>
      <c r="J40" s="1082"/>
      <c r="K40" s="1085"/>
      <c r="L40" s="1085"/>
      <c r="M40" s="1080"/>
      <c r="N40" s="1082"/>
      <c r="O40" s="1082"/>
      <c r="P40" s="1082"/>
      <c r="Q40" s="1082"/>
      <c r="R40" s="1082"/>
    </row>
    <row r="41" spans="1:18" s="1040" customFormat="1" ht="15" customHeight="1" x14ac:dyDescent="0.25">
      <c r="A41" s="1032">
        <v>44708</v>
      </c>
      <c r="B41" s="1013" t="s">
        <v>4973</v>
      </c>
      <c r="C41" s="1339">
        <v>661237708</v>
      </c>
      <c r="D41" s="1045">
        <f t="shared" si="0"/>
        <v>44738</v>
      </c>
      <c r="E41" s="1046">
        <f t="shared" si="1"/>
        <v>44738</v>
      </c>
      <c r="F41" s="1322"/>
      <c r="G41" s="1080"/>
      <c r="H41" s="1049"/>
      <c r="I41" s="1085">
        <f t="shared" si="3"/>
        <v>661237708</v>
      </c>
      <c r="J41" s="1082"/>
      <c r="K41" s="1085"/>
      <c r="L41" s="1085"/>
      <c r="M41" s="1080"/>
      <c r="N41" s="1082"/>
      <c r="O41" s="1082"/>
      <c r="P41" s="1082"/>
      <c r="Q41" s="1082"/>
      <c r="R41" s="1082"/>
    </row>
    <row r="42" spans="1:18" s="1040" customFormat="1" ht="15" customHeight="1" x14ac:dyDescent="0.25">
      <c r="A42" s="1032"/>
      <c r="B42" s="1013"/>
      <c r="C42" s="1339"/>
      <c r="D42" s="1045"/>
      <c r="E42" s="1083"/>
      <c r="F42" s="1322"/>
      <c r="G42" s="1080"/>
      <c r="H42" s="1049"/>
      <c r="I42" s="1085"/>
      <c r="J42" s="1082"/>
      <c r="K42" s="1085"/>
      <c r="L42" s="1085"/>
      <c r="M42" s="1080"/>
      <c r="N42" s="1082"/>
      <c r="O42" s="1082"/>
      <c r="P42" s="1082"/>
      <c r="Q42" s="1082"/>
      <c r="R42" s="1082"/>
    </row>
    <row r="43" spans="1:18" s="1040" customFormat="1" x14ac:dyDescent="0.25">
      <c r="A43" s="1565" t="s">
        <v>24</v>
      </c>
      <c r="B43" s="1566"/>
      <c r="C43" s="1081">
        <f>SUM(C5:C41)</f>
        <v>29360458672</v>
      </c>
      <c r="D43" s="1081"/>
      <c r="E43" s="1086"/>
      <c r="F43" s="1081">
        <f>SUM(F5:F41)</f>
        <v>16908850881</v>
      </c>
      <c r="G43" s="1081"/>
      <c r="H43" s="1084"/>
      <c r="I43" s="1081">
        <f>SUM(I5:I41)</f>
        <v>12451607791</v>
      </c>
      <c r="J43" s="1081"/>
      <c r="K43" s="1082"/>
      <c r="L43" s="1082"/>
      <c r="M43" s="1082"/>
      <c r="N43" s="1081">
        <f>SUM(N5:N7)</f>
        <v>6074945.141777778</v>
      </c>
      <c r="O43" s="1081"/>
      <c r="P43" s="1082"/>
      <c r="Q43" s="1081" t="e">
        <f>SUM(#REF!)</f>
        <v>#REF!</v>
      </c>
      <c r="R43" s="1082"/>
    </row>
    <row r="44" spans="1:18" s="1040" customFormat="1" x14ac:dyDescent="0.25">
      <c r="A44" s="1063"/>
      <c r="B44" s="1328"/>
      <c r="C44" s="1327"/>
      <c r="E44" s="1028"/>
      <c r="H44" s="1064"/>
    </row>
    <row r="45" spans="1:18" s="1040" customFormat="1" x14ac:dyDescent="0.25">
      <c r="A45" s="1063"/>
      <c r="B45" s="1328"/>
      <c r="C45" s="1327"/>
      <c r="D45" s="1087"/>
      <c r="E45" s="1088"/>
      <c r="F45" s="1087"/>
      <c r="G45" s="1087"/>
      <c r="H45" s="1064"/>
      <c r="I45" s="1087"/>
      <c r="J45" s="1087"/>
      <c r="K45" s="1087"/>
      <c r="L45" s="1087"/>
      <c r="M45" s="1087"/>
      <c r="N45" s="1087"/>
      <c r="O45" s="1087"/>
      <c r="P45" s="1087"/>
      <c r="Q45" s="1087"/>
      <c r="R45" s="1087"/>
    </row>
    <row r="46" spans="1:18" s="1040" customFormat="1" x14ac:dyDescent="0.25">
      <c r="A46" s="1497" t="s">
        <v>6279</v>
      </c>
      <c r="B46" s="1498"/>
      <c r="C46" s="1497"/>
      <c r="D46" s="1497"/>
      <c r="E46" s="1025"/>
      <c r="F46" s="1026">
        <f>SUM(C5:C21)</f>
        <v>10798689923</v>
      </c>
      <c r="G46" s="1087"/>
      <c r="H46" s="1064"/>
      <c r="I46" s="1087"/>
      <c r="J46" s="1087"/>
      <c r="K46" s="1087"/>
      <c r="L46" s="1087"/>
      <c r="M46" s="1087"/>
      <c r="N46" s="1087"/>
      <c r="O46" s="1087"/>
      <c r="P46" s="1087"/>
      <c r="Q46" s="1087"/>
      <c r="R46" s="1087"/>
    </row>
    <row r="47" spans="1:18" s="1040" customFormat="1" x14ac:dyDescent="0.25">
      <c r="A47" s="1497" t="s">
        <v>6280</v>
      </c>
      <c r="B47" s="1497"/>
      <c r="C47" s="1497"/>
      <c r="D47" s="1497"/>
      <c r="E47" s="1028"/>
      <c r="F47" s="1029">
        <f>SUM(C22)</f>
        <v>1969166226</v>
      </c>
      <c r="H47" s="1064"/>
    </row>
    <row r="48" spans="1:18" s="1040" customFormat="1" x14ac:dyDescent="0.25">
      <c r="A48" s="1497" t="s">
        <v>6281</v>
      </c>
      <c r="B48" s="1498"/>
      <c r="C48" s="1497"/>
      <c r="D48" s="1497"/>
      <c r="E48" s="1028"/>
      <c r="F48" s="1029">
        <f>SUM(F43)</f>
        <v>16908850881</v>
      </c>
      <c r="H48" s="1064"/>
      <c r="I48" s="1087"/>
      <c r="K48" s="1087"/>
      <c r="L48" s="1087"/>
      <c r="M48" s="1087"/>
    </row>
    <row r="49" spans="1:8" s="1040" customFormat="1" x14ac:dyDescent="0.25">
      <c r="A49" s="1497" t="s">
        <v>6282</v>
      </c>
      <c r="B49" s="1498"/>
      <c r="C49" s="1497"/>
      <c r="D49" s="1497"/>
      <c r="E49" s="1028"/>
      <c r="F49" s="1030">
        <f>F46+F47-F48</f>
        <v>-4140994732</v>
      </c>
      <c r="H49" s="1064"/>
    </row>
    <row r="50" spans="1:8" s="1040" customFormat="1" x14ac:dyDescent="0.25">
      <c r="A50" s="1063"/>
      <c r="B50" s="1328"/>
      <c r="C50" s="1327"/>
      <c r="E50" s="1028"/>
      <c r="H50" s="1064"/>
    </row>
    <row r="51" spans="1:8" s="1040" customFormat="1" x14ac:dyDescent="0.25">
      <c r="A51" s="1063"/>
      <c r="B51" s="1328"/>
      <c r="C51" s="1327"/>
      <c r="E51" s="1028"/>
      <c r="H51" s="1064"/>
    </row>
    <row r="73" spans="18:18" x14ac:dyDescent="0.25">
      <c r="R73" s="1089"/>
    </row>
    <row r="74" spans="18:18" x14ac:dyDescent="0.25">
      <c r="R74" s="1089"/>
    </row>
    <row r="75" spans="18:18" x14ac:dyDescent="0.25">
      <c r="R75" s="1089"/>
    </row>
  </sheetData>
  <mergeCells count="10">
    <mergeCell ref="A48:D48"/>
    <mergeCell ref="A49:D49"/>
    <mergeCell ref="A47:D47"/>
    <mergeCell ref="A43:B43"/>
    <mergeCell ref="A46:D46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J23" sqref="J23"/>
    </sheetView>
  </sheetViews>
  <sheetFormatPr defaultRowHeight="15.75" x14ac:dyDescent="0.25"/>
  <cols>
    <col min="1" max="1" width="13" style="1091" customWidth="1"/>
    <col min="2" max="2" width="10.7109375" style="1401" customWidth="1"/>
    <col min="3" max="3" width="20.140625" style="1019" customWidth="1"/>
    <col min="4" max="4" width="17.5703125" style="1092" customWidth="1"/>
    <col min="5" max="5" width="17.140625" style="1019" customWidth="1"/>
    <col min="6" max="6" width="18.140625" style="1019" bestFit="1" customWidth="1"/>
    <col min="7" max="7" width="12.140625" style="1028" bestFit="1" customWidth="1"/>
    <col min="8" max="8" width="10.7109375" style="1019" customWidth="1"/>
    <col min="9" max="10" width="16.5703125" style="1019" customWidth="1"/>
    <col min="11" max="11" width="11.42578125" style="1019" customWidth="1"/>
    <col min="12" max="12" width="9.42578125" style="1040" customWidth="1"/>
    <col min="13" max="13" width="17.140625" style="1040" customWidth="1"/>
    <col min="14" max="14" width="19.140625" style="1019" customWidth="1"/>
    <col min="15" max="15" width="14.28515625" style="1019" customWidth="1"/>
    <col min="16" max="16" width="16.5703125" style="1092" customWidth="1"/>
    <col min="17" max="17" width="10.7109375" style="1019" customWidth="1"/>
    <col min="18" max="18" width="12" style="1019" customWidth="1"/>
    <col min="19" max="19" width="15.42578125" style="1019" customWidth="1"/>
    <col min="20" max="20" width="15" style="1019" customWidth="1"/>
    <col min="21" max="24" width="13.7109375" style="1019" customWidth="1"/>
    <col min="25" max="25" width="15.7109375" style="1019" customWidth="1"/>
    <col min="26" max="30" width="13.7109375" style="1019" customWidth="1"/>
    <col min="31" max="31" width="19.140625" style="1019" customWidth="1"/>
    <col min="32" max="16384" width="9.140625" style="1019"/>
  </cols>
  <sheetData>
    <row r="1" spans="1:31" ht="16.5" hidden="1" thickBot="1" x14ac:dyDescent="0.3">
      <c r="L1" s="1071"/>
      <c r="M1" s="1071"/>
    </row>
    <row r="2" spans="1:31" ht="16.5" hidden="1" thickBot="1" x14ac:dyDescent="0.3">
      <c r="B2" s="1065"/>
      <c r="C2" s="1093"/>
      <c r="D2" s="1094"/>
      <c r="E2" s="1093"/>
      <c r="F2" s="1093"/>
      <c r="G2" s="1067"/>
      <c r="H2" s="1093"/>
      <c r="I2" s="1093"/>
      <c r="J2" s="1093"/>
      <c r="K2" s="1093"/>
      <c r="L2" s="1093"/>
      <c r="M2" s="1093"/>
      <c r="N2" s="1093"/>
      <c r="O2" s="1093"/>
      <c r="P2" s="1094"/>
      <c r="Q2" s="1093"/>
      <c r="R2" s="1093"/>
      <c r="S2" s="1093"/>
      <c r="T2" s="1093"/>
      <c r="U2" s="1093"/>
      <c r="V2" s="1093"/>
      <c r="W2" s="1093"/>
      <c r="X2" s="1093"/>
      <c r="Y2" s="1093"/>
      <c r="Z2" s="1093"/>
      <c r="AA2" s="1093"/>
      <c r="AB2" s="1093"/>
      <c r="AC2" s="1093"/>
      <c r="AD2" s="1093"/>
      <c r="AE2" s="1093"/>
    </row>
    <row r="3" spans="1:31" ht="16.5" hidden="1" thickBot="1" x14ac:dyDescent="0.3">
      <c r="B3" s="1065"/>
      <c r="C3" s="1093"/>
      <c r="D3" s="1094"/>
      <c r="E3" s="1093"/>
      <c r="F3" s="1093"/>
      <c r="G3" s="1067"/>
      <c r="H3" s="1093"/>
      <c r="I3" s="1093"/>
      <c r="J3" s="1093"/>
      <c r="K3" s="1093"/>
      <c r="L3" s="1093"/>
      <c r="M3" s="1093"/>
      <c r="N3" s="1093"/>
      <c r="O3" s="1093"/>
      <c r="P3" s="1094"/>
      <c r="Q3" s="1093"/>
      <c r="R3" s="1093"/>
      <c r="S3" s="1093"/>
      <c r="T3" s="1093"/>
      <c r="U3" s="1093"/>
      <c r="V3" s="1093"/>
      <c r="W3" s="1093"/>
      <c r="X3" s="1093"/>
      <c r="Y3" s="1093"/>
      <c r="Z3" s="1093"/>
      <c r="AA3" s="1093"/>
      <c r="AB3" s="1093"/>
      <c r="AC3" s="1093"/>
      <c r="AD3" s="1093"/>
      <c r="AE3" s="1093"/>
    </row>
    <row r="4" spans="1:31" ht="16.5" thickBot="1" x14ac:dyDescent="0.3">
      <c r="A4" s="1091" t="s">
        <v>6091</v>
      </c>
      <c r="B4" s="1069"/>
      <c r="C4" s="1093"/>
      <c r="D4" s="1094">
        <v>59</v>
      </c>
      <c r="E4" s="1093"/>
      <c r="F4" s="1093">
        <v>30</v>
      </c>
      <c r="G4" s="1067" t="s">
        <v>6218</v>
      </c>
      <c r="H4" s="1141">
        <v>8.5000000000000006E-2</v>
      </c>
      <c r="I4" s="1093"/>
      <c r="J4" s="1095"/>
      <c r="K4" s="1095"/>
      <c r="L4" s="1074"/>
      <c r="M4" s="1074"/>
      <c r="N4" s="1093"/>
      <c r="O4" s="1093"/>
      <c r="P4" s="1094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</row>
    <row r="5" spans="1:31" s="1096" customFormat="1" ht="15" customHeight="1" thickBot="1" x14ac:dyDescent="0.3">
      <c r="A5" s="1501" t="s">
        <v>102</v>
      </c>
      <c r="B5" s="1502"/>
      <c r="C5" s="1502"/>
      <c r="D5" s="1574" t="s">
        <v>103</v>
      </c>
      <c r="E5" s="1501" t="s">
        <v>124</v>
      </c>
      <c r="F5" s="1502"/>
      <c r="G5" s="1502"/>
      <c r="H5" s="1503"/>
      <c r="I5" s="1576" t="s">
        <v>104</v>
      </c>
      <c r="J5" s="1578" t="s">
        <v>105</v>
      </c>
      <c r="K5" s="1571" t="s">
        <v>106</v>
      </c>
      <c r="L5" s="1572"/>
      <c r="M5" s="1572"/>
      <c r="N5" s="1572"/>
      <c r="O5" s="1572"/>
      <c r="P5" s="1572"/>
      <c r="Q5" s="1573"/>
    </row>
    <row r="6" spans="1:31" s="1096" customFormat="1" ht="16.5" thickBot="1" x14ac:dyDescent="0.3">
      <c r="A6" s="1402" t="s">
        <v>109</v>
      </c>
      <c r="B6" s="1041" t="s">
        <v>110</v>
      </c>
      <c r="C6" s="1042" t="s">
        <v>111</v>
      </c>
      <c r="D6" s="1575"/>
      <c r="E6" s="1097" t="s">
        <v>112</v>
      </c>
      <c r="F6" s="1001" t="s">
        <v>113</v>
      </c>
      <c r="G6" s="1001" t="s">
        <v>114</v>
      </c>
      <c r="H6" s="1098" t="s">
        <v>5960</v>
      </c>
      <c r="I6" s="1577"/>
      <c r="J6" s="1579"/>
      <c r="K6" s="1568" t="s">
        <v>117</v>
      </c>
      <c r="L6" s="1569"/>
      <c r="M6" s="1569"/>
      <c r="N6" s="1569"/>
      <c r="O6" s="1569"/>
      <c r="P6" s="1569"/>
      <c r="Q6" s="1570"/>
    </row>
    <row r="7" spans="1:31" s="1099" customFormat="1" ht="16.5" thickBot="1" x14ac:dyDescent="0.3">
      <c r="A7" s="1377"/>
      <c r="B7" s="1378"/>
      <c r="C7" s="1379"/>
      <c r="D7" s="1380"/>
      <c r="E7" s="1379"/>
      <c r="F7" s="1379"/>
      <c r="G7" s="1381"/>
      <c r="H7" s="1379"/>
      <c r="I7" s="1379"/>
      <c r="J7" s="1382"/>
      <c r="K7" s="1074" t="s">
        <v>6218</v>
      </c>
      <c r="L7" s="1074" t="s">
        <v>6265</v>
      </c>
      <c r="M7" s="1074" t="s">
        <v>6266</v>
      </c>
      <c r="N7" s="1074" t="s">
        <v>6145</v>
      </c>
      <c r="O7" s="1074" t="s">
        <v>6267</v>
      </c>
      <c r="P7" s="1336" t="s">
        <v>6146</v>
      </c>
      <c r="Q7" s="1337" t="s">
        <v>114</v>
      </c>
    </row>
    <row r="8" spans="1:31" s="1101" customFormat="1" ht="15.75" customHeight="1" x14ac:dyDescent="0.25">
      <c r="A8" s="1404">
        <v>44698</v>
      </c>
      <c r="B8" s="1403" t="s">
        <v>52</v>
      </c>
      <c r="C8" s="1405">
        <v>1118354690</v>
      </c>
      <c r="D8" s="1367">
        <f>A8+$F$4</f>
        <v>44728</v>
      </c>
      <c r="E8" s="1046">
        <f t="shared" ref="E8:E15" si="0">D8-G8</f>
        <v>44728</v>
      </c>
      <c r="F8" s="1369"/>
      <c r="G8" s="1370"/>
      <c r="H8" s="1049">
        <f t="shared" ref="H8:H15" si="1">G8-A8</f>
        <v>-44698</v>
      </c>
      <c r="I8" s="1371">
        <f t="shared" ref="I8:I15" si="2">C8-F8</f>
        <v>1118354690</v>
      </c>
      <c r="J8" s="1322">
        <f t="shared" ref="J8:J15" si="3">C8/360*H8*$G$1</f>
        <v>0</v>
      </c>
      <c r="K8" s="1372"/>
      <c r="L8" s="1373"/>
      <c r="M8" s="1374"/>
      <c r="N8" s="1369"/>
      <c r="O8" s="1375"/>
      <c r="P8" s="1369"/>
      <c r="Q8" s="1376"/>
    </row>
    <row r="9" spans="1:31" s="1101" customFormat="1" ht="15.75" customHeight="1" x14ac:dyDescent="0.25">
      <c r="A9" s="1404">
        <v>44698</v>
      </c>
      <c r="B9" s="1403" t="s">
        <v>52</v>
      </c>
      <c r="C9" s="1405">
        <v>866096169</v>
      </c>
      <c r="D9" s="1367">
        <f t="shared" ref="D9:D15" si="4">A9+$F$4</f>
        <v>44728</v>
      </c>
      <c r="E9" s="1046">
        <f t="shared" si="0"/>
        <v>44728</v>
      </c>
      <c r="F9" s="1369"/>
      <c r="G9" s="1370"/>
      <c r="H9" s="1049">
        <f t="shared" si="1"/>
        <v>-44698</v>
      </c>
      <c r="I9" s="1371">
        <f t="shared" si="2"/>
        <v>866096169</v>
      </c>
      <c r="J9" s="1322">
        <f t="shared" si="3"/>
        <v>0</v>
      </c>
      <c r="K9" s="1372"/>
      <c r="L9" s="1373"/>
      <c r="M9" s="1374"/>
      <c r="N9" s="1369"/>
      <c r="O9" s="1375"/>
      <c r="P9" s="1369"/>
      <c r="Q9" s="1376"/>
    </row>
    <row r="10" spans="1:31" s="1101" customFormat="1" ht="15.75" customHeight="1" x14ac:dyDescent="0.25">
      <c r="A10" s="1404">
        <v>44698</v>
      </c>
      <c r="B10" s="1403" t="s">
        <v>52</v>
      </c>
      <c r="C10" s="1405">
        <v>541239061</v>
      </c>
      <c r="D10" s="1367">
        <f t="shared" si="4"/>
        <v>44728</v>
      </c>
      <c r="E10" s="1046">
        <f t="shared" si="0"/>
        <v>44728</v>
      </c>
      <c r="F10" s="1369"/>
      <c r="G10" s="1370"/>
      <c r="H10" s="1049">
        <f t="shared" si="1"/>
        <v>-44698</v>
      </c>
      <c r="I10" s="1371">
        <f t="shared" si="2"/>
        <v>541239061</v>
      </c>
      <c r="J10" s="1322">
        <f t="shared" si="3"/>
        <v>0</v>
      </c>
      <c r="K10" s="1372"/>
      <c r="L10" s="1373"/>
      <c r="M10" s="1374"/>
      <c r="N10" s="1369"/>
      <c r="O10" s="1375"/>
      <c r="P10" s="1369"/>
      <c r="Q10" s="1376"/>
    </row>
    <row r="11" spans="1:31" s="1101" customFormat="1" ht="15.75" customHeight="1" x14ac:dyDescent="0.25">
      <c r="A11" s="1404">
        <v>44698</v>
      </c>
      <c r="B11" s="1403" t="s">
        <v>4973</v>
      </c>
      <c r="C11" s="1405">
        <v>524447964</v>
      </c>
      <c r="D11" s="1367">
        <f t="shared" si="4"/>
        <v>44728</v>
      </c>
      <c r="E11" s="1046">
        <f t="shared" si="0"/>
        <v>44728</v>
      </c>
      <c r="F11" s="1369"/>
      <c r="G11" s="1370"/>
      <c r="H11" s="1049">
        <f t="shared" si="1"/>
        <v>-44698</v>
      </c>
      <c r="I11" s="1371">
        <f t="shared" si="2"/>
        <v>524447964</v>
      </c>
      <c r="J11" s="1322">
        <f t="shared" si="3"/>
        <v>0</v>
      </c>
      <c r="K11" s="1372"/>
      <c r="L11" s="1373"/>
      <c r="M11" s="1374"/>
      <c r="N11" s="1369"/>
      <c r="O11" s="1375"/>
      <c r="P11" s="1369"/>
      <c r="Q11" s="1376"/>
    </row>
    <row r="12" spans="1:31" s="1101" customFormat="1" ht="15.75" customHeight="1" x14ac:dyDescent="0.25">
      <c r="A12" s="1404">
        <v>44704</v>
      </c>
      <c r="B12" s="1403" t="s">
        <v>59</v>
      </c>
      <c r="C12" s="1405">
        <v>1206850892</v>
      </c>
      <c r="D12" s="1367">
        <f t="shared" si="4"/>
        <v>44734</v>
      </c>
      <c r="E12" s="1046">
        <f t="shared" si="0"/>
        <v>44734</v>
      </c>
      <c r="F12" s="1369"/>
      <c r="G12" s="1370"/>
      <c r="H12" s="1049">
        <f t="shared" si="1"/>
        <v>-44704</v>
      </c>
      <c r="I12" s="1371">
        <f t="shared" si="2"/>
        <v>1206850892</v>
      </c>
      <c r="J12" s="1322">
        <f t="shared" si="3"/>
        <v>0</v>
      </c>
      <c r="K12" s="1372"/>
      <c r="L12" s="1373"/>
      <c r="M12" s="1374"/>
      <c r="N12" s="1369"/>
      <c r="O12" s="1375"/>
      <c r="P12" s="1369"/>
      <c r="Q12" s="1376"/>
    </row>
    <row r="13" spans="1:31" s="1101" customFormat="1" ht="15.75" customHeight="1" x14ac:dyDescent="0.25">
      <c r="A13" s="1404">
        <v>44704</v>
      </c>
      <c r="B13" s="1403" t="s">
        <v>59</v>
      </c>
      <c r="C13" s="1405">
        <v>754867052</v>
      </c>
      <c r="D13" s="1367">
        <f t="shared" si="4"/>
        <v>44734</v>
      </c>
      <c r="E13" s="1046">
        <f t="shared" si="0"/>
        <v>44734</v>
      </c>
      <c r="F13" s="1369"/>
      <c r="G13" s="1370"/>
      <c r="H13" s="1049">
        <f t="shared" si="1"/>
        <v>-44704</v>
      </c>
      <c r="I13" s="1371">
        <f t="shared" si="2"/>
        <v>754867052</v>
      </c>
      <c r="J13" s="1322">
        <f t="shared" si="3"/>
        <v>0</v>
      </c>
      <c r="K13" s="1372"/>
      <c r="L13" s="1373"/>
      <c r="M13" s="1374"/>
      <c r="N13" s="1369"/>
      <c r="O13" s="1375"/>
      <c r="P13" s="1369"/>
      <c r="Q13" s="1376"/>
    </row>
    <row r="14" spans="1:31" s="1101" customFormat="1" ht="15.75" customHeight="1" x14ac:dyDescent="0.25">
      <c r="A14" s="1404">
        <v>44704</v>
      </c>
      <c r="B14" s="1403" t="s">
        <v>55</v>
      </c>
      <c r="C14" s="1405">
        <v>319396400</v>
      </c>
      <c r="D14" s="1367">
        <f t="shared" si="4"/>
        <v>44734</v>
      </c>
      <c r="E14" s="1046">
        <f t="shared" si="0"/>
        <v>44734</v>
      </c>
      <c r="F14" s="1369"/>
      <c r="G14" s="1370"/>
      <c r="H14" s="1049">
        <f t="shared" si="1"/>
        <v>-44704</v>
      </c>
      <c r="I14" s="1371">
        <f t="shared" si="2"/>
        <v>319396400</v>
      </c>
      <c r="J14" s="1322">
        <f t="shared" si="3"/>
        <v>0</v>
      </c>
      <c r="K14" s="1372"/>
      <c r="L14" s="1373"/>
      <c r="M14" s="1374"/>
      <c r="N14" s="1369"/>
      <c r="O14" s="1375"/>
      <c r="P14" s="1369"/>
      <c r="Q14" s="1376"/>
    </row>
    <row r="15" spans="1:31" s="1101" customFormat="1" ht="15.75" customHeight="1" x14ac:dyDescent="0.25">
      <c r="A15" s="1404">
        <v>44704</v>
      </c>
      <c r="B15" s="1403" t="s">
        <v>52</v>
      </c>
      <c r="C15" s="1405">
        <v>255696181</v>
      </c>
      <c r="D15" s="1367">
        <f t="shared" si="4"/>
        <v>44734</v>
      </c>
      <c r="E15" s="1046">
        <f t="shared" si="0"/>
        <v>44734</v>
      </c>
      <c r="F15" s="1369"/>
      <c r="G15" s="1370"/>
      <c r="H15" s="1049">
        <f t="shared" si="1"/>
        <v>-44704</v>
      </c>
      <c r="I15" s="1371">
        <f t="shared" si="2"/>
        <v>255696181</v>
      </c>
      <c r="J15" s="1322">
        <f t="shared" si="3"/>
        <v>0</v>
      </c>
      <c r="K15" s="1372"/>
      <c r="L15" s="1373"/>
      <c r="M15" s="1374"/>
      <c r="N15" s="1369"/>
      <c r="O15" s="1375"/>
      <c r="P15" s="1369"/>
      <c r="Q15" s="1376"/>
    </row>
    <row r="16" spans="1:31" s="1101" customFormat="1" ht="15.75" customHeight="1" x14ac:dyDescent="0.25">
      <c r="A16" s="1364"/>
      <c r="B16" s="1365"/>
      <c r="C16" s="1366"/>
      <c r="D16" s="1367"/>
      <c r="E16" s="1368"/>
      <c r="F16" s="1369"/>
      <c r="G16" s="1370"/>
      <c r="H16" s="1369"/>
      <c r="I16" s="1371"/>
      <c r="J16" s="1371"/>
      <c r="K16" s="1372"/>
      <c r="L16" s="1373"/>
      <c r="M16" s="1374"/>
      <c r="N16" s="1369"/>
      <c r="O16" s="1375"/>
      <c r="P16" s="1369"/>
      <c r="Q16" s="1376"/>
    </row>
    <row r="17" spans="1:17" ht="15" customHeight="1" thickBot="1" x14ac:dyDescent="0.3">
      <c r="A17" s="1567" t="s">
        <v>24</v>
      </c>
      <c r="B17" s="1567"/>
      <c r="C17" s="1362">
        <f>SUM(C8:C15)</f>
        <v>5586948409</v>
      </c>
      <c r="D17" s="1363"/>
      <c r="E17" s="1362"/>
      <c r="F17" s="1362">
        <f>SUM(F8:F8)</f>
        <v>0</v>
      </c>
      <c r="G17" s="1362"/>
      <c r="H17" s="1362"/>
      <c r="I17" s="1362">
        <f>SUM(I8:I15)</f>
        <v>5586948409</v>
      </c>
      <c r="J17" s="1362">
        <f>SUM(J8:J16)</f>
        <v>0</v>
      </c>
      <c r="K17" s="1362"/>
      <c r="L17" s="1362"/>
      <c r="M17" s="1362"/>
      <c r="N17" s="1362">
        <f>SUM(N8:N16)</f>
        <v>0</v>
      </c>
      <c r="O17" s="1362"/>
      <c r="P17" s="1362">
        <f>SUM(P8:P16)</f>
        <v>0</v>
      </c>
      <c r="Q17" s="1362"/>
    </row>
    <row r="18" spans="1:17" x14ac:dyDescent="0.25">
      <c r="L18" s="1050"/>
      <c r="M18" s="1080"/>
    </row>
    <row r="19" spans="1:17" x14ac:dyDescent="0.25">
      <c r="A19" s="1497" t="s">
        <v>6279</v>
      </c>
      <c r="B19" s="1498"/>
      <c r="C19" s="1497"/>
      <c r="D19" s="1497"/>
      <c r="F19" s="1026">
        <v>0</v>
      </c>
      <c r="G19" s="1025"/>
      <c r="H19" s="1100"/>
      <c r="I19" s="1100"/>
      <c r="J19" s="1100"/>
      <c r="L19" s="1089"/>
      <c r="M19" s="1089"/>
      <c r="N19" s="1100"/>
      <c r="O19" s="1100"/>
    </row>
    <row r="20" spans="1:17" x14ac:dyDescent="0.25">
      <c r="A20" s="1497" t="s">
        <v>6280</v>
      </c>
      <c r="B20" s="1497"/>
      <c r="C20" s="1497"/>
      <c r="D20" s="1497"/>
      <c r="F20" s="1029">
        <f>SUM(C8:C15)</f>
        <v>5586948409</v>
      </c>
      <c r="H20" s="1100"/>
      <c r="I20" s="1100"/>
      <c r="J20" s="1100"/>
      <c r="L20" s="1089"/>
      <c r="M20" s="1089"/>
      <c r="N20" s="1100"/>
      <c r="O20" s="1100"/>
    </row>
    <row r="21" spans="1:17" x14ac:dyDescent="0.25">
      <c r="A21" s="1497" t="s">
        <v>6281</v>
      </c>
      <c r="B21" s="1498"/>
      <c r="C21" s="1497"/>
      <c r="D21" s="1497"/>
      <c r="F21" s="1029">
        <f>F17</f>
        <v>0</v>
      </c>
      <c r="L21" s="1089"/>
      <c r="M21" s="1089"/>
    </row>
    <row r="22" spans="1:17" x14ac:dyDescent="0.25">
      <c r="A22" s="1497" t="s">
        <v>6282</v>
      </c>
      <c r="B22" s="1498"/>
      <c r="C22" s="1497"/>
      <c r="D22" s="1497"/>
      <c r="F22" s="1030">
        <f>I17</f>
        <v>5586948409</v>
      </c>
    </row>
    <row r="23" spans="1:17" x14ac:dyDescent="0.25">
      <c r="F23" s="1100"/>
    </row>
    <row r="24" spans="1:17" x14ac:dyDescent="0.25">
      <c r="C24" s="1401"/>
    </row>
    <row r="35" spans="12:13" x14ac:dyDescent="0.25">
      <c r="L35" s="1035"/>
      <c r="M35" s="1035"/>
    </row>
    <row r="36" spans="12:13" x14ac:dyDescent="0.25">
      <c r="L36" s="1090"/>
      <c r="M36" s="1090"/>
    </row>
    <row r="37" spans="12:13" x14ac:dyDescent="0.25">
      <c r="L37" s="1090"/>
      <c r="M37" s="1090"/>
    </row>
    <row r="38" spans="12:13" x14ac:dyDescent="0.25">
      <c r="L38" s="1090"/>
      <c r="M38" s="1090"/>
    </row>
    <row r="39" spans="12:13" x14ac:dyDescent="0.25">
      <c r="L39" s="1090"/>
      <c r="M39" s="1090"/>
    </row>
    <row r="40" spans="12:13" x14ac:dyDescent="0.25">
      <c r="L40" s="1035"/>
      <c r="M40" s="1035"/>
    </row>
    <row r="41" spans="12:13" x14ac:dyDescent="0.25">
      <c r="L41" s="1035"/>
      <c r="M41" s="1035"/>
    </row>
  </sheetData>
  <autoFilter ref="B2:B36"/>
  <mergeCells count="12">
    <mergeCell ref="K6:Q6"/>
    <mergeCell ref="K5:Q5"/>
    <mergeCell ref="D5:D6"/>
    <mergeCell ref="I5:I6"/>
    <mergeCell ref="J5:J6"/>
    <mergeCell ref="A22:D22"/>
    <mergeCell ref="A17:B17"/>
    <mergeCell ref="A5:C5"/>
    <mergeCell ref="E5:H5"/>
    <mergeCell ref="A19:D19"/>
    <mergeCell ref="A20:D20"/>
    <mergeCell ref="A21:D21"/>
  </mergeCells>
  <pageMargins left="0.75" right="0.75" top="1" bottom="1" header="0.51" footer="0.51"/>
  <pageSetup scale="4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7"/>
  <sheetViews>
    <sheetView workbookViewId="0">
      <pane xSplit="2" topLeftCell="C1" activePane="topRight" state="frozen"/>
      <selection pane="topRight" sqref="A1:XFD1048576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41.8554687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6229</v>
      </c>
      <c r="G1" s="254" t="s">
        <v>5468</v>
      </c>
    </row>
    <row r="2" spans="1:29" s="1" customFormat="1" x14ac:dyDescent="0.25">
      <c r="A2" s="1583" t="s">
        <v>131</v>
      </c>
      <c r="B2" s="1583" t="s">
        <v>3436</v>
      </c>
      <c r="C2" s="1409"/>
      <c r="D2" s="1409"/>
      <c r="E2" s="1584" t="s">
        <v>3443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4"/>
      <c r="AB2" s="1584"/>
      <c r="AC2" s="1585" t="s">
        <v>24</v>
      </c>
    </row>
    <row r="3" spans="1:29" s="1" customFormat="1" x14ac:dyDescent="0.25">
      <c r="A3" s="1583"/>
      <c r="B3" s="1583"/>
      <c r="C3" s="1409"/>
      <c r="D3" s="1409"/>
      <c r="E3" s="1410" t="s">
        <v>3456</v>
      </c>
      <c r="F3" s="1410" t="s">
        <v>3444</v>
      </c>
      <c r="G3" s="1410" t="s">
        <v>3445</v>
      </c>
      <c r="H3" s="1410" t="s">
        <v>3444</v>
      </c>
      <c r="I3" s="1410" t="s">
        <v>3446</v>
      </c>
      <c r="J3" s="1410" t="s">
        <v>3444</v>
      </c>
      <c r="K3" s="1410" t="s">
        <v>3447</v>
      </c>
      <c r="L3" s="1410" t="s">
        <v>3444</v>
      </c>
      <c r="M3" s="1410" t="s">
        <v>3448</v>
      </c>
      <c r="N3" s="1410" t="s">
        <v>3444</v>
      </c>
      <c r="O3" s="1410" t="s">
        <v>3449</v>
      </c>
      <c r="P3" s="1410" t="s">
        <v>3444</v>
      </c>
      <c r="Q3" s="1410" t="s">
        <v>3450</v>
      </c>
      <c r="R3" s="1410" t="s">
        <v>3444</v>
      </c>
      <c r="S3" s="1410" t="s">
        <v>3451</v>
      </c>
      <c r="T3" s="1410" t="s">
        <v>3444</v>
      </c>
      <c r="U3" s="1410" t="s">
        <v>3452</v>
      </c>
      <c r="V3" s="1410" t="s">
        <v>3444</v>
      </c>
      <c r="W3" s="1410" t="s">
        <v>3453</v>
      </c>
      <c r="X3" s="1410" t="s">
        <v>3444</v>
      </c>
      <c r="Y3" s="1410" t="s">
        <v>3454</v>
      </c>
      <c r="Z3" s="1410" t="s">
        <v>3444</v>
      </c>
      <c r="AA3" s="1410" t="s">
        <v>3455</v>
      </c>
      <c r="AB3" s="1410" t="s">
        <v>3444</v>
      </c>
      <c r="AC3" s="1585"/>
    </row>
    <row r="4" spans="1:29" x14ac:dyDescent="0.25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6"/>
      <c r="B5" s="896" t="s">
        <v>6004</v>
      </c>
      <c r="C5" s="896"/>
      <c r="D5" s="896"/>
      <c r="E5" s="852">
        <v>44594</v>
      </c>
      <c r="F5" s="565">
        <v>39960000</v>
      </c>
      <c r="G5" s="852">
        <v>44621</v>
      </c>
      <c r="H5" s="565">
        <v>42480000</v>
      </c>
      <c r="I5" s="852">
        <v>44648</v>
      </c>
      <c r="J5" s="565">
        <v>39120000</v>
      </c>
      <c r="K5" s="852">
        <v>44679</v>
      </c>
      <c r="L5" s="565">
        <v>46490000</v>
      </c>
      <c r="M5" s="370"/>
      <c r="N5" s="370"/>
      <c r="O5" s="852"/>
      <c r="P5" s="565"/>
      <c r="Q5" s="852"/>
      <c r="R5" s="565"/>
      <c r="S5" s="852"/>
      <c r="T5" s="565"/>
      <c r="U5" s="852"/>
      <c r="V5" s="565"/>
      <c r="W5" s="852"/>
      <c r="X5" s="565"/>
      <c r="Y5" s="852"/>
      <c r="Z5" s="565"/>
      <c r="AA5" s="852"/>
      <c r="AB5" s="565"/>
      <c r="AC5" s="362"/>
    </row>
    <row r="6" spans="1:29" x14ac:dyDescent="0.25">
      <c r="A6" s="896"/>
      <c r="B6" s="896" t="s">
        <v>6005</v>
      </c>
      <c r="C6" s="896"/>
      <c r="D6" s="896"/>
      <c r="E6" s="852"/>
      <c r="F6" s="565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 x14ac:dyDescent="0.25">
      <c r="A7" s="896"/>
      <c r="B7" s="896" t="s">
        <v>6006</v>
      </c>
      <c r="C7" s="362"/>
      <c r="D7" s="362"/>
      <c r="E7" s="852">
        <v>44594</v>
      </c>
      <c r="F7" s="565">
        <v>15093750</v>
      </c>
      <c r="G7" s="852">
        <v>44621</v>
      </c>
      <c r="H7" s="565">
        <v>15214875</v>
      </c>
      <c r="I7" s="852">
        <v>44651</v>
      </c>
      <c r="J7" s="565">
        <v>17217150</v>
      </c>
      <c r="K7" s="852">
        <v>44679</v>
      </c>
      <c r="L7" s="565">
        <v>23280850</v>
      </c>
      <c r="M7" s="370"/>
      <c r="N7" s="370"/>
      <c r="O7" s="852"/>
      <c r="P7" s="565"/>
      <c r="Q7" s="852"/>
      <c r="R7" s="565"/>
      <c r="S7" s="852"/>
      <c r="T7" s="565"/>
      <c r="U7" s="852"/>
      <c r="V7" s="565"/>
      <c r="W7" s="852"/>
      <c r="X7" s="565"/>
      <c r="Y7" s="852"/>
      <c r="Z7" s="565"/>
      <c r="AA7" s="852"/>
      <c r="AB7" s="565"/>
      <c r="AC7" s="362"/>
    </row>
    <row r="8" spans="1:29" x14ac:dyDescent="0.25">
      <c r="A8" s="362"/>
      <c r="B8" s="896" t="s">
        <v>5946</v>
      </c>
      <c r="C8" s="362"/>
      <c r="D8" s="362"/>
      <c r="E8" s="852">
        <v>44594</v>
      </c>
      <c r="F8" s="565">
        <v>48383888</v>
      </c>
      <c r="G8" s="852">
        <v>44621</v>
      </c>
      <c r="H8" s="565">
        <v>76624381</v>
      </c>
      <c r="I8" s="852">
        <v>44651</v>
      </c>
      <c r="J8" s="565">
        <v>78683952</v>
      </c>
      <c r="K8" s="852">
        <v>44679</v>
      </c>
      <c r="L8" s="565">
        <v>85291709</v>
      </c>
      <c r="M8" s="852"/>
      <c r="N8" s="565"/>
      <c r="O8" s="852"/>
      <c r="P8" s="565"/>
      <c r="Q8" s="852"/>
      <c r="R8" s="565"/>
      <c r="S8" s="852"/>
      <c r="T8" s="565"/>
      <c r="U8" s="852"/>
      <c r="V8" s="565"/>
      <c r="W8" s="852"/>
      <c r="X8" s="565"/>
      <c r="Y8" s="852"/>
      <c r="Z8" s="565"/>
      <c r="AA8" s="852"/>
      <c r="AB8" s="565"/>
      <c r="AC8" s="362"/>
    </row>
    <row r="9" spans="1:29" x14ac:dyDescent="0.25">
      <c r="A9" s="362"/>
      <c r="B9" s="896" t="s">
        <v>5984</v>
      </c>
      <c r="C9" s="362"/>
      <c r="D9" s="362"/>
      <c r="E9" s="852"/>
      <c r="F9" s="565"/>
      <c r="G9" s="852"/>
      <c r="H9" s="565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 x14ac:dyDescent="0.25">
      <c r="A10" s="362"/>
      <c r="B10" s="896" t="s">
        <v>6072</v>
      </c>
      <c r="C10" s="362"/>
      <c r="D10" s="362"/>
      <c r="E10" s="852"/>
      <c r="F10" s="565"/>
      <c r="G10" s="370"/>
      <c r="H10" s="565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 x14ac:dyDescent="0.25">
      <c r="A11" s="362"/>
      <c r="B11" s="896" t="s">
        <v>6107</v>
      </c>
      <c r="C11" s="362"/>
      <c r="D11" s="362"/>
      <c r="E11" s="852"/>
      <c r="F11" s="565"/>
      <c r="G11" s="370"/>
      <c r="H11" s="565"/>
      <c r="I11" s="370"/>
      <c r="J11" s="370"/>
      <c r="K11" s="852"/>
      <c r="L11" s="565"/>
      <c r="M11" s="852"/>
      <c r="N11" s="565"/>
      <c r="O11" s="852"/>
      <c r="P11" s="565"/>
      <c r="Q11" s="370"/>
      <c r="R11" s="370"/>
      <c r="S11" s="852"/>
      <c r="T11" s="565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 x14ac:dyDescent="0.25">
      <c r="A12" s="362"/>
      <c r="B12" s="896" t="s">
        <v>6153</v>
      </c>
      <c r="C12" s="362"/>
      <c r="D12" s="362"/>
      <c r="E12" s="852"/>
      <c r="F12" s="565"/>
      <c r="G12" s="370"/>
      <c r="H12" s="565"/>
      <c r="I12" s="370"/>
      <c r="J12" s="370"/>
      <c r="K12" s="852"/>
      <c r="L12" s="565"/>
      <c r="M12" s="852"/>
      <c r="N12" s="565"/>
      <c r="O12" s="852"/>
      <c r="P12" s="565"/>
      <c r="Q12" s="370"/>
      <c r="R12" s="370"/>
      <c r="S12" s="852"/>
      <c r="T12" s="565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 x14ac:dyDescent="0.25">
      <c r="A13" s="362"/>
      <c r="B13" s="896" t="s">
        <v>6255</v>
      </c>
      <c r="C13" s="362"/>
      <c r="D13" s="362"/>
      <c r="E13" s="852">
        <v>44599</v>
      </c>
      <c r="F13" s="565">
        <v>800000</v>
      </c>
      <c r="G13" s="852"/>
      <c r="H13" s="565"/>
      <c r="I13" s="852">
        <v>44651</v>
      </c>
      <c r="J13" s="565">
        <v>768000</v>
      </c>
      <c r="K13" s="852"/>
      <c r="L13" s="565"/>
      <c r="M13" s="852"/>
      <c r="N13" s="565"/>
      <c r="O13" s="852"/>
      <c r="P13" s="565"/>
      <c r="Q13" s="370"/>
      <c r="R13" s="370"/>
      <c r="S13" s="852"/>
      <c r="T13" s="565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 x14ac:dyDescent="0.25">
      <c r="A14" s="362"/>
      <c r="B14" s="896" t="s">
        <v>6256</v>
      </c>
      <c r="C14" s="362"/>
      <c r="D14" s="362"/>
      <c r="E14" s="852">
        <v>44599</v>
      </c>
      <c r="F14" s="565">
        <v>1080000</v>
      </c>
      <c r="G14" s="370"/>
      <c r="H14" s="565"/>
      <c r="I14" s="370"/>
      <c r="J14" s="370"/>
      <c r="K14" s="852"/>
      <c r="L14" s="565"/>
      <c r="M14" s="852"/>
      <c r="N14" s="565"/>
      <c r="O14" s="852"/>
      <c r="P14" s="565"/>
      <c r="Q14" s="370"/>
      <c r="R14" s="370"/>
      <c r="S14" s="852"/>
      <c r="T14" s="565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 x14ac:dyDescent="0.25">
      <c r="A15" s="362"/>
      <c r="B15" s="896" t="s">
        <v>3464</v>
      </c>
      <c r="C15" s="362"/>
      <c r="D15" s="362"/>
      <c r="E15" s="852">
        <v>44599</v>
      </c>
      <c r="F15" s="565">
        <f>3060025+2638810+3791667</f>
        <v>9490502</v>
      </c>
      <c r="G15" s="370"/>
      <c r="H15" s="565"/>
      <c r="I15" s="852" t="s">
        <v>6286</v>
      </c>
      <c r="J15" s="565"/>
      <c r="K15" s="852"/>
      <c r="L15" s="565"/>
      <c r="M15" s="852"/>
      <c r="N15" s="565"/>
      <c r="O15" s="852"/>
      <c r="P15" s="565"/>
      <c r="Q15" s="370"/>
      <c r="R15" s="370"/>
      <c r="S15" s="852"/>
      <c r="T15" s="565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 x14ac:dyDescent="0.25">
      <c r="A16" s="896"/>
      <c r="B16" s="900" t="s">
        <v>6016</v>
      </c>
      <c r="C16" s="896"/>
      <c r="D16" s="896"/>
      <c r="E16" s="852"/>
      <c r="F16" s="565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 x14ac:dyDescent="0.25">
      <c r="A17" s="896"/>
      <c r="B17" s="941" t="s">
        <v>6081</v>
      </c>
      <c r="C17" s="896"/>
      <c r="D17" s="896"/>
      <c r="E17" s="852">
        <v>44629</v>
      </c>
      <c r="F17" s="565">
        <v>10670000</v>
      </c>
      <c r="G17" s="852">
        <v>44662</v>
      </c>
      <c r="H17" s="565">
        <v>7517500</v>
      </c>
      <c r="I17" s="852">
        <v>44669</v>
      </c>
      <c r="J17" s="565">
        <v>13580000</v>
      </c>
      <c r="K17" s="852"/>
      <c r="L17" s="565"/>
      <c r="M17" s="852"/>
      <c r="N17" s="565"/>
      <c r="O17" s="852"/>
      <c r="P17" s="565"/>
      <c r="Q17" s="852"/>
      <c r="R17" s="565"/>
      <c r="S17" s="852"/>
      <c r="T17" s="565"/>
      <c r="U17" s="852"/>
      <c r="V17" s="565"/>
      <c r="W17" s="852"/>
      <c r="X17" s="565"/>
      <c r="Y17" s="370"/>
      <c r="Z17" s="370"/>
      <c r="AA17" s="370"/>
      <c r="AB17" s="370"/>
      <c r="AC17" s="362"/>
    </row>
    <row r="18" spans="1:29" x14ac:dyDescent="0.25">
      <c r="A18" s="896"/>
      <c r="B18" s="896" t="s">
        <v>6045</v>
      </c>
      <c r="C18" s="896"/>
      <c r="D18" s="896"/>
      <c r="E18" s="852"/>
      <c r="F18" s="565"/>
      <c r="G18" s="852">
        <v>44662</v>
      </c>
      <c r="H18" s="565">
        <v>6790000</v>
      </c>
      <c r="I18" s="852">
        <v>44669</v>
      </c>
      <c r="J18" s="565">
        <v>10864000</v>
      </c>
      <c r="K18" s="852"/>
      <c r="L18" s="565"/>
      <c r="M18" s="852"/>
      <c r="N18" s="565"/>
      <c r="O18" s="852"/>
      <c r="P18" s="565"/>
      <c r="Q18" s="852"/>
      <c r="R18" s="565"/>
      <c r="S18" s="370"/>
      <c r="T18" s="370"/>
      <c r="U18" s="852"/>
      <c r="V18" s="565"/>
      <c r="W18" s="852"/>
      <c r="X18" s="565"/>
      <c r="Y18" s="370"/>
      <c r="Z18" s="370"/>
      <c r="AA18" s="370"/>
      <c r="AB18" s="370"/>
      <c r="AC18" s="362"/>
    </row>
    <row r="19" spans="1:29" x14ac:dyDescent="0.25">
      <c r="A19" s="896"/>
      <c r="B19" s="896" t="s">
        <v>6273</v>
      </c>
      <c r="C19" s="896"/>
      <c r="D19" s="896"/>
      <c r="E19" s="852">
        <v>44641</v>
      </c>
      <c r="F19" s="565">
        <v>3831500</v>
      </c>
      <c r="G19" s="852">
        <v>44655</v>
      </c>
      <c r="H19" s="565">
        <v>3831500</v>
      </c>
      <c r="I19" s="370"/>
      <c r="J19" s="370"/>
      <c r="K19" s="852"/>
      <c r="L19" s="565"/>
      <c r="M19" s="852"/>
      <c r="N19" s="565"/>
      <c r="O19" s="852"/>
      <c r="P19" s="565"/>
      <c r="Q19" s="852"/>
      <c r="R19" s="565"/>
      <c r="S19" s="370"/>
      <c r="T19" s="370"/>
      <c r="U19" s="852"/>
      <c r="V19" s="565"/>
      <c r="W19" s="852"/>
      <c r="X19" s="565"/>
      <c r="Y19" s="370"/>
      <c r="Z19" s="370"/>
      <c r="AA19" s="370"/>
      <c r="AB19" s="370"/>
      <c r="AC19" s="362"/>
    </row>
    <row r="20" spans="1:29" x14ac:dyDescent="0.25">
      <c r="A20" s="896"/>
      <c r="B20" s="896" t="s">
        <v>6215</v>
      </c>
      <c r="C20" s="896"/>
      <c r="D20" s="896"/>
      <c r="E20" s="852"/>
      <c r="F20" s="565"/>
      <c r="G20" s="370"/>
      <c r="H20" s="565"/>
      <c r="I20" s="370"/>
      <c r="J20" s="370"/>
      <c r="K20" s="852"/>
      <c r="L20" s="565"/>
      <c r="M20" s="852"/>
      <c r="N20" s="565"/>
      <c r="O20" s="852"/>
      <c r="P20" s="565"/>
      <c r="Q20" s="852"/>
      <c r="R20" s="565"/>
      <c r="S20" s="370"/>
      <c r="T20" s="370"/>
      <c r="U20" s="852"/>
      <c r="V20" s="565"/>
      <c r="W20" s="852"/>
      <c r="X20" s="565"/>
      <c r="Y20" s="370"/>
      <c r="Z20" s="370"/>
      <c r="AA20" s="370"/>
      <c r="AB20" s="370"/>
      <c r="AC20" s="362"/>
    </row>
    <row r="21" spans="1:29" x14ac:dyDescent="0.25">
      <c r="A21" s="896"/>
      <c r="B21" s="896" t="s">
        <v>6274</v>
      </c>
      <c r="C21" s="896"/>
      <c r="D21" s="896"/>
      <c r="E21" s="852">
        <v>44641</v>
      </c>
      <c r="F21" s="565">
        <v>5505817</v>
      </c>
      <c r="G21" s="370"/>
      <c r="H21" s="565"/>
      <c r="I21" s="370"/>
      <c r="J21" s="370"/>
      <c r="K21" s="852"/>
      <c r="L21" s="565"/>
      <c r="M21" s="852"/>
      <c r="N21" s="565"/>
      <c r="O21" s="852"/>
      <c r="P21" s="565"/>
      <c r="Q21" s="852"/>
      <c r="R21" s="565"/>
      <c r="S21" s="370"/>
      <c r="T21" s="370"/>
      <c r="U21" s="852"/>
      <c r="V21" s="565"/>
      <c r="W21" s="852"/>
      <c r="X21" s="565"/>
      <c r="Y21" s="370"/>
      <c r="Z21" s="370"/>
      <c r="AA21" s="370"/>
      <c r="AB21" s="370"/>
      <c r="AC21" s="362"/>
    </row>
    <row r="22" spans="1:29" x14ac:dyDescent="0.25">
      <c r="A22" s="896"/>
      <c r="B22" s="896" t="s">
        <v>6275</v>
      </c>
      <c r="C22" s="896"/>
      <c r="D22" s="896"/>
      <c r="E22" s="852">
        <v>44641</v>
      </c>
      <c r="F22" s="565">
        <v>3497400</v>
      </c>
      <c r="G22" s="370"/>
      <c r="H22" s="565"/>
      <c r="I22" s="370"/>
      <c r="J22" s="370"/>
      <c r="K22" s="852"/>
      <c r="L22" s="565"/>
      <c r="M22" s="852"/>
      <c r="N22" s="565"/>
      <c r="O22" s="852"/>
      <c r="P22" s="565"/>
      <c r="Q22" s="852"/>
      <c r="R22" s="565"/>
      <c r="S22" s="370"/>
      <c r="T22" s="370"/>
      <c r="U22" s="852"/>
      <c r="V22" s="565"/>
      <c r="W22" s="852"/>
      <c r="X22" s="565"/>
      <c r="Y22" s="370"/>
      <c r="Z22" s="370"/>
      <c r="AA22" s="370"/>
      <c r="AB22" s="370"/>
      <c r="AC22" s="362"/>
    </row>
    <row r="23" spans="1:29" x14ac:dyDescent="0.25">
      <c r="A23" s="896"/>
      <c r="B23" s="896" t="s">
        <v>6050</v>
      </c>
      <c r="C23" s="896"/>
      <c r="D23" s="896"/>
      <c r="E23" s="852"/>
      <c r="F23" s="565"/>
      <c r="G23" s="852"/>
      <c r="H23" s="565"/>
      <c r="I23" s="852"/>
      <c r="J23" s="565"/>
      <c r="K23" s="852"/>
      <c r="L23" s="565"/>
      <c r="M23" s="852"/>
      <c r="N23" s="565"/>
      <c r="O23" s="852"/>
      <c r="P23" s="565"/>
      <c r="Q23" s="852"/>
      <c r="R23" s="565"/>
      <c r="S23" s="852"/>
      <c r="T23" s="565"/>
      <c r="U23" s="370"/>
      <c r="V23" s="565"/>
      <c r="W23" s="370"/>
      <c r="X23" s="565"/>
      <c r="Y23" s="370"/>
      <c r="Z23" s="370"/>
      <c r="AA23" s="370"/>
      <c r="AB23" s="370"/>
      <c r="AC23" s="362"/>
    </row>
    <row r="24" spans="1:29" x14ac:dyDescent="0.25">
      <c r="A24" s="896"/>
      <c r="B24" s="896" t="s">
        <v>6051</v>
      </c>
      <c r="C24" s="896"/>
      <c r="D24" s="896"/>
      <c r="E24" s="852">
        <v>44629</v>
      </c>
      <c r="F24" s="565">
        <v>9375438</v>
      </c>
      <c r="G24" s="852">
        <v>44641</v>
      </c>
      <c r="H24" s="565">
        <v>11370728</v>
      </c>
      <c r="I24" s="852">
        <v>44671</v>
      </c>
      <c r="J24" s="565">
        <v>36978146</v>
      </c>
      <c r="K24" s="852"/>
      <c r="L24" s="565"/>
      <c r="M24" s="370"/>
      <c r="N24" s="370"/>
      <c r="O24" s="852"/>
      <c r="P24" s="565"/>
      <c r="Q24" s="852"/>
      <c r="R24" s="565"/>
      <c r="S24" s="852"/>
      <c r="T24" s="565"/>
      <c r="U24" s="852"/>
      <c r="V24" s="565"/>
      <c r="W24" s="852"/>
      <c r="X24" s="565"/>
      <c r="Y24" s="852"/>
      <c r="Z24" s="565"/>
      <c r="AA24" s="370"/>
      <c r="AB24" s="370"/>
      <c r="AC24" s="362"/>
    </row>
    <row r="25" spans="1:29" x14ac:dyDescent="0.25">
      <c r="A25" s="896"/>
      <c r="B25" s="896" t="s">
        <v>6052</v>
      </c>
      <c r="C25" s="896"/>
      <c r="D25" s="896"/>
      <c r="E25" s="852">
        <v>44651</v>
      </c>
      <c r="F25" s="565">
        <v>26423673</v>
      </c>
      <c r="G25" s="852">
        <v>44651</v>
      </c>
      <c r="H25" s="565">
        <v>24224699</v>
      </c>
      <c r="I25" s="852"/>
      <c r="J25" s="565"/>
      <c r="K25" s="852"/>
      <c r="L25" s="565"/>
      <c r="M25" s="852"/>
      <c r="N25" s="565"/>
      <c r="O25" s="852"/>
      <c r="P25" s="565"/>
      <c r="Q25" s="852"/>
      <c r="R25" s="565"/>
      <c r="S25" s="852"/>
      <c r="T25" s="565"/>
      <c r="U25" s="852"/>
      <c r="V25" s="565"/>
      <c r="W25" s="852"/>
      <c r="X25" s="565"/>
      <c r="Y25" s="370"/>
      <c r="Z25" s="370"/>
      <c r="AA25" s="370"/>
      <c r="AB25" s="370"/>
      <c r="AC25" s="362"/>
    </row>
    <row r="26" spans="1:29" x14ac:dyDescent="0.25">
      <c r="A26" s="896"/>
      <c r="B26" s="896" t="s">
        <v>6054</v>
      </c>
      <c r="C26" s="896"/>
      <c r="D26" s="896"/>
      <c r="E26" s="852">
        <v>44621</v>
      </c>
      <c r="F26" s="565">
        <v>26200000</v>
      </c>
      <c r="G26" s="852">
        <v>44634</v>
      </c>
      <c r="H26" s="565">
        <v>21403750</v>
      </c>
      <c r="I26" s="852">
        <v>44669</v>
      </c>
      <c r="J26" s="565">
        <v>27065000</v>
      </c>
      <c r="K26" s="852">
        <v>44708</v>
      </c>
      <c r="L26" s="565">
        <v>27430000</v>
      </c>
      <c r="M26" s="852"/>
      <c r="N26" s="565"/>
      <c r="O26" s="852"/>
      <c r="P26" s="565"/>
      <c r="Q26" s="852"/>
      <c r="R26" s="565"/>
      <c r="S26" s="852"/>
      <c r="T26" s="565"/>
      <c r="U26" s="852"/>
      <c r="V26" s="565"/>
      <c r="W26" s="852"/>
      <c r="X26" s="565"/>
      <c r="Y26" s="852"/>
      <c r="Z26" s="565"/>
      <c r="AA26" s="370"/>
      <c r="AB26" s="370"/>
      <c r="AC26" s="362"/>
    </row>
    <row r="27" spans="1:29" x14ac:dyDescent="0.25">
      <c r="A27" s="896"/>
      <c r="B27" s="896" t="s">
        <v>6077</v>
      </c>
      <c r="C27" s="896"/>
      <c r="D27" s="896"/>
      <c r="E27" s="852">
        <v>44613</v>
      </c>
      <c r="F27" s="565">
        <v>132949948</v>
      </c>
      <c r="G27" s="852">
        <v>44648</v>
      </c>
      <c r="H27" s="565">
        <v>52903893</v>
      </c>
      <c r="I27" s="852">
        <v>44676</v>
      </c>
      <c r="J27" s="565">
        <v>107944230</v>
      </c>
      <c r="K27" s="852"/>
      <c r="L27" s="565"/>
      <c r="M27" s="852"/>
      <c r="N27" s="565"/>
      <c r="O27" s="852"/>
      <c r="P27" s="565"/>
      <c r="Q27" s="852"/>
      <c r="R27" s="565"/>
      <c r="S27" s="852"/>
      <c r="T27" s="565"/>
      <c r="U27" s="852"/>
      <c r="V27" s="565"/>
      <c r="W27" s="852"/>
      <c r="X27" s="565"/>
      <c r="Y27" s="852"/>
      <c r="Z27" s="565"/>
      <c r="AA27" s="370"/>
      <c r="AB27" s="370"/>
      <c r="AC27" s="362"/>
    </row>
    <row r="28" spans="1:29" x14ac:dyDescent="0.25">
      <c r="A28" s="896"/>
      <c r="B28" s="896" t="s">
        <v>6225</v>
      </c>
      <c r="C28" s="896"/>
      <c r="D28" s="896"/>
      <c r="E28" s="852"/>
      <c r="F28" s="852"/>
      <c r="G28" s="852"/>
      <c r="H28" s="852"/>
      <c r="I28" s="852"/>
      <c r="J28" s="852"/>
      <c r="K28" s="852"/>
      <c r="L28" s="852"/>
      <c r="M28" s="852"/>
      <c r="N28" s="852"/>
      <c r="O28" s="852"/>
      <c r="P28" s="852"/>
      <c r="Q28" s="852"/>
      <c r="R28" s="852"/>
      <c r="S28" s="852"/>
      <c r="T28" s="852"/>
      <c r="U28" s="852"/>
      <c r="V28" s="565"/>
      <c r="W28" s="852"/>
      <c r="X28" s="565"/>
      <c r="Y28" s="370"/>
      <c r="Z28" s="370"/>
      <c r="AA28" s="370"/>
      <c r="AB28" s="370"/>
      <c r="AC28" s="362"/>
    </row>
    <row r="29" spans="1:29" x14ac:dyDescent="0.25">
      <c r="A29" s="896"/>
      <c r="B29" s="896" t="s">
        <v>6226</v>
      </c>
      <c r="C29" s="896"/>
      <c r="D29" s="896"/>
      <c r="E29" s="852"/>
      <c r="F29" s="852"/>
      <c r="G29" s="852"/>
      <c r="H29" s="852"/>
      <c r="I29" s="852"/>
      <c r="J29" s="852"/>
      <c r="K29" s="852"/>
      <c r="L29" s="852"/>
      <c r="M29" s="852"/>
      <c r="N29" s="852"/>
      <c r="O29" s="852"/>
      <c r="P29" s="852"/>
      <c r="Q29" s="852"/>
      <c r="R29" s="852"/>
      <c r="S29" s="852"/>
      <c r="T29" s="852"/>
      <c r="U29" s="852"/>
      <c r="V29" s="565"/>
      <c r="W29" s="852"/>
      <c r="X29" s="565"/>
      <c r="Y29" s="370"/>
      <c r="Z29" s="370"/>
      <c r="AA29" s="370"/>
      <c r="AB29" s="370"/>
      <c r="AC29" s="362"/>
    </row>
    <row r="30" spans="1:29" x14ac:dyDescent="0.25">
      <c r="A30" s="896"/>
      <c r="B30" s="896" t="s">
        <v>6227</v>
      </c>
      <c r="C30" s="896"/>
      <c r="D30" s="896"/>
      <c r="E30" s="852"/>
      <c r="F30" s="852"/>
      <c r="G30" s="852"/>
      <c r="H30" s="852"/>
      <c r="I30" s="852"/>
      <c r="J30" s="852"/>
      <c r="K30" s="852"/>
      <c r="L30" s="852"/>
      <c r="M30" s="852"/>
      <c r="N30" s="852"/>
      <c r="O30" s="852"/>
      <c r="P30" s="852"/>
      <c r="Q30" s="852"/>
      <c r="R30" s="852"/>
      <c r="S30" s="852"/>
      <c r="T30" s="852"/>
      <c r="U30" s="852"/>
      <c r="V30" s="565"/>
      <c r="W30" s="852"/>
      <c r="X30" s="565"/>
      <c r="Y30" s="370"/>
      <c r="Z30" s="370"/>
      <c r="AA30" s="370"/>
      <c r="AB30" s="370"/>
      <c r="AC30" s="362"/>
    </row>
    <row r="31" spans="1:29" x14ac:dyDescent="0.25">
      <c r="A31" s="896"/>
      <c r="B31" s="896" t="s">
        <v>6079</v>
      </c>
      <c r="C31" s="896"/>
      <c r="D31" s="896"/>
      <c r="E31" s="852">
        <v>44651</v>
      </c>
      <c r="F31" s="565">
        <v>40100000</v>
      </c>
      <c r="G31" s="852">
        <v>44651</v>
      </c>
      <c r="H31" s="565">
        <v>35200000</v>
      </c>
      <c r="I31" s="852">
        <v>44690</v>
      </c>
      <c r="J31" s="565">
        <v>28375000</v>
      </c>
      <c r="K31" s="852"/>
      <c r="L31" s="565"/>
      <c r="M31" s="852"/>
      <c r="N31" s="565"/>
      <c r="O31" s="852"/>
      <c r="P31" s="565"/>
      <c r="Q31" s="852"/>
      <c r="R31" s="565"/>
      <c r="S31" s="852"/>
      <c r="T31" s="565"/>
      <c r="U31" s="852"/>
      <c r="V31" s="565"/>
      <c r="W31" s="370"/>
      <c r="X31" s="370"/>
      <c r="Y31" s="370"/>
      <c r="Z31" s="370"/>
      <c r="AA31" s="370"/>
      <c r="AB31" s="370"/>
      <c r="AC31" s="362"/>
    </row>
    <row r="32" spans="1:29" x14ac:dyDescent="0.25">
      <c r="A32" s="896"/>
      <c r="B32" s="896"/>
      <c r="C32" s="896"/>
      <c r="D32" s="896"/>
      <c r="E32" s="587">
        <v>44690</v>
      </c>
      <c r="F32" s="1586">
        <v>98800000</v>
      </c>
      <c r="G32" s="1586"/>
      <c r="H32" s="1586"/>
      <c r="I32" s="1586"/>
      <c r="J32" s="370"/>
      <c r="K32" s="852"/>
      <c r="L32" s="1587"/>
      <c r="M32" s="1588"/>
      <c r="N32" s="1588"/>
      <c r="O32" s="1588"/>
      <c r="P32" s="1589"/>
      <c r="Q32" s="852"/>
      <c r="R32" s="1587"/>
      <c r="S32" s="1588"/>
      <c r="T32" s="1588"/>
      <c r="U32" s="1588"/>
      <c r="V32" s="1589"/>
      <c r="W32" s="370"/>
      <c r="X32" s="370"/>
      <c r="Y32" s="370"/>
      <c r="Z32" s="370"/>
      <c r="AA32" s="370"/>
      <c r="AB32" s="370"/>
      <c r="AC32" s="362"/>
    </row>
    <row r="33" spans="1:29" x14ac:dyDescent="0.25">
      <c r="A33" s="896"/>
      <c r="B33" s="896" t="s">
        <v>6089</v>
      </c>
      <c r="C33" s="896"/>
      <c r="D33" s="896"/>
      <c r="E33" s="852"/>
      <c r="F33" s="565"/>
      <c r="G33" s="370"/>
      <c r="H33" s="370"/>
      <c r="I33" s="370"/>
      <c r="J33" s="1427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62"/>
    </row>
    <row r="34" spans="1:29" x14ac:dyDescent="0.25">
      <c r="A34" s="896"/>
      <c r="B34" s="896" t="s">
        <v>6120</v>
      </c>
      <c r="C34" s="896"/>
      <c r="D34" s="896"/>
      <c r="E34" s="852"/>
      <c r="F34" s="565"/>
      <c r="G34" s="852"/>
      <c r="H34" s="565"/>
      <c r="I34" s="852"/>
      <c r="J34" s="1425"/>
      <c r="K34" s="852"/>
      <c r="L34" s="565"/>
      <c r="M34" s="852"/>
      <c r="N34" s="565"/>
      <c r="O34" s="852"/>
      <c r="P34" s="565"/>
      <c r="Q34" s="852"/>
      <c r="R34" s="565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 x14ac:dyDescent="0.25">
      <c r="A35" s="896"/>
      <c r="B35" s="896"/>
      <c r="C35" s="896"/>
      <c r="D35" s="896"/>
      <c r="E35" s="587"/>
      <c r="F35" s="1586"/>
      <c r="G35" s="1586"/>
      <c r="H35" s="1586"/>
      <c r="I35" s="1586"/>
      <c r="J35" s="1424"/>
      <c r="K35" s="1424"/>
      <c r="L35" s="1425"/>
      <c r="M35" s="852"/>
      <c r="N35" s="1587"/>
      <c r="O35" s="1588"/>
      <c r="P35" s="1588"/>
      <c r="Q35" s="1588"/>
      <c r="R35" s="1589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 x14ac:dyDescent="0.25">
      <c r="A36" s="896"/>
      <c r="B36" s="896" t="s">
        <v>6173</v>
      </c>
      <c r="C36" s="896"/>
      <c r="D36" s="896"/>
      <c r="E36" s="852"/>
      <c r="F36" s="565"/>
      <c r="G36" s="852"/>
      <c r="H36" s="1426"/>
      <c r="I36" s="1426"/>
      <c r="J36" s="1412"/>
      <c r="K36" s="1412"/>
      <c r="L36" s="1413"/>
      <c r="M36" s="370"/>
      <c r="N36" s="370"/>
      <c r="O36" s="370"/>
      <c r="P36" s="370"/>
      <c r="Q36" s="852"/>
      <c r="R36" s="565"/>
      <c r="S36" s="852"/>
      <c r="T36" s="565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 x14ac:dyDescent="0.25">
      <c r="A37" s="896"/>
      <c r="B37" s="900" t="s">
        <v>6017</v>
      </c>
      <c r="C37" s="896"/>
      <c r="D37" s="896"/>
      <c r="E37" s="852"/>
      <c r="F37" s="565"/>
      <c r="G37" s="370"/>
      <c r="H37" s="370"/>
      <c r="I37" s="370"/>
      <c r="J37" s="1427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 x14ac:dyDescent="0.25">
      <c r="A38" s="896"/>
      <c r="B38" s="896" t="s">
        <v>6012</v>
      </c>
      <c r="C38" s="896"/>
      <c r="D38" s="896"/>
      <c r="E38" s="964">
        <v>44544</v>
      </c>
      <c r="F38" s="965">
        <f>800000000-80000000</f>
        <v>720000000</v>
      </c>
      <c r="G38" s="852"/>
      <c r="H38" s="565"/>
      <c r="I38" s="370"/>
      <c r="J38" s="1427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 x14ac:dyDescent="0.25">
      <c r="A39" s="896"/>
      <c r="B39" s="896" t="s">
        <v>6011</v>
      </c>
      <c r="C39" s="896"/>
      <c r="D39" s="896"/>
      <c r="E39" s="964">
        <v>44544</v>
      </c>
      <c r="F39" s="965">
        <f>230000000-23000000</f>
        <v>207000000</v>
      </c>
      <c r="G39" s="852"/>
      <c r="H39" s="565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 x14ac:dyDescent="0.25">
      <c r="A40" s="896"/>
      <c r="B40" s="896" t="s">
        <v>6013</v>
      </c>
      <c r="C40" s="896"/>
      <c r="D40" s="896"/>
      <c r="E40" s="964">
        <v>44544</v>
      </c>
      <c r="F40" s="965">
        <f>225000000-22500000</f>
        <v>202500000</v>
      </c>
      <c r="G40" s="852"/>
      <c r="H40" s="565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 x14ac:dyDescent="0.25">
      <c r="A41" s="896"/>
      <c r="B41" s="896" t="s">
        <v>6228</v>
      </c>
      <c r="C41" s="896"/>
      <c r="D41" s="896"/>
      <c r="E41" s="964"/>
      <c r="F41" s="965"/>
      <c r="G41" s="852"/>
      <c r="H41" s="565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 x14ac:dyDescent="0.25">
      <c r="A42" s="896"/>
      <c r="B42" s="896" t="s">
        <v>6084</v>
      </c>
      <c r="C42" s="896"/>
      <c r="D42" s="896"/>
      <c r="E42" s="966"/>
      <c r="F42" s="966"/>
      <c r="G42" s="370"/>
      <c r="H42" s="370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 x14ac:dyDescent="0.25">
      <c r="A43" s="896"/>
      <c r="B43" s="896" t="s">
        <v>6105</v>
      </c>
      <c r="C43" s="896"/>
      <c r="D43" s="896"/>
      <c r="E43" s="964">
        <v>44320</v>
      </c>
      <c r="F43" s="965">
        <f>236000000+110000000</f>
        <v>346000000</v>
      </c>
      <c r="G43" s="852"/>
      <c r="H43" s="565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 x14ac:dyDescent="0.25">
      <c r="A44" s="896"/>
      <c r="B44" s="896" t="s">
        <v>6127</v>
      </c>
      <c r="C44" s="896"/>
      <c r="D44" s="896"/>
      <c r="E44" s="964">
        <v>44484</v>
      </c>
      <c r="F44" s="965">
        <v>250000000</v>
      </c>
      <c r="G44" s="852"/>
      <c r="H44" s="565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 x14ac:dyDescent="0.25">
      <c r="A45" s="896"/>
      <c r="B45" s="896" t="s">
        <v>6184</v>
      </c>
      <c r="C45" s="896"/>
      <c r="D45" s="896"/>
      <c r="E45" s="852"/>
      <c r="F45" s="565"/>
      <c r="G45" s="852"/>
      <c r="H45" s="565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 x14ac:dyDescent="0.25">
      <c r="A46" s="896"/>
      <c r="B46" s="896" t="s">
        <v>6185</v>
      </c>
      <c r="C46" s="896"/>
      <c r="D46" s="896"/>
      <c r="E46" s="852"/>
      <c r="F46" s="565"/>
      <c r="G46" s="852"/>
      <c r="H46" s="565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 x14ac:dyDescent="0.25">
      <c r="A47" s="896"/>
      <c r="B47" s="896" t="s">
        <v>6186</v>
      </c>
      <c r="C47" s="896"/>
      <c r="D47" s="896"/>
      <c r="E47" s="852"/>
      <c r="F47" s="565"/>
      <c r="G47" s="852"/>
      <c r="H47" s="565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 x14ac:dyDescent="0.25">
      <c r="A48" s="896"/>
      <c r="B48" s="896" t="s">
        <v>6019</v>
      </c>
      <c r="C48" s="896"/>
      <c r="D48" s="896"/>
      <c r="E48" s="852"/>
      <c r="F48" s="565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 x14ac:dyDescent="0.25">
      <c r="A49" s="896"/>
      <c r="B49" s="896" t="s">
        <v>6043</v>
      </c>
      <c r="C49" s="896"/>
      <c r="D49" s="896"/>
      <c r="E49" s="852">
        <v>44574</v>
      </c>
      <c r="F49" s="565">
        <v>14000000</v>
      </c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 x14ac:dyDescent="0.25">
      <c r="A50" s="896"/>
      <c r="B50" s="896" t="s">
        <v>6044</v>
      </c>
      <c r="C50" s="896"/>
      <c r="D50" s="896"/>
      <c r="E50" s="852"/>
      <c r="F50" s="565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 x14ac:dyDescent="0.25">
      <c r="A51" s="896"/>
      <c r="B51" s="900" t="s">
        <v>6109</v>
      </c>
      <c r="C51" s="896"/>
      <c r="D51" s="896"/>
      <c r="E51" s="852"/>
      <c r="F51" s="565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 x14ac:dyDescent="0.25">
      <c r="A52" s="896"/>
      <c r="B52" s="896" t="s">
        <v>148</v>
      </c>
      <c r="C52" s="896"/>
      <c r="D52" s="896"/>
      <c r="E52" s="852"/>
      <c r="F52" s="565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 x14ac:dyDescent="0.25">
      <c r="A53" s="896"/>
      <c r="B53" s="896" t="s">
        <v>6124</v>
      </c>
      <c r="C53" s="896"/>
      <c r="D53" s="896"/>
      <c r="E53" s="852"/>
      <c r="F53" s="565"/>
      <c r="G53" s="370"/>
      <c r="H53" s="370"/>
      <c r="I53" s="370"/>
      <c r="J53" s="370"/>
      <c r="K53" s="370"/>
      <c r="L53" s="370"/>
      <c r="M53" s="370"/>
      <c r="N53" s="370"/>
      <c r="O53" s="370"/>
      <c r="P53" s="370"/>
      <c r="Q53" s="370"/>
      <c r="R53" s="370"/>
      <c r="S53" s="370"/>
      <c r="T53" s="370"/>
      <c r="U53" s="370"/>
      <c r="V53" s="370"/>
      <c r="W53" s="370"/>
      <c r="X53" s="370"/>
      <c r="Y53" s="370"/>
      <c r="Z53" s="370"/>
      <c r="AA53" s="370"/>
      <c r="AB53" s="370"/>
      <c r="AC53" s="362"/>
    </row>
    <row r="54" spans="1:29" x14ac:dyDescent="0.25">
      <c r="A54" s="896"/>
      <c r="B54" s="896" t="s">
        <v>84</v>
      </c>
      <c r="C54" s="896"/>
      <c r="D54" s="896"/>
      <c r="E54" s="852"/>
      <c r="F54" s="565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 x14ac:dyDescent="0.25">
      <c r="A55" s="896"/>
      <c r="B55" s="900" t="s">
        <v>6018</v>
      </c>
      <c r="C55" s="896"/>
      <c r="D55" s="896"/>
      <c r="E55" s="852"/>
      <c r="F55" s="565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 x14ac:dyDescent="0.25">
      <c r="A56" s="896"/>
      <c r="B56" s="941" t="s">
        <v>3131</v>
      </c>
      <c r="C56" s="896"/>
      <c r="D56" s="896"/>
      <c r="E56" s="852">
        <v>44676</v>
      </c>
      <c r="F56" s="565">
        <f>375000000</f>
        <v>375000000</v>
      </c>
      <c r="G56" s="852"/>
      <c r="H56" s="565"/>
      <c r="I56" s="852"/>
      <c r="J56" s="565"/>
      <c r="K56" s="852"/>
      <c r="L56" s="565"/>
      <c r="M56" s="852"/>
      <c r="N56" s="866"/>
      <c r="O56" s="852"/>
      <c r="P56" s="565"/>
      <c r="Q56" s="852"/>
      <c r="R56" s="565"/>
      <c r="S56" s="852"/>
      <c r="T56" s="565"/>
      <c r="U56" s="852"/>
      <c r="V56" s="565"/>
      <c r="W56" s="852"/>
      <c r="X56" s="565"/>
      <c r="Y56" s="370"/>
      <c r="Z56" s="370"/>
      <c r="AA56" s="370"/>
      <c r="AB56" s="370"/>
      <c r="AC56" s="362"/>
    </row>
    <row r="57" spans="1:29" x14ac:dyDescent="0.25">
      <c r="A57" s="896"/>
      <c r="B57" s="941"/>
      <c r="C57" s="896"/>
      <c r="D57" s="896"/>
      <c r="E57" s="852">
        <v>44676</v>
      </c>
      <c r="F57" s="565">
        <f>375000000</f>
        <v>375000000</v>
      </c>
      <c r="G57" s="852"/>
      <c r="H57" s="565"/>
      <c r="I57" s="852"/>
      <c r="J57" s="565"/>
      <c r="K57" s="852"/>
      <c r="L57" s="565"/>
      <c r="M57" s="852"/>
      <c r="N57" s="866"/>
      <c r="O57" s="852"/>
      <c r="P57" s="565"/>
      <c r="Q57" s="852"/>
      <c r="R57" s="565"/>
      <c r="S57" s="852"/>
      <c r="T57" s="565"/>
      <c r="U57" s="852"/>
      <c r="V57" s="565"/>
      <c r="W57" s="852"/>
      <c r="X57" s="565"/>
      <c r="Y57" s="370"/>
      <c r="Z57" s="370"/>
      <c r="AA57" s="370"/>
      <c r="AB57" s="370"/>
      <c r="AC57" s="362"/>
    </row>
    <row r="58" spans="1:29" x14ac:dyDescent="0.25">
      <c r="A58" s="896"/>
      <c r="B58" s="896" t="s">
        <v>5987</v>
      </c>
      <c r="C58" s="896"/>
      <c r="D58" s="896"/>
      <c r="E58" s="852"/>
      <c r="F58" s="565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62"/>
    </row>
    <row r="59" spans="1:29" x14ac:dyDescent="0.25">
      <c r="A59" s="896"/>
      <c r="B59" s="896"/>
      <c r="C59" s="896"/>
      <c r="D59" s="896"/>
      <c r="E59" s="852"/>
      <c r="F59" s="565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62"/>
    </row>
    <row r="60" spans="1:29" x14ac:dyDescent="0.25">
      <c r="A60" s="896"/>
      <c r="B60" s="896"/>
      <c r="C60" s="896"/>
      <c r="D60" s="896"/>
      <c r="E60" s="852"/>
      <c r="F60" s="565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 x14ac:dyDescent="0.25">
      <c r="A61" s="896"/>
      <c r="B61" s="896"/>
      <c r="C61" s="896"/>
      <c r="D61" s="896"/>
      <c r="E61" s="852"/>
      <c r="F61" s="565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 x14ac:dyDescent="0.25">
      <c r="A62" s="896"/>
      <c r="B62" s="896" t="s">
        <v>5997</v>
      </c>
      <c r="C62" s="896"/>
      <c r="D62" s="896"/>
      <c r="E62" s="852"/>
      <c r="F62" s="565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 x14ac:dyDescent="0.25">
      <c r="A63" s="896"/>
      <c r="B63" s="896" t="s">
        <v>5990</v>
      </c>
      <c r="C63" s="896"/>
      <c r="D63" s="896"/>
      <c r="E63" s="852"/>
      <c r="F63" s="565"/>
      <c r="G63" s="370"/>
      <c r="H63" s="370"/>
      <c r="I63" s="370"/>
      <c r="J63" s="370"/>
      <c r="K63" s="370"/>
      <c r="L63" s="370"/>
      <c r="M63" s="370"/>
      <c r="N63" s="370"/>
      <c r="O63" s="370"/>
      <c r="P63" s="370"/>
      <c r="Q63" s="370"/>
      <c r="R63" s="370"/>
      <c r="S63" s="370"/>
      <c r="T63" s="370"/>
      <c r="U63" s="370"/>
      <c r="V63" s="370"/>
      <c r="W63" s="370"/>
      <c r="X63" s="370"/>
      <c r="Y63" s="370"/>
      <c r="Z63" s="370"/>
      <c r="AA63" s="370"/>
      <c r="AB63" s="370"/>
      <c r="AC63" s="362"/>
    </row>
    <row r="64" spans="1:29" x14ac:dyDescent="0.25">
      <c r="A64" s="896"/>
      <c r="B64" s="896"/>
      <c r="C64" s="896"/>
      <c r="D64" s="896"/>
      <c r="E64" s="370"/>
      <c r="F64" s="565"/>
      <c r="G64" s="370"/>
      <c r="H64" s="370"/>
      <c r="I64" s="370"/>
      <c r="J64" s="370"/>
      <c r="K64" s="370"/>
      <c r="L64" s="370"/>
      <c r="M64" s="370"/>
      <c r="N64" s="370"/>
      <c r="O64" s="370"/>
      <c r="P64" s="370"/>
      <c r="Q64" s="370"/>
      <c r="R64" s="370"/>
      <c r="S64" s="370"/>
      <c r="T64" s="370"/>
      <c r="U64" s="370"/>
      <c r="V64" s="370"/>
      <c r="W64" s="370"/>
      <c r="X64" s="370"/>
      <c r="Y64" s="370"/>
      <c r="Z64" s="370"/>
      <c r="AA64" s="370"/>
      <c r="AB64" s="370"/>
      <c r="AC64" s="362"/>
    </row>
    <row r="65" spans="1:29" x14ac:dyDescent="0.25">
      <c r="A65" s="896"/>
      <c r="B65" s="896"/>
      <c r="C65" s="896"/>
      <c r="D65" s="896"/>
      <c r="E65" s="370"/>
      <c r="F65" s="565"/>
      <c r="G65" s="370"/>
      <c r="H65" s="370"/>
      <c r="I65" s="370"/>
      <c r="J65" s="370"/>
      <c r="K65" s="370"/>
      <c r="L65" s="370"/>
      <c r="M65" s="370"/>
      <c r="N65" s="370"/>
      <c r="O65" s="370"/>
      <c r="P65" s="370"/>
      <c r="Q65" s="370"/>
      <c r="R65" s="370"/>
      <c r="S65" s="370"/>
      <c r="T65" s="370"/>
      <c r="U65" s="370"/>
      <c r="V65" s="370"/>
      <c r="W65" s="370"/>
      <c r="X65" s="370"/>
      <c r="Y65" s="370"/>
      <c r="Z65" s="370"/>
      <c r="AA65" s="370"/>
      <c r="AB65" s="370"/>
      <c r="AC65" s="362"/>
    </row>
    <row r="66" spans="1:29" x14ac:dyDescent="0.25">
      <c r="A66" s="896"/>
      <c r="B66" s="896"/>
      <c r="C66" s="896"/>
      <c r="D66" s="896"/>
      <c r="E66" s="370"/>
      <c r="F66" s="565"/>
      <c r="G66" s="370"/>
      <c r="H66" s="370"/>
      <c r="I66" s="370"/>
      <c r="J66" s="370"/>
      <c r="K66" s="370"/>
      <c r="L66" s="370"/>
      <c r="M66" s="370"/>
      <c r="N66" s="370"/>
      <c r="O66" s="370"/>
      <c r="P66" s="370"/>
      <c r="Q66" s="370"/>
      <c r="R66" s="370"/>
      <c r="S66" s="370"/>
      <c r="T66" s="370"/>
      <c r="U66" s="370"/>
      <c r="V66" s="370"/>
      <c r="W66" s="370"/>
      <c r="X66" s="370"/>
      <c r="Y66" s="370"/>
      <c r="Z66" s="370"/>
      <c r="AA66" s="370"/>
      <c r="AB66" s="370"/>
      <c r="AC66" s="362"/>
    </row>
    <row r="67" spans="1:29" x14ac:dyDescent="0.25">
      <c r="A67" s="896"/>
      <c r="B67" s="896" t="s">
        <v>6007</v>
      </c>
      <c r="C67" s="896" t="s">
        <v>6238</v>
      </c>
      <c r="D67" s="896"/>
      <c r="E67" s="852">
        <v>44571</v>
      </c>
      <c r="F67" s="565">
        <v>63046519</v>
      </c>
      <c r="G67" s="852">
        <v>44602</v>
      </c>
      <c r="H67" s="565">
        <v>60794473</v>
      </c>
      <c r="I67" s="852">
        <v>44630</v>
      </c>
      <c r="J67" s="565">
        <v>59202460</v>
      </c>
      <c r="K67" s="852">
        <v>44659</v>
      </c>
      <c r="L67" s="565">
        <v>56628134</v>
      </c>
      <c r="M67" s="852"/>
      <c r="N67" s="565"/>
      <c r="O67" s="852"/>
      <c r="P67" s="565"/>
      <c r="Q67" s="852"/>
      <c r="R67" s="565"/>
      <c r="S67" s="852"/>
      <c r="T67" s="565"/>
      <c r="U67" s="852"/>
      <c r="V67" s="565"/>
      <c r="W67" s="852"/>
      <c r="X67" s="565"/>
      <c r="Y67" s="852"/>
      <c r="Z67" s="565"/>
      <c r="AA67" s="852"/>
      <c r="AB67" s="565"/>
      <c r="AC67" s="362"/>
    </row>
    <row r="68" spans="1:29" x14ac:dyDescent="0.25">
      <c r="A68" s="896"/>
      <c r="B68" s="896"/>
      <c r="C68" s="896" t="s">
        <v>6239</v>
      </c>
      <c r="D68" s="896"/>
      <c r="E68" s="852">
        <v>44571</v>
      </c>
      <c r="F68" s="565">
        <v>5482701</v>
      </c>
      <c r="G68" s="852">
        <v>44602</v>
      </c>
      <c r="H68" s="565">
        <v>7848418</v>
      </c>
      <c r="I68" s="852">
        <v>44630</v>
      </c>
      <c r="J68" s="565">
        <v>8845339</v>
      </c>
      <c r="K68" s="852">
        <v>44659</v>
      </c>
      <c r="L68" s="565">
        <v>11313793</v>
      </c>
      <c r="M68" s="852">
        <v>44691</v>
      </c>
      <c r="N68" s="565">
        <v>11313296</v>
      </c>
      <c r="O68" s="852"/>
      <c r="P68" s="565"/>
      <c r="Q68" s="852"/>
      <c r="R68" s="565"/>
      <c r="S68" s="852"/>
      <c r="T68" s="565"/>
      <c r="U68" s="852"/>
      <c r="V68" s="565"/>
      <c r="W68" s="852"/>
      <c r="X68" s="565"/>
      <c r="Y68" s="852"/>
      <c r="Z68" s="565"/>
      <c r="AA68" s="852"/>
      <c r="AB68" s="565"/>
      <c r="AC68" s="362"/>
    </row>
    <row r="69" spans="1:29" x14ac:dyDescent="0.25">
      <c r="A69" s="896"/>
      <c r="B69" s="896"/>
      <c r="C69" s="896" t="s">
        <v>6008</v>
      </c>
      <c r="D69" s="896"/>
      <c r="E69" s="852">
        <v>44587</v>
      </c>
      <c r="F69" s="565">
        <v>132754800</v>
      </c>
      <c r="G69" s="852">
        <v>44617</v>
      </c>
      <c r="H69" s="565">
        <v>129897518</v>
      </c>
      <c r="I69" s="852">
        <v>44649</v>
      </c>
      <c r="J69" s="565">
        <v>129430184</v>
      </c>
      <c r="K69" s="852">
        <v>44677</v>
      </c>
      <c r="L69" s="565">
        <v>131172508</v>
      </c>
      <c r="M69" s="852">
        <v>44708</v>
      </c>
      <c r="N69" s="565">
        <v>128164265</v>
      </c>
      <c r="O69" s="852"/>
      <c r="P69" s="565"/>
      <c r="Q69" s="852"/>
      <c r="R69" s="565"/>
      <c r="S69" s="852"/>
      <c r="T69" s="565"/>
      <c r="U69" s="852"/>
      <c r="V69" s="565"/>
      <c r="W69" s="852"/>
      <c r="X69" s="565"/>
      <c r="Y69" s="852"/>
      <c r="Z69" s="565"/>
      <c r="AA69" s="852"/>
      <c r="AB69" s="565"/>
      <c r="AC69" s="362"/>
    </row>
    <row r="70" spans="1:29" x14ac:dyDescent="0.25">
      <c r="A70" s="896"/>
      <c r="B70" s="896" t="s">
        <v>5991</v>
      </c>
      <c r="C70" s="896" t="s">
        <v>6021</v>
      </c>
      <c r="D70" s="896"/>
      <c r="E70" s="852"/>
      <c r="F70" s="565"/>
      <c r="G70" s="852"/>
      <c r="H70" s="565"/>
      <c r="I70" s="852"/>
      <c r="J70" s="565"/>
      <c r="K70" s="852"/>
      <c r="L70" s="565"/>
      <c r="M70" s="852"/>
      <c r="N70" s="565"/>
      <c r="O70" s="852"/>
      <c r="P70" s="565"/>
      <c r="Q70" s="852"/>
      <c r="R70" s="565"/>
      <c r="S70" s="852"/>
      <c r="T70" s="565"/>
      <c r="U70" s="370"/>
      <c r="V70" s="370"/>
      <c r="W70" s="370"/>
      <c r="X70" s="565"/>
      <c r="Y70" s="370"/>
      <c r="Z70" s="565"/>
      <c r="AA70" s="370"/>
      <c r="AB70" s="370"/>
      <c r="AC70" s="362"/>
    </row>
    <row r="71" spans="1:29" x14ac:dyDescent="0.25">
      <c r="A71" s="896"/>
      <c r="B71" s="896"/>
      <c r="C71" s="896" t="s">
        <v>6022</v>
      </c>
      <c r="D71" s="896"/>
      <c r="E71" s="852">
        <v>44594</v>
      </c>
      <c r="F71" s="565">
        <v>144313935</v>
      </c>
      <c r="G71" s="852">
        <v>44622</v>
      </c>
      <c r="H71" s="565">
        <v>25623103</v>
      </c>
      <c r="I71" s="852"/>
      <c r="J71" s="565"/>
      <c r="K71" s="852">
        <v>44690</v>
      </c>
      <c r="L71" s="565">
        <v>43259902</v>
      </c>
      <c r="M71" s="852"/>
      <c r="N71" s="565"/>
      <c r="O71" s="852"/>
      <c r="P71" s="565"/>
      <c r="Q71" s="852"/>
      <c r="R71" s="565"/>
      <c r="S71" s="852"/>
      <c r="T71" s="565"/>
      <c r="U71" s="852"/>
      <c r="V71" s="565"/>
      <c r="W71" s="852"/>
      <c r="X71" s="565"/>
      <c r="Y71" s="852"/>
      <c r="Z71" s="565"/>
      <c r="AA71" s="852"/>
      <c r="AB71" s="565"/>
      <c r="AC71" s="362"/>
    </row>
    <row r="72" spans="1:29" x14ac:dyDescent="0.25">
      <c r="A72" s="896"/>
      <c r="B72" s="896"/>
      <c r="C72" s="896" t="s">
        <v>6023</v>
      </c>
      <c r="D72" s="896"/>
      <c r="E72" s="852">
        <v>44594</v>
      </c>
      <c r="F72" s="565">
        <v>76979869</v>
      </c>
      <c r="G72" s="852">
        <v>44622</v>
      </c>
      <c r="H72" s="565">
        <v>136597704</v>
      </c>
      <c r="I72" s="852"/>
      <c r="J72" s="565"/>
      <c r="K72" s="852">
        <v>44690</v>
      </c>
      <c r="L72" s="565">
        <v>64440032</v>
      </c>
      <c r="M72" s="852"/>
      <c r="N72" s="565"/>
      <c r="O72" s="852"/>
      <c r="P72" s="565"/>
      <c r="Q72" s="852"/>
      <c r="R72" s="565"/>
      <c r="S72" s="852"/>
      <c r="T72" s="565"/>
      <c r="U72" s="852"/>
      <c r="V72" s="565"/>
      <c r="W72" s="852"/>
      <c r="X72" s="565"/>
      <c r="Y72" s="852"/>
      <c r="Z72" s="565"/>
      <c r="AA72" s="852"/>
      <c r="AB72" s="565"/>
      <c r="AC72" s="362"/>
    </row>
    <row r="73" spans="1:29" x14ac:dyDescent="0.25">
      <c r="A73" s="896"/>
      <c r="B73" s="896" t="s">
        <v>5993</v>
      </c>
      <c r="C73" s="896"/>
      <c r="D73" s="896"/>
      <c r="E73" s="852"/>
      <c r="F73" s="565"/>
      <c r="G73" s="852"/>
      <c r="H73" s="565"/>
      <c r="I73" s="852"/>
      <c r="J73" s="565"/>
      <c r="K73" s="852"/>
      <c r="L73" s="565"/>
      <c r="M73" s="852"/>
      <c r="N73" s="565"/>
      <c r="O73" s="852"/>
      <c r="P73" s="565"/>
      <c r="Q73" s="852"/>
      <c r="R73" s="565"/>
      <c r="S73" s="852"/>
      <c r="T73" s="565"/>
      <c r="U73" s="852"/>
      <c r="V73" s="565"/>
      <c r="W73" s="852"/>
      <c r="X73" s="565"/>
      <c r="Y73" s="370"/>
      <c r="Z73" s="370"/>
      <c r="AA73" s="370"/>
      <c r="AB73" s="565"/>
      <c r="AC73" s="362"/>
    </row>
    <row r="74" spans="1:29" x14ac:dyDescent="0.25">
      <c r="A74" s="896"/>
      <c r="B74" s="896" t="s">
        <v>3420</v>
      </c>
      <c r="C74" s="896" t="s">
        <v>90</v>
      </c>
      <c r="D74" s="896"/>
      <c r="E74" s="852">
        <v>44581</v>
      </c>
      <c r="F74" s="565">
        <v>3200000</v>
      </c>
      <c r="G74" s="852">
        <v>44615</v>
      </c>
      <c r="H74" s="565">
        <v>3200000</v>
      </c>
      <c r="I74" s="852">
        <v>44645</v>
      </c>
      <c r="J74" s="565">
        <v>3520000</v>
      </c>
      <c r="K74" s="852"/>
      <c r="L74" s="565"/>
      <c r="M74" s="852">
        <v>44706</v>
      </c>
      <c r="N74" s="565">
        <v>3885000</v>
      </c>
      <c r="O74" s="852"/>
      <c r="P74" s="565"/>
      <c r="Q74" s="852"/>
      <c r="R74" s="565"/>
      <c r="S74" s="852"/>
      <c r="T74" s="565"/>
      <c r="U74" s="852"/>
      <c r="V74" s="565"/>
      <c r="W74" s="852"/>
      <c r="X74" s="565"/>
      <c r="Y74" s="852"/>
      <c r="Z74" s="565"/>
      <c r="AA74" s="370"/>
      <c r="AB74" s="370"/>
      <c r="AC74" s="362"/>
    </row>
    <row r="75" spans="1:29" x14ac:dyDescent="0.25">
      <c r="A75" s="896"/>
      <c r="B75" s="896"/>
      <c r="C75" s="896" t="s">
        <v>5996</v>
      </c>
      <c r="D75" s="896"/>
      <c r="E75" s="852">
        <v>44579</v>
      </c>
      <c r="F75" s="565">
        <v>2750000</v>
      </c>
      <c r="G75" s="852">
        <v>44610</v>
      </c>
      <c r="H75" s="565">
        <v>2750000</v>
      </c>
      <c r="I75" s="852">
        <v>44642</v>
      </c>
      <c r="J75" s="565">
        <v>2750000</v>
      </c>
      <c r="K75" s="852">
        <v>44670</v>
      </c>
      <c r="L75" s="565">
        <v>2775000</v>
      </c>
      <c r="M75" s="852">
        <v>44700</v>
      </c>
      <c r="N75" s="565">
        <v>2775000</v>
      </c>
      <c r="O75" s="852"/>
      <c r="P75" s="565"/>
      <c r="Q75" s="852"/>
      <c r="R75" s="565"/>
      <c r="S75" s="852"/>
      <c r="T75" s="565"/>
      <c r="U75" s="852"/>
      <c r="V75" s="565"/>
      <c r="W75" s="852"/>
      <c r="X75" s="565"/>
      <c r="Y75" s="852"/>
      <c r="Z75" s="565"/>
      <c r="AA75" s="852"/>
      <c r="AB75" s="565"/>
      <c r="AC75" s="362"/>
    </row>
    <row r="76" spans="1:29" x14ac:dyDescent="0.25">
      <c r="A76" s="896"/>
      <c r="B76" s="896" t="s">
        <v>5994</v>
      </c>
      <c r="C76" s="896" t="s">
        <v>3250</v>
      </c>
      <c r="D76" s="896"/>
      <c r="E76" s="852">
        <v>44579</v>
      </c>
      <c r="F76" s="565">
        <v>32721000</v>
      </c>
      <c r="G76" s="852">
        <v>44610</v>
      </c>
      <c r="H76" s="565">
        <v>42212300</v>
      </c>
      <c r="I76" s="852">
        <v>44644</v>
      </c>
      <c r="J76" s="565">
        <v>39800500</v>
      </c>
      <c r="K76" s="852">
        <v>44663</v>
      </c>
      <c r="L76" s="565">
        <v>37522500</v>
      </c>
      <c r="M76" s="852">
        <v>44698</v>
      </c>
      <c r="N76" s="565">
        <v>41854250</v>
      </c>
      <c r="O76" s="852"/>
      <c r="P76" s="565"/>
      <c r="Q76" s="852"/>
      <c r="R76" s="565"/>
      <c r="S76" s="852"/>
      <c r="T76" s="565"/>
      <c r="U76" s="852"/>
      <c r="V76" s="565"/>
      <c r="W76" s="852"/>
      <c r="X76" s="565"/>
      <c r="Y76" s="852"/>
      <c r="Z76" s="565"/>
      <c r="AA76" s="852"/>
      <c r="AB76" s="565"/>
      <c r="AC76" s="362"/>
    </row>
    <row r="77" spans="1:29" x14ac:dyDescent="0.25">
      <c r="A77" s="896"/>
      <c r="B77" s="896"/>
      <c r="C77" s="896" t="s">
        <v>5995</v>
      </c>
      <c r="D77" s="896"/>
      <c r="E77" s="852">
        <v>44579</v>
      </c>
      <c r="F77" s="565">
        <v>6107500</v>
      </c>
      <c r="G77" s="852"/>
      <c r="H77" s="565"/>
      <c r="I77" s="852"/>
      <c r="J77" s="565"/>
      <c r="K77" s="852"/>
      <c r="L77" s="565"/>
      <c r="M77" s="852"/>
      <c r="N77" s="565"/>
      <c r="O77" s="852"/>
      <c r="P77" s="565"/>
      <c r="Q77" s="852"/>
      <c r="R77" s="565"/>
      <c r="S77" s="852"/>
      <c r="T77" s="565"/>
      <c r="U77" s="852"/>
      <c r="V77" s="565"/>
      <c r="W77" s="852"/>
      <c r="X77" s="565"/>
      <c r="Y77" s="852"/>
      <c r="Z77" s="565"/>
      <c r="AA77" s="852"/>
      <c r="AB77" s="565"/>
      <c r="AC77" s="362"/>
    </row>
    <row r="78" spans="1:29" x14ac:dyDescent="0.25">
      <c r="A78" s="896"/>
      <c r="B78" s="896" t="s">
        <v>5934</v>
      </c>
      <c r="C78" s="896" t="s">
        <v>6047</v>
      </c>
      <c r="D78" s="896"/>
      <c r="E78" s="852">
        <v>44580</v>
      </c>
      <c r="F78" s="565">
        <v>7581237</v>
      </c>
      <c r="G78" s="852">
        <v>44610</v>
      </c>
      <c r="H78" s="565">
        <v>7331958</v>
      </c>
      <c r="I78" s="852">
        <v>44638</v>
      </c>
      <c r="J78" s="565">
        <v>6655142</v>
      </c>
      <c r="K78" s="852">
        <v>44670</v>
      </c>
      <c r="L78" s="565">
        <v>8018459</v>
      </c>
      <c r="M78" s="852">
        <v>44700</v>
      </c>
      <c r="N78" s="565">
        <v>7464156</v>
      </c>
      <c r="O78" s="852"/>
      <c r="P78" s="565"/>
      <c r="Q78" s="852"/>
      <c r="R78" s="565"/>
      <c r="S78" s="852"/>
      <c r="T78" s="565"/>
      <c r="U78" s="852"/>
      <c r="V78" s="565"/>
      <c r="W78" s="852"/>
      <c r="X78" s="565"/>
      <c r="Y78" s="852"/>
      <c r="Z78" s="565"/>
      <c r="AA78" s="852"/>
      <c r="AB78" s="565"/>
      <c r="AC78" s="362"/>
    </row>
    <row r="79" spans="1:29" x14ac:dyDescent="0.25">
      <c r="A79" s="896"/>
      <c r="B79" s="896"/>
      <c r="C79" s="896" t="s">
        <v>6048</v>
      </c>
      <c r="D79" s="896"/>
      <c r="E79" s="852">
        <v>44580</v>
      </c>
      <c r="F79" s="565">
        <v>2059564</v>
      </c>
      <c r="G79" s="852">
        <v>44610</v>
      </c>
      <c r="H79" s="565">
        <v>11382851</v>
      </c>
      <c r="I79" s="852">
        <v>44638</v>
      </c>
      <c r="J79" s="565">
        <v>10524700</v>
      </c>
      <c r="K79" s="852">
        <v>44670</v>
      </c>
      <c r="L79" s="565">
        <v>7839465</v>
      </c>
      <c r="M79" s="852">
        <v>44700</v>
      </c>
      <c r="N79" s="565">
        <v>7386985</v>
      </c>
      <c r="O79" s="852"/>
      <c r="P79" s="565"/>
      <c r="Q79" s="852"/>
      <c r="R79" s="565"/>
      <c r="S79" s="852"/>
      <c r="T79" s="565"/>
      <c r="U79" s="852"/>
      <c r="V79" s="565"/>
      <c r="W79" s="852"/>
      <c r="X79" s="565"/>
      <c r="Y79" s="852"/>
      <c r="Z79" s="565"/>
      <c r="AA79" s="852"/>
      <c r="AB79" s="565"/>
      <c r="AC79" s="362"/>
    </row>
    <row r="80" spans="1:29" x14ac:dyDescent="0.25">
      <c r="A80" s="896"/>
      <c r="B80" s="896"/>
      <c r="C80" s="896" t="s">
        <v>5980</v>
      </c>
      <c r="D80" s="896"/>
      <c r="E80" s="852">
        <v>44567</v>
      </c>
      <c r="F80" s="565">
        <v>3800000</v>
      </c>
      <c r="G80" s="852">
        <v>44595</v>
      </c>
      <c r="H80" s="565">
        <v>3400000</v>
      </c>
      <c r="I80" s="852">
        <v>44622</v>
      </c>
      <c r="J80" s="565">
        <v>3450000</v>
      </c>
      <c r="K80" s="852">
        <v>44649</v>
      </c>
      <c r="L80" s="565">
        <v>4150000</v>
      </c>
      <c r="M80" s="852">
        <v>44698</v>
      </c>
      <c r="N80" s="565">
        <v>3500000</v>
      </c>
      <c r="O80" s="852"/>
      <c r="P80" s="565"/>
      <c r="Q80" s="370"/>
      <c r="R80" s="370"/>
      <c r="S80" s="852"/>
      <c r="T80" s="565"/>
      <c r="U80" s="370"/>
      <c r="V80" s="565"/>
      <c r="W80" s="852"/>
      <c r="X80" s="565"/>
      <c r="Y80" s="852"/>
      <c r="Z80" s="565"/>
      <c r="AA80" s="370"/>
      <c r="AB80" s="370"/>
      <c r="AC80" s="362"/>
    </row>
    <row r="81" spans="1:29" x14ac:dyDescent="0.25">
      <c r="A81" s="896"/>
      <c r="B81" s="896" t="s">
        <v>5936</v>
      </c>
      <c r="C81" s="896" t="s">
        <v>80</v>
      </c>
      <c r="D81" s="896"/>
      <c r="E81" s="852">
        <v>44613</v>
      </c>
      <c r="F81" s="565">
        <v>37395779</v>
      </c>
      <c r="G81" s="852">
        <v>44641</v>
      </c>
      <c r="H81" s="565">
        <v>38163829</v>
      </c>
      <c r="I81" s="852">
        <v>44671</v>
      </c>
      <c r="J81" s="565">
        <v>40877288</v>
      </c>
      <c r="K81" s="852">
        <v>44701</v>
      </c>
      <c r="L81" s="565">
        <v>43396791</v>
      </c>
      <c r="M81" s="852"/>
      <c r="N81" s="565"/>
      <c r="O81" s="852"/>
      <c r="P81" s="565"/>
      <c r="Q81" s="852"/>
      <c r="R81" s="565"/>
      <c r="S81" s="370"/>
      <c r="T81" s="370"/>
      <c r="U81" s="852"/>
      <c r="V81" s="565"/>
      <c r="W81" s="852"/>
      <c r="X81" s="565"/>
      <c r="Y81" s="852"/>
      <c r="Z81" s="565"/>
      <c r="AA81" s="370"/>
      <c r="AB81" s="370"/>
      <c r="AC81" s="362"/>
    </row>
    <row r="82" spans="1:29" x14ac:dyDescent="0.25">
      <c r="A82" s="896"/>
      <c r="B82" s="896"/>
      <c r="C82" s="896" t="s">
        <v>84</v>
      </c>
      <c r="D82" s="896"/>
      <c r="E82" s="852">
        <v>44613</v>
      </c>
      <c r="F82" s="565">
        <v>32563409.289999999</v>
      </c>
      <c r="G82" s="852">
        <v>44641</v>
      </c>
      <c r="H82" s="1321">
        <v>33303453.890000001</v>
      </c>
      <c r="I82" s="852">
        <v>44671</v>
      </c>
      <c r="J82" s="565">
        <v>35178358.729999997</v>
      </c>
      <c r="K82" s="852">
        <v>44701</v>
      </c>
      <c r="L82" s="565">
        <v>38243891.350000001</v>
      </c>
      <c r="M82" s="852"/>
      <c r="N82" s="565"/>
      <c r="O82" s="852"/>
      <c r="P82" s="565"/>
      <c r="Q82" s="852"/>
      <c r="R82" s="565"/>
      <c r="S82" s="852"/>
      <c r="T82" s="565"/>
      <c r="U82" s="852"/>
      <c r="V82" s="565"/>
      <c r="W82" s="852"/>
      <c r="X82" s="565"/>
      <c r="Y82" s="852"/>
      <c r="Z82" s="1321"/>
      <c r="AA82" s="370"/>
      <c r="AB82" s="370"/>
      <c r="AC82" s="362"/>
    </row>
    <row r="83" spans="1:29" x14ac:dyDescent="0.25">
      <c r="A83" s="896"/>
      <c r="B83" s="896" t="s">
        <v>5998</v>
      </c>
      <c r="C83" s="896" t="s">
        <v>90</v>
      </c>
      <c r="D83" s="896"/>
      <c r="E83" s="852">
        <v>44610</v>
      </c>
      <c r="F83" s="565">
        <v>490909</v>
      </c>
      <c r="G83" s="852">
        <v>44617</v>
      </c>
      <c r="H83" s="565">
        <v>984292</v>
      </c>
      <c r="I83" s="852">
        <v>44663</v>
      </c>
      <c r="J83" s="565">
        <v>634117</v>
      </c>
      <c r="K83" s="852">
        <v>44706</v>
      </c>
      <c r="L83" s="565">
        <v>1013543</v>
      </c>
      <c r="M83" s="852"/>
      <c r="N83" s="565" t="s">
        <v>6298</v>
      </c>
      <c r="O83" s="852"/>
      <c r="P83" s="565" t="s">
        <v>90</v>
      </c>
      <c r="Q83" s="852"/>
      <c r="R83" s="565"/>
      <c r="S83" s="852"/>
      <c r="T83" s="565"/>
      <c r="U83" s="852"/>
      <c r="V83" s="565"/>
      <c r="W83" s="852"/>
      <c r="X83" s="565"/>
      <c r="Y83" s="852"/>
      <c r="Z83" s="565"/>
      <c r="AA83" s="370"/>
      <c r="AB83" s="370"/>
      <c r="AC83" s="362"/>
    </row>
    <row r="84" spans="1:29" x14ac:dyDescent="0.25">
      <c r="A84" s="896"/>
      <c r="B84" s="362"/>
      <c r="C84" s="896" t="s">
        <v>5996</v>
      </c>
      <c r="D84" s="896"/>
      <c r="E84" s="852">
        <v>44610</v>
      </c>
      <c r="F84" s="565">
        <v>1197499</v>
      </c>
      <c r="G84" s="852">
        <v>44642</v>
      </c>
      <c r="H84" s="565">
        <v>952643</v>
      </c>
      <c r="I84" s="852">
        <v>44651</v>
      </c>
      <c r="J84" s="565">
        <v>885963</v>
      </c>
      <c r="K84" s="852">
        <v>44700</v>
      </c>
      <c r="L84" s="565">
        <v>1042792</v>
      </c>
      <c r="M84" s="852"/>
      <c r="N84" s="565"/>
      <c r="O84" s="852"/>
      <c r="P84" s="565"/>
      <c r="Q84" s="852"/>
      <c r="R84" s="565"/>
      <c r="S84" s="852"/>
      <c r="T84" s="565"/>
      <c r="U84" s="852"/>
      <c r="V84" s="565"/>
      <c r="W84" s="852"/>
      <c r="X84" s="565"/>
      <c r="Y84" s="852"/>
      <c r="Z84" s="565"/>
      <c r="AA84" s="370"/>
      <c r="AB84" s="370"/>
      <c r="AC84" s="362"/>
    </row>
    <row r="85" spans="1:29" x14ac:dyDescent="0.25">
      <c r="A85" s="362"/>
      <c r="B85" s="362"/>
      <c r="C85" s="896" t="s">
        <v>5999</v>
      </c>
      <c r="D85" s="896"/>
      <c r="E85" s="852">
        <v>44610</v>
      </c>
      <c r="F85" s="565">
        <v>1253448</v>
      </c>
      <c r="G85" s="852">
        <v>44642</v>
      </c>
      <c r="H85" s="565">
        <v>1011188</v>
      </c>
      <c r="I85" s="852">
        <v>44670</v>
      </c>
      <c r="J85" s="565">
        <v>1206036</v>
      </c>
      <c r="K85" s="852">
        <v>44706</v>
      </c>
      <c r="L85" s="565">
        <v>1042324</v>
      </c>
      <c r="M85" s="852"/>
      <c r="N85" s="565"/>
      <c r="O85" s="852"/>
      <c r="P85" s="565"/>
      <c r="Q85" s="852"/>
      <c r="R85" s="565"/>
      <c r="S85" s="852"/>
      <c r="T85" s="565"/>
      <c r="U85" s="852"/>
      <c r="V85" s="565"/>
      <c r="W85" s="852"/>
      <c r="X85" s="565"/>
      <c r="Y85" s="852"/>
      <c r="Z85" s="565"/>
      <c r="AA85" s="370"/>
      <c r="AB85" s="370"/>
      <c r="AC85" s="362"/>
    </row>
    <row r="86" spans="1:29" x14ac:dyDescent="0.25">
      <c r="A86" s="362"/>
      <c r="B86" s="362"/>
      <c r="C86" s="896" t="s">
        <v>87</v>
      </c>
      <c r="D86" s="896"/>
      <c r="E86" s="852">
        <v>44610</v>
      </c>
      <c r="F86" s="565">
        <v>355946</v>
      </c>
      <c r="G86" s="852" t="s">
        <v>6300</v>
      </c>
      <c r="H86" s="565">
        <f>127046+291600</f>
        <v>418646</v>
      </c>
      <c r="I86" s="852">
        <v>44701</v>
      </c>
      <c r="J86" s="565">
        <v>509069</v>
      </c>
      <c r="K86" s="852">
        <v>44706</v>
      </c>
      <c r="L86" s="565">
        <v>356740</v>
      </c>
      <c r="M86" s="852"/>
      <c r="N86" s="565"/>
      <c r="O86" s="852"/>
      <c r="P86" s="565"/>
      <c r="Q86" s="852"/>
      <c r="R86" s="565"/>
      <c r="S86" s="852"/>
      <c r="T86" s="565"/>
      <c r="U86" s="852"/>
      <c r="V86" s="565"/>
      <c r="W86" s="852"/>
      <c r="X86" s="565"/>
      <c r="Y86" s="852"/>
      <c r="Z86" s="565"/>
      <c r="AA86" s="370"/>
      <c r="AB86" s="370"/>
      <c r="AC86" s="362"/>
    </row>
    <row r="87" spans="1:29" x14ac:dyDescent="0.25">
      <c r="A87" s="362"/>
      <c r="B87" s="362"/>
      <c r="C87" s="896" t="s">
        <v>6188</v>
      </c>
      <c r="D87" s="896"/>
      <c r="E87" s="852">
        <v>44616</v>
      </c>
      <c r="F87" s="565">
        <v>600739</v>
      </c>
      <c r="G87" s="852">
        <v>44650</v>
      </c>
      <c r="H87" s="565">
        <v>432000</v>
      </c>
      <c r="I87" s="852"/>
      <c r="J87" s="565"/>
      <c r="K87" s="852"/>
      <c r="L87" s="565"/>
      <c r="M87" s="852"/>
      <c r="N87" s="565"/>
      <c r="O87" s="852"/>
      <c r="P87" s="565"/>
      <c r="Q87" s="852"/>
      <c r="R87" s="565"/>
      <c r="S87" s="852"/>
      <c r="T87" s="565"/>
      <c r="U87" s="852"/>
      <c r="V87" s="565"/>
      <c r="W87" s="852"/>
      <c r="X87" s="565"/>
      <c r="Y87" s="852"/>
      <c r="Z87" s="565"/>
      <c r="AA87" s="370"/>
      <c r="AB87" s="370"/>
      <c r="AC87" s="362"/>
    </row>
    <row r="88" spans="1:29" x14ac:dyDescent="0.25">
      <c r="A88" s="896"/>
      <c r="B88" s="1580" t="s">
        <v>221</v>
      </c>
      <c r="C88" s="896" t="s">
        <v>6261</v>
      </c>
      <c r="D88" s="362"/>
      <c r="E88" s="852">
        <v>44588</v>
      </c>
      <c r="F88" s="982">
        <f>70661200+58786100+12601000</f>
        <v>142048300</v>
      </c>
      <c r="G88" s="852">
        <v>44616</v>
      </c>
      <c r="H88" s="982">
        <f>70661200+58786100+12601000</f>
        <v>142048300</v>
      </c>
      <c r="I88" s="852">
        <v>44649</v>
      </c>
      <c r="J88" s="1259">
        <f>70661200+58786100+12601000</f>
        <v>142048300</v>
      </c>
      <c r="K88" s="852">
        <v>44677</v>
      </c>
      <c r="L88" s="1259">
        <f>70661200+58786100+12601000</f>
        <v>142048300</v>
      </c>
      <c r="M88" s="852">
        <v>44708</v>
      </c>
      <c r="N88" s="1259">
        <f>70661200+58786100+12601000</f>
        <v>142048300</v>
      </c>
      <c r="O88" s="852"/>
      <c r="P88" s="565"/>
      <c r="Q88" s="852"/>
      <c r="R88" s="565"/>
      <c r="S88" s="852"/>
      <c r="T88" s="565"/>
      <c r="U88" s="852"/>
      <c r="V88" s="565"/>
      <c r="W88" s="852"/>
      <c r="X88" s="565"/>
      <c r="Y88" s="852"/>
      <c r="Z88" s="866"/>
      <c r="AA88" s="852"/>
      <c r="AB88" s="1259"/>
      <c r="AC88" s="362"/>
    </row>
    <row r="89" spans="1:29" x14ac:dyDescent="0.25">
      <c r="A89" s="896"/>
      <c r="B89" s="1581"/>
      <c r="C89" s="896" t="s">
        <v>6208</v>
      </c>
      <c r="D89" s="362"/>
      <c r="E89" s="852">
        <v>44566</v>
      </c>
      <c r="F89" s="982">
        <f>27759800*3</f>
        <v>83279400</v>
      </c>
      <c r="G89" s="852">
        <v>44596</v>
      </c>
      <c r="H89" s="1102">
        <f>27759800+27753800+27759800</f>
        <v>83273400</v>
      </c>
      <c r="I89" s="852">
        <v>44624</v>
      </c>
      <c r="J89" s="1102">
        <f>27759800+27759800+27759800</f>
        <v>83279400</v>
      </c>
      <c r="K89" s="852">
        <v>44656</v>
      </c>
      <c r="L89" s="1102">
        <f>27759800+27759800+27759800</f>
        <v>83279400</v>
      </c>
      <c r="M89" s="852">
        <v>44677</v>
      </c>
      <c r="N89" s="1102">
        <f>27759800+27759800+27759800</f>
        <v>83279400</v>
      </c>
      <c r="O89" s="852"/>
      <c r="P89" s="565"/>
      <c r="Q89" s="852"/>
      <c r="R89" s="565"/>
      <c r="S89" s="852"/>
      <c r="T89" s="565"/>
      <c r="U89" s="852"/>
      <c r="V89" s="565"/>
      <c r="W89" s="852"/>
      <c r="X89" s="565"/>
      <c r="Y89" s="852"/>
      <c r="Z89" s="1102"/>
      <c r="AA89" s="852"/>
      <c r="AB89" s="1102"/>
      <c r="AC89" s="362"/>
    </row>
    <row r="90" spans="1:29" x14ac:dyDescent="0.25">
      <c r="A90" s="896"/>
      <c r="B90" s="1581"/>
      <c r="C90" s="896" t="s">
        <v>6250</v>
      </c>
      <c r="D90" s="362"/>
      <c r="E90" s="852">
        <v>44578</v>
      </c>
      <c r="F90" s="982">
        <f>4003600+4003600+4442200+5017500</f>
        <v>17466900</v>
      </c>
      <c r="G90" s="852">
        <v>44609</v>
      </c>
      <c r="H90" s="866">
        <f>4003600+4003600+4442200+5017500</f>
        <v>17466900</v>
      </c>
      <c r="I90" s="852">
        <v>44637</v>
      </c>
      <c r="J90" s="866">
        <f>4003600+4003600+4442200+5017500</f>
        <v>17466900</v>
      </c>
      <c r="K90" s="852">
        <v>44665</v>
      </c>
      <c r="L90" s="866">
        <f>4003600+4003600+4442200+5017500</f>
        <v>17466900</v>
      </c>
      <c r="M90" s="852">
        <v>44698</v>
      </c>
      <c r="N90" s="866">
        <f>4003600+4003600+4442200+5017500</f>
        <v>17466900</v>
      </c>
      <c r="O90" s="852"/>
      <c r="P90" s="565"/>
      <c r="Q90" s="852"/>
      <c r="R90" s="565"/>
      <c r="S90" s="852"/>
      <c r="T90" s="565"/>
      <c r="U90" s="852"/>
      <c r="V90" s="565"/>
      <c r="W90" s="852"/>
      <c r="X90" s="565"/>
      <c r="Y90" s="852"/>
      <c r="Z90" s="1102"/>
      <c r="AA90" s="852"/>
      <c r="AB90" s="1102"/>
      <c r="AC90" s="362"/>
    </row>
    <row r="91" spans="1:29" x14ac:dyDescent="0.25">
      <c r="A91" s="896"/>
      <c r="B91" s="1582"/>
      <c r="C91" s="896" t="s">
        <v>6024</v>
      </c>
      <c r="D91" s="362"/>
      <c r="E91" s="852">
        <v>44592</v>
      </c>
      <c r="F91" s="866">
        <v>17070000</v>
      </c>
      <c r="G91" s="852">
        <v>44617</v>
      </c>
      <c r="H91" s="866">
        <v>17070000</v>
      </c>
      <c r="I91" s="852">
        <v>44649</v>
      </c>
      <c r="J91" s="866">
        <v>17070000</v>
      </c>
      <c r="K91" s="852">
        <v>44678</v>
      </c>
      <c r="L91" s="866">
        <v>17070000</v>
      </c>
      <c r="M91" s="852">
        <v>44708</v>
      </c>
      <c r="N91" s="866">
        <v>17070000</v>
      </c>
      <c r="O91" s="852"/>
      <c r="P91" s="565"/>
      <c r="Q91" s="852"/>
      <c r="R91" s="565"/>
      <c r="S91" s="852"/>
      <c r="T91" s="565"/>
      <c r="U91" s="852"/>
      <c r="V91" s="565"/>
      <c r="W91" s="852"/>
      <c r="X91" s="565"/>
      <c r="Y91" s="852"/>
      <c r="Z91" s="866"/>
      <c r="AA91" s="852"/>
      <c r="AB91" s="565"/>
      <c r="AC91" s="362"/>
    </row>
    <row r="92" spans="1:29" x14ac:dyDescent="0.25">
      <c r="A92" s="362"/>
      <c r="B92" s="896" t="s">
        <v>5933</v>
      </c>
      <c r="C92" s="362" t="s">
        <v>5954</v>
      </c>
      <c r="D92" s="362"/>
      <c r="E92" s="852">
        <v>44588</v>
      </c>
      <c r="F92" s="565">
        <v>2800700</v>
      </c>
      <c r="G92" s="852">
        <v>44610</v>
      </c>
      <c r="H92" s="565">
        <v>9467700</v>
      </c>
      <c r="I92" s="852">
        <v>44656</v>
      </c>
      <c r="J92" s="565">
        <v>9971400</v>
      </c>
      <c r="K92" s="852">
        <v>44664</v>
      </c>
      <c r="L92" s="866">
        <f>8643800</f>
        <v>8643800</v>
      </c>
      <c r="M92" s="852">
        <v>44708</v>
      </c>
      <c r="N92" s="565">
        <v>9734600</v>
      </c>
      <c r="O92" s="852"/>
      <c r="P92" s="565"/>
      <c r="Q92" s="852"/>
      <c r="R92" s="565"/>
      <c r="S92" s="852"/>
      <c r="T92" s="565"/>
      <c r="U92" s="852"/>
      <c r="V92" s="565"/>
      <c r="W92" s="852"/>
      <c r="X92" s="565"/>
      <c r="Y92" s="852"/>
      <c r="Z92" s="565"/>
      <c r="AA92" s="370"/>
      <c r="AB92" s="370"/>
      <c r="AC92" s="362"/>
    </row>
    <row r="93" spans="1:29" x14ac:dyDescent="0.25">
      <c r="A93" s="362"/>
      <c r="B93" s="896"/>
      <c r="C93" s="362" t="s">
        <v>6251</v>
      </c>
      <c r="D93" s="362"/>
      <c r="E93" s="852">
        <v>44588</v>
      </c>
      <c r="F93" s="565">
        <v>5861200</v>
      </c>
      <c r="G93" s="852"/>
      <c r="H93" s="565"/>
      <c r="I93" s="852"/>
      <c r="J93" s="565"/>
      <c r="K93" s="852"/>
      <c r="L93" s="565"/>
      <c r="M93" s="852"/>
      <c r="N93" s="565"/>
      <c r="O93" s="852"/>
      <c r="P93" s="565"/>
      <c r="Q93" s="852"/>
      <c r="R93" s="565"/>
      <c r="S93" s="852"/>
      <c r="T93" s="565"/>
      <c r="U93" s="852"/>
      <c r="V93" s="565"/>
      <c r="W93" s="852"/>
      <c r="X93" s="565"/>
      <c r="Y93" s="852"/>
      <c r="Z93" s="565"/>
      <c r="AA93" s="370"/>
      <c r="AB93" s="370"/>
      <c r="AC93" s="362"/>
    </row>
    <row r="94" spans="1:29" x14ac:dyDescent="0.25">
      <c r="A94" s="362"/>
      <c r="B94" s="896"/>
      <c r="C94" s="362"/>
      <c r="D94" s="362"/>
      <c r="E94" s="852"/>
      <c r="F94" s="565"/>
      <c r="G94" s="370"/>
      <c r="H94" s="370"/>
      <c r="I94" s="852"/>
      <c r="J94" s="565"/>
      <c r="K94" s="852"/>
      <c r="L94" s="565"/>
      <c r="M94" s="370"/>
      <c r="N94" s="370"/>
      <c r="O94" s="370"/>
      <c r="P94" s="370"/>
      <c r="Q94" s="370"/>
      <c r="R94" s="565"/>
      <c r="S94" s="370"/>
      <c r="T94" s="370"/>
      <c r="U94" s="852"/>
      <c r="V94" s="866"/>
      <c r="W94" s="370"/>
      <c r="X94" s="370"/>
      <c r="Y94" s="370"/>
      <c r="Z94" s="370"/>
      <c r="AA94" s="370"/>
      <c r="AB94" s="370"/>
      <c r="AC94" s="362"/>
    </row>
    <row r="95" spans="1:29" x14ac:dyDescent="0.25">
      <c r="A95" s="362"/>
      <c r="B95" s="896" t="s">
        <v>5930</v>
      </c>
      <c r="C95" s="362"/>
      <c r="D95" s="362"/>
      <c r="E95" s="852">
        <v>44586</v>
      </c>
      <c r="F95" s="565">
        <v>3989400</v>
      </c>
      <c r="G95" s="852">
        <v>44617</v>
      </c>
      <c r="H95" s="565">
        <v>4849760</v>
      </c>
      <c r="I95" s="852">
        <v>44645</v>
      </c>
      <c r="J95" s="565">
        <v>4899760</v>
      </c>
      <c r="K95" s="852">
        <v>44676</v>
      </c>
      <c r="L95" s="565">
        <v>4424000</v>
      </c>
      <c r="M95" s="852">
        <v>44706</v>
      </c>
      <c r="N95" s="565">
        <v>4344000</v>
      </c>
      <c r="O95" s="852"/>
      <c r="P95" s="565"/>
      <c r="Q95" s="852"/>
      <c r="R95" s="565"/>
      <c r="S95" s="852"/>
      <c r="T95" s="565"/>
      <c r="U95" s="852"/>
      <c r="V95" s="565"/>
      <c r="W95" s="852"/>
      <c r="X95" s="565"/>
      <c r="Y95" s="852"/>
      <c r="Z95" s="565"/>
      <c r="AA95" s="852"/>
      <c r="AB95" s="565"/>
      <c r="AC95" s="362"/>
    </row>
    <row r="96" spans="1:29" x14ac:dyDescent="0.25">
      <c r="A96" s="362"/>
      <c r="B96" s="896" t="s">
        <v>6014</v>
      </c>
      <c r="C96" s="362"/>
      <c r="D96" s="362"/>
      <c r="E96" s="852">
        <v>44586</v>
      </c>
      <c r="F96" s="565">
        <v>7694000</v>
      </c>
      <c r="G96" s="852">
        <v>44617</v>
      </c>
      <c r="H96" s="565">
        <v>8701000</v>
      </c>
      <c r="I96" s="370"/>
      <c r="J96" s="370"/>
      <c r="K96" s="370"/>
      <c r="L96" s="370"/>
      <c r="M96" s="852">
        <v>44708</v>
      </c>
      <c r="N96" s="565">
        <v>9589000</v>
      </c>
      <c r="O96" s="852"/>
      <c r="P96" s="565"/>
      <c r="Q96" s="370"/>
      <c r="R96" s="370"/>
      <c r="S96" s="852"/>
      <c r="T96" s="565"/>
      <c r="U96" s="852"/>
      <c r="V96" s="565"/>
      <c r="W96" s="852"/>
      <c r="X96" s="565"/>
      <c r="Y96" s="370"/>
      <c r="Z96" s="370"/>
      <c r="AA96" s="852"/>
      <c r="AB96" s="565"/>
      <c r="AC96" s="362"/>
    </row>
    <row r="97" spans="1:29" x14ac:dyDescent="0.25">
      <c r="A97" s="362"/>
      <c r="B97" s="896" t="s">
        <v>6020</v>
      </c>
      <c r="C97" s="362"/>
      <c r="D97" s="362"/>
      <c r="E97" s="852"/>
      <c r="F97" s="565"/>
      <c r="G97" s="852"/>
      <c r="H97" s="565"/>
      <c r="I97" s="852"/>
      <c r="J97" s="565"/>
      <c r="K97" s="852"/>
      <c r="L97" s="565"/>
      <c r="M97" s="852"/>
      <c r="N97" s="565"/>
      <c r="O97" s="852"/>
      <c r="P97" s="565"/>
      <c r="Q97" s="852"/>
      <c r="R97" s="565"/>
      <c r="S97" s="852"/>
      <c r="T97" s="565"/>
      <c r="U97" s="852"/>
      <c r="V97" s="565"/>
      <c r="W97" s="852"/>
      <c r="X97" s="565"/>
      <c r="Y97" s="852"/>
      <c r="Z97" s="565"/>
      <c r="AA97" s="852"/>
      <c r="AB97" s="565"/>
      <c r="AC97" s="362"/>
    </row>
    <row r="98" spans="1:29" x14ac:dyDescent="0.25">
      <c r="A98" s="362"/>
      <c r="B98" s="896" t="s">
        <v>6025</v>
      </c>
      <c r="C98" s="362"/>
      <c r="D98" s="362"/>
      <c r="E98" s="370"/>
      <c r="F98" s="370"/>
      <c r="G98" s="852"/>
      <c r="H98" s="565"/>
      <c r="I98" s="852"/>
      <c r="J98" s="565"/>
      <c r="K98" s="852">
        <v>44679</v>
      </c>
      <c r="L98" s="565">
        <v>24644667</v>
      </c>
      <c r="M98" s="370"/>
      <c r="N98" s="370"/>
      <c r="O98" s="852"/>
      <c r="P98" s="565"/>
      <c r="Q98" s="852"/>
      <c r="R98" s="565"/>
      <c r="S98" s="852"/>
      <c r="T98" s="565"/>
      <c r="U98" s="370"/>
      <c r="V98" s="370"/>
      <c r="W98" s="370"/>
      <c r="X98" s="370"/>
      <c r="Y98" s="852"/>
      <c r="Z98" s="565"/>
      <c r="AA98" s="370"/>
      <c r="AB98" s="370"/>
      <c r="AC98" s="362"/>
    </row>
    <row r="99" spans="1:29" x14ac:dyDescent="0.25">
      <c r="A99" s="362"/>
      <c r="B99" s="896" t="s">
        <v>6026</v>
      </c>
      <c r="C99" s="362"/>
      <c r="D99" s="362"/>
      <c r="E99" s="370"/>
      <c r="F99" s="370"/>
      <c r="G99" s="852"/>
      <c r="H99" s="565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62"/>
    </row>
    <row r="100" spans="1:29" x14ac:dyDescent="0.25">
      <c r="A100" s="362"/>
      <c r="B100" s="896"/>
      <c r="C100" s="362"/>
      <c r="D100" s="362"/>
      <c r="E100" s="370"/>
      <c r="F100" s="370"/>
      <c r="G100" s="852"/>
      <c r="H100" s="565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62"/>
    </row>
    <row r="101" spans="1:29" x14ac:dyDescent="0.25">
      <c r="A101" s="362"/>
      <c r="B101" s="896" t="s">
        <v>6074</v>
      </c>
      <c r="C101" s="362"/>
      <c r="D101" s="362"/>
      <c r="E101" s="852">
        <v>44607</v>
      </c>
      <c r="F101" s="565">
        <v>4100850</v>
      </c>
      <c r="G101" s="852">
        <v>44629</v>
      </c>
      <c r="H101" s="565">
        <v>2919800</v>
      </c>
      <c r="I101" s="852">
        <v>44664</v>
      </c>
      <c r="J101" s="866">
        <f>3015600</f>
        <v>3015600</v>
      </c>
      <c r="K101" s="852">
        <v>44698</v>
      </c>
      <c r="L101" s="565">
        <v>3221100</v>
      </c>
      <c r="M101" s="852"/>
      <c r="N101" s="565"/>
      <c r="O101" s="852"/>
      <c r="P101" s="565"/>
      <c r="Q101" s="852"/>
      <c r="R101" s="565"/>
      <c r="S101" s="852"/>
      <c r="T101" s="565"/>
      <c r="U101" s="852"/>
      <c r="V101" s="565"/>
      <c r="W101" s="852"/>
      <c r="X101" s="565"/>
      <c r="Y101" s="852"/>
      <c r="Z101" s="565"/>
      <c r="AA101" s="370"/>
      <c r="AB101" s="370"/>
      <c r="AC101" s="362"/>
    </row>
    <row r="102" spans="1:29" x14ac:dyDescent="0.25">
      <c r="A102" s="362"/>
      <c r="B102" s="896" t="s">
        <v>6046</v>
      </c>
      <c r="C102" s="362" t="s">
        <v>6147</v>
      </c>
      <c r="D102" s="362"/>
      <c r="E102" s="852">
        <v>44617</v>
      </c>
      <c r="F102" s="565">
        <v>1320621</v>
      </c>
      <c r="G102" s="852">
        <v>44642</v>
      </c>
      <c r="H102" s="565">
        <v>866299</v>
      </c>
      <c r="I102" s="852"/>
      <c r="J102" s="565"/>
      <c r="K102" s="852"/>
      <c r="L102" s="565"/>
      <c r="M102" s="852"/>
      <c r="N102" s="565"/>
      <c r="O102" s="852"/>
      <c r="P102" s="565"/>
      <c r="Q102" s="852"/>
      <c r="R102" s="565"/>
      <c r="S102" s="852"/>
      <c r="T102" s="565"/>
      <c r="U102" s="370"/>
      <c r="V102" s="370"/>
      <c r="W102" s="852"/>
      <c r="X102" s="565"/>
      <c r="Y102" s="852"/>
      <c r="Z102" s="565"/>
      <c r="AA102" s="370"/>
      <c r="AB102" s="370"/>
      <c r="AC102" s="362"/>
    </row>
    <row r="103" spans="1:29" x14ac:dyDescent="0.25">
      <c r="A103" s="362"/>
      <c r="B103" s="896"/>
      <c r="C103" s="362" t="s">
        <v>5996</v>
      </c>
      <c r="D103" s="362"/>
      <c r="E103" s="370"/>
      <c r="F103" s="370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852"/>
      <c r="R103" s="565"/>
      <c r="S103" s="852"/>
      <c r="T103" s="565"/>
      <c r="U103" s="852"/>
      <c r="V103" s="565"/>
      <c r="W103" s="852"/>
      <c r="X103" s="565"/>
      <c r="Y103" s="370"/>
      <c r="Z103" s="370"/>
      <c r="AA103" s="370"/>
      <c r="AB103" s="370"/>
      <c r="AC103" s="362"/>
    </row>
    <row r="104" spans="1:29" x14ac:dyDescent="0.25">
      <c r="A104" s="362"/>
      <c r="B104" s="896" t="s">
        <v>6099</v>
      </c>
      <c r="C104" s="362"/>
      <c r="D104" s="362"/>
      <c r="E104" s="852"/>
      <c r="F104" s="370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62"/>
    </row>
    <row r="105" spans="1:29" x14ac:dyDescent="0.25">
      <c r="A105" s="362"/>
      <c r="B105" s="896"/>
      <c r="C105" s="362"/>
      <c r="D105" s="362"/>
      <c r="E105" s="852"/>
      <c r="F105" s="565"/>
      <c r="G105" s="370"/>
      <c r="H105" s="370"/>
      <c r="I105" s="370"/>
      <c r="J105" s="370"/>
      <c r="K105" s="370"/>
      <c r="L105" s="370"/>
      <c r="M105" s="370"/>
      <c r="N105" s="370"/>
      <c r="O105" s="370"/>
      <c r="P105" s="370"/>
      <c r="Q105" s="370"/>
      <c r="R105" s="370"/>
      <c r="S105" s="370"/>
      <c r="T105" s="370"/>
      <c r="U105" s="370"/>
      <c r="V105" s="370"/>
      <c r="W105" s="370"/>
      <c r="X105" s="370"/>
      <c r="Y105" s="370"/>
      <c r="Z105" s="370"/>
      <c r="AA105" s="370"/>
      <c r="AB105" s="370"/>
      <c r="AC105" s="362"/>
    </row>
    <row r="106" spans="1:29" x14ac:dyDescent="0.25">
      <c r="A106" s="362"/>
      <c r="B106" s="896"/>
      <c r="C106" s="362"/>
      <c r="D106" s="362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62"/>
    </row>
    <row r="107" spans="1:29" x14ac:dyDescent="0.25">
      <c r="E107" s="567"/>
      <c r="F107" s="567"/>
      <c r="G107" s="567"/>
      <c r="H107" s="567"/>
      <c r="I107" s="567"/>
      <c r="J107" s="567"/>
      <c r="K107" s="567"/>
      <c r="L107" s="567"/>
      <c r="M107" s="567"/>
      <c r="N107" s="567"/>
      <c r="O107" s="567"/>
      <c r="P107" s="567"/>
      <c r="Q107" s="567"/>
      <c r="R107" s="567"/>
      <c r="S107" s="567"/>
      <c r="T107" s="567"/>
      <c r="U107" s="567"/>
      <c r="V107" s="567"/>
      <c r="W107" s="567"/>
      <c r="X107" s="567"/>
      <c r="Y107" s="567"/>
      <c r="Z107" s="567"/>
      <c r="AA107" s="567"/>
      <c r="AB107" s="567"/>
    </row>
    <row r="108" spans="1:29" x14ac:dyDescent="0.25">
      <c r="E108" s="567"/>
      <c r="F108" s="567"/>
      <c r="G108" s="567"/>
      <c r="H108" s="567"/>
      <c r="I108" s="567"/>
      <c r="J108" s="567"/>
      <c r="K108" s="567"/>
      <c r="L108" s="567"/>
      <c r="M108" s="567"/>
      <c r="N108" s="567"/>
      <c r="O108" s="567"/>
      <c r="P108" s="567"/>
      <c r="Q108" s="567"/>
      <c r="R108" s="567"/>
      <c r="S108" s="567"/>
      <c r="T108" s="567"/>
      <c r="U108" s="567"/>
      <c r="V108" s="567"/>
      <c r="W108" s="567"/>
      <c r="X108" s="567"/>
      <c r="Y108" s="567"/>
      <c r="Z108" s="567"/>
      <c r="AA108" s="567"/>
      <c r="AB108" s="567"/>
    </row>
    <row r="109" spans="1:29" x14ac:dyDescent="0.25">
      <c r="C109" s="362" t="s">
        <v>6098</v>
      </c>
      <c r="D109" s="362"/>
      <c r="E109" s="565"/>
      <c r="F109" s="567"/>
      <c r="G109" s="567"/>
      <c r="H109" s="567"/>
      <c r="I109" s="567"/>
      <c r="J109" s="567"/>
      <c r="K109" s="567"/>
      <c r="L109" s="567"/>
      <c r="M109" s="567"/>
      <c r="N109" s="567"/>
      <c r="O109" s="567"/>
      <c r="P109" s="567"/>
      <c r="Q109" s="567"/>
      <c r="R109" s="567"/>
      <c r="S109" s="567"/>
      <c r="T109" s="567"/>
      <c r="U109" s="567"/>
      <c r="V109" s="567"/>
      <c r="W109" s="567"/>
      <c r="X109" s="567"/>
      <c r="Y109" s="567"/>
      <c r="Z109" s="567"/>
      <c r="AA109" s="567"/>
      <c r="AB109" s="567"/>
    </row>
    <row r="110" spans="1:29" x14ac:dyDescent="0.25">
      <c r="C110" s="362" t="s">
        <v>6093</v>
      </c>
      <c r="D110" s="362"/>
      <c r="E110" s="562">
        <v>94000000</v>
      </c>
    </row>
    <row r="111" spans="1:29" x14ac:dyDescent="0.25">
      <c r="C111" s="362" t="s">
        <v>6094</v>
      </c>
      <c r="D111" s="362"/>
      <c r="E111" s="562">
        <v>69000000</v>
      </c>
      <c r="V111" s="254" t="s">
        <v>6205</v>
      </c>
    </row>
    <row r="112" spans="1:29" x14ac:dyDescent="0.25">
      <c r="C112" s="362" t="s">
        <v>6097</v>
      </c>
      <c r="D112" s="362"/>
      <c r="E112" s="631">
        <v>70000000</v>
      </c>
    </row>
    <row r="113" spans="3:21" x14ac:dyDescent="0.25">
      <c r="C113" s="362" t="s">
        <v>6095</v>
      </c>
      <c r="D113" s="362"/>
      <c r="E113" s="631">
        <v>11000000</v>
      </c>
    </row>
    <row r="114" spans="3:21" x14ac:dyDescent="0.25">
      <c r="C114" s="362" t="s">
        <v>6096</v>
      </c>
      <c r="D114" s="362"/>
      <c r="E114" s="631">
        <v>28000000</v>
      </c>
    </row>
    <row r="115" spans="3:21" x14ac:dyDescent="0.25">
      <c r="C115" s="362" t="s">
        <v>24</v>
      </c>
      <c r="D115" s="362"/>
      <c r="E115" s="631">
        <f>SUM(E109:E114)</f>
        <v>272000000</v>
      </c>
    </row>
    <row r="117" spans="3:21" x14ac:dyDescent="0.25">
      <c r="T117" s="254" t="s">
        <v>6110</v>
      </c>
    </row>
    <row r="119" spans="3:21" x14ac:dyDescent="0.25">
      <c r="S119" s="254" t="s">
        <v>6206</v>
      </c>
      <c r="U119" s="254" t="s">
        <v>6207</v>
      </c>
    </row>
    <row r="125" spans="3:21" x14ac:dyDescent="0.25">
      <c r="R125" s="254">
        <v>3451361</v>
      </c>
    </row>
    <row r="126" spans="3:21" x14ac:dyDescent="0.25">
      <c r="R126" s="254">
        <v>358639</v>
      </c>
      <c r="T126" s="254">
        <v>3485651</v>
      </c>
    </row>
    <row r="127" spans="3:21" x14ac:dyDescent="0.25">
      <c r="T127" s="254">
        <v>324349</v>
      </c>
    </row>
  </sheetData>
  <mergeCells count="10">
    <mergeCell ref="B88:B91"/>
    <mergeCell ref="A2:A3"/>
    <mergeCell ref="B2:B3"/>
    <mergeCell ref="E2:AB2"/>
    <mergeCell ref="AC2:AC3"/>
    <mergeCell ref="F32:I32"/>
    <mergeCell ref="L32:P32"/>
    <mergeCell ref="R32:V32"/>
    <mergeCell ref="N35:R35"/>
    <mergeCell ref="F35:I35"/>
  </mergeCells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zoomScale="90" zoomScaleNormal="90" workbookViewId="0">
      <pane xSplit="3" topLeftCell="T1" activePane="topRight" state="frozen"/>
      <selection activeCell="A43" sqref="A43"/>
      <selection pane="topRight" sqref="A1:XFD1048576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6181</v>
      </c>
      <c r="G1" s="254" t="s">
        <v>5468</v>
      </c>
    </row>
    <row r="2" spans="1:29" s="1" customFormat="1" x14ac:dyDescent="0.25">
      <c r="A2" s="1583" t="s">
        <v>131</v>
      </c>
      <c r="B2" s="1583" t="s">
        <v>3436</v>
      </c>
      <c r="C2" s="1409"/>
      <c r="D2" s="1409"/>
      <c r="E2" s="1584" t="s">
        <v>3443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4"/>
      <c r="AB2" s="1584"/>
      <c r="AC2" s="1585" t="s">
        <v>24</v>
      </c>
    </row>
    <row r="3" spans="1:29" s="1" customFormat="1" x14ac:dyDescent="0.25">
      <c r="A3" s="1583"/>
      <c r="B3" s="1583"/>
      <c r="C3" s="1409"/>
      <c r="D3" s="1409"/>
      <c r="E3" s="1410" t="s">
        <v>3456</v>
      </c>
      <c r="F3" s="1410" t="s">
        <v>3444</v>
      </c>
      <c r="G3" s="1410" t="s">
        <v>3445</v>
      </c>
      <c r="H3" s="1410" t="s">
        <v>3444</v>
      </c>
      <c r="I3" s="1410" t="s">
        <v>3446</v>
      </c>
      <c r="J3" s="1410" t="s">
        <v>3444</v>
      </c>
      <c r="K3" s="1410" t="s">
        <v>3447</v>
      </c>
      <c r="L3" s="1410" t="s">
        <v>3444</v>
      </c>
      <c r="M3" s="1410" t="s">
        <v>3448</v>
      </c>
      <c r="N3" s="1410" t="s">
        <v>3444</v>
      </c>
      <c r="O3" s="1410" t="s">
        <v>3449</v>
      </c>
      <c r="P3" s="1410" t="s">
        <v>3444</v>
      </c>
      <c r="Q3" s="1410" t="s">
        <v>3450</v>
      </c>
      <c r="R3" s="1410" t="s">
        <v>3444</v>
      </c>
      <c r="S3" s="1410" t="s">
        <v>3451</v>
      </c>
      <c r="T3" s="1410" t="s">
        <v>3444</v>
      </c>
      <c r="U3" s="1410" t="s">
        <v>3452</v>
      </c>
      <c r="V3" s="1410" t="s">
        <v>3444</v>
      </c>
      <c r="W3" s="1410" t="s">
        <v>3453</v>
      </c>
      <c r="X3" s="1410" t="s">
        <v>3444</v>
      </c>
      <c r="Y3" s="1410" t="s">
        <v>3454</v>
      </c>
      <c r="Z3" s="1410" t="s">
        <v>3444</v>
      </c>
      <c r="AA3" s="1410" t="s">
        <v>3455</v>
      </c>
      <c r="AB3" s="1410" t="s">
        <v>3444</v>
      </c>
      <c r="AC3" s="1585"/>
    </row>
    <row r="4" spans="1:29" x14ac:dyDescent="0.25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6"/>
      <c r="B5" s="896" t="s">
        <v>6004</v>
      </c>
      <c r="C5" s="896"/>
      <c r="D5" s="896"/>
      <c r="E5" s="611">
        <v>44223</v>
      </c>
      <c r="F5" s="562">
        <v>33850000</v>
      </c>
      <c r="G5" s="611">
        <v>44253</v>
      </c>
      <c r="H5" s="562">
        <v>38350000</v>
      </c>
      <c r="I5" s="362" t="s">
        <v>6083</v>
      </c>
      <c r="J5" s="562">
        <v>32770000</v>
      </c>
      <c r="K5" s="611">
        <v>44343</v>
      </c>
      <c r="L5" s="562">
        <v>29350000</v>
      </c>
      <c r="M5" s="362"/>
      <c r="N5" s="362"/>
      <c r="O5" s="611">
        <v>44377</v>
      </c>
      <c r="P5" s="562">
        <v>35570000</v>
      </c>
      <c r="Q5" s="611">
        <v>44407</v>
      </c>
      <c r="R5" s="562">
        <f>34800000+3010000</f>
        <v>37810000</v>
      </c>
      <c r="S5" s="611">
        <v>44438</v>
      </c>
      <c r="T5" s="562">
        <v>40900000</v>
      </c>
      <c r="U5" s="611">
        <v>44468</v>
      </c>
      <c r="V5" s="562">
        <v>39880000</v>
      </c>
      <c r="W5" s="611">
        <v>44497</v>
      </c>
      <c r="X5" s="562">
        <v>43080000</v>
      </c>
      <c r="Y5" s="611">
        <v>44529</v>
      </c>
      <c r="Z5" s="562">
        <v>44820000</v>
      </c>
      <c r="AA5" s="611">
        <v>44559</v>
      </c>
      <c r="AB5" s="562">
        <v>41880000</v>
      </c>
      <c r="AC5" s="362"/>
    </row>
    <row r="6" spans="1:29" x14ac:dyDescent="0.25">
      <c r="A6" s="896"/>
      <c r="B6" s="896" t="s">
        <v>6005</v>
      </c>
      <c r="C6" s="896"/>
      <c r="D6" s="896"/>
      <c r="E6" s="611">
        <v>44223</v>
      </c>
      <c r="F6" s="562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 x14ac:dyDescent="0.25">
      <c r="A7" s="896"/>
      <c r="B7" s="896" t="s">
        <v>6006</v>
      </c>
      <c r="C7" s="362"/>
      <c r="D7" s="362"/>
      <c r="E7" s="611">
        <v>44223</v>
      </c>
      <c r="F7" s="562">
        <v>14651775</v>
      </c>
      <c r="G7" s="362" t="s">
        <v>6071</v>
      </c>
      <c r="H7" s="562">
        <v>15721175</v>
      </c>
      <c r="I7" s="362" t="s">
        <v>6083</v>
      </c>
      <c r="J7" s="562">
        <v>13987525</v>
      </c>
      <c r="K7" s="362"/>
      <c r="L7" s="362"/>
      <c r="M7" s="362"/>
      <c r="N7" s="362"/>
      <c r="O7" s="611">
        <v>44377</v>
      </c>
      <c r="P7" s="562">
        <v>14729375</v>
      </c>
      <c r="Q7" s="611">
        <v>44407</v>
      </c>
      <c r="R7" s="562">
        <v>14729375</v>
      </c>
      <c r="S7" s="611">
        <v>44438</v>
      </c>
      <c r="T7" s="562">
        <v>14895825</v>
      </c>
      <c r="U7" s="611">
        <v>44468</v>
      </c>
      <c r="V7" s="562">
        <v>15318550</v>
      </c>
      <c r="W7" s="611">
        <v>44497</v>
      </c>
      <c r="X7" s="562">
        <v>13115050</v>
      </c>
      <c r="Y7" s="611">
        <v>44529</v>
      </c>
      <c r="Z7" s="562">
        <v>14713350</v>
      </c>
      <c r="AA7" s="611">
        <v>44559</v>
      </c>
      <c r="AB7" s="562">
        <v>13876250</v>
      </c>
      <c r="AC7" s="362"/>
    </row>
    <row r="8" spans="1:29" x14ac:dyDescent="0.25">
      <c r="A8" s="362"/>
      <c r="B8" s="896" t="s">
        <v>5946</v>
      </c>
      <c r="C8" s="362"/>
      <c r="D8" s="362"/>
      <c r="E8" s="611">
        <v>44225</v>
      </c>
      <c r="F8" s="562">
        <v>37199500</v>
      </c>
      <c r="G8" s="611">
        <v>44256</v>
      </c>
      <c r="H8" s="562">
        <f>19395500+20696250+4947000+14520000</f>
        <v>59558750</v>
      </c>
      <c r="I8" s="611">
        <v>44284</v>
      </c>
      <c r="J8" s="562">
        <v>67608588</v>
      </c>
      <c r="K8" s="362"/>
      <c r="L8" s="362"/>
      <c r="M8" s="611">
        <v>44347</v>
      </c>
      <c r="N8" s="562">
        <v>62154307</v>
      </c>
      <c r="O8" s="611">
        <v>44377</v>
      </c>
      <c r="P8" s="562">
        <v>67046996</v>
      </c>
      <c r="Q8" s="611">
        <v>44407</v>
      </c>
      <c r="R8" s="562">
        <v>71270241</v>
      </c>
      <c r="S8" s="611">
        <v>44438</v>
      </c>
      <c r="T8" s="562">
        <v>74442549</v>
      </c>
      <c r="U8" s="611">
        <v>44468</v>
      </c>
      <c r="V8" s="562">
        <v>69154360</v>
      </c>
      <c r="W8" s="611">
        <v>44497</v>
      </c>
      <c r="X8" s="562">
        <v>78776914</v>
      </c>
      <c r="Y8" s="611">
        <v>44529</v>
      </c>
      <c r="Z8" s="562">
        <v>75474997</v>
      </c>
      <c r="AA8" s="611">
        <v>44559</v>
      </c>
      <c r="AB8" s="562">
        <v>72868631</v>
      </c>
      <c r="AC8" s="362"/>
    </row>
    <row r="9" spans="1:29" x14ac:dyDescent="0.25">
      <c r="A9" s="362"/>
      <c r="B9" s="896" t="s">
        <v>5946</v>
      </c>
      <c r="C9" s="362"/>
      <c r="D9" s="362"/>
      <c r="E9" s="611"/>
      <c r="F9" s="562"/>
      <c r="G9" s="611"/>
      <c r="H9" s="562"/>
      <c r="I9" s="611"/>
      <c r="J9" s="562"/>
      <c r="K9" s="362"/>
      <c r="L9" s="362"/>
      <c r="M9" s="611"/>
      <c r="N9" s="562"/>
      <c r="O9" s="611"/>
      <c r="P9" s="562"/>
      <c r="Q9" s="611"/>
      <c r="R9" s="562"/>
      <c r="S9" s="611"/>
      <c r="T9" s="562"/>
      <c r="U9" s="611"/>
      <c r="V9" s="562"/>
      <c r="W9" s="611"/>
      <c r="X9" s="562"/>
      <c r="Y9" s="611"/>
      <c r="Z9" s="562"/>
      <c r="AA9" s="611">
        <v>44594</v>
      </c>
      <c r="AB9" s="562">
        <v>26038292</v>
      </c>
      <c r="AC9" s="362"/>
    </row>
    <row r="10" spans="1:29" x14ac:dyDescent="0.25">
      <c r="A10" s="362"/>
      <c r="B10" s="896" t="s">
        <v>5984</v>
      </c>
      <c r="C10" s="362"/>
      <c r="D10" s="362"/>
      <c r="E10" s="611">
        <v>44230</v>
      </c>
      <c r="F10" s="562">
        <f>11305632+6948960</f>
        <v>18254592</v>
      </c>
      <c r="G10" s="611">
        <v>44263</v>
      </c>
      <c r="H10" s="562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 x14ac:dyDescent="0.25">
      <c r="A11" s="362"/>
      <c r="B11" s="896" t="s">
        <v>6072</v>
      </c>
      <c r="C11" s="362"/>
      <c r="D11" s="362"/>
      <c r="E11" s="611"/>
      <c r="F11" s="562"/>
      <c r="G11" s="362" t="s">
        <v>6071</v>
      </c>
      <c r="H11" s="562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 x14ac:dyDescent="0.25">
      <c r="A12" s="362"/>
      <c r="B12" s="896" t="s">
        <v>6107</v>
      </c>
      <c r="C12" s="362"/>
      <c r="D12" s="362"/>
      <c r="E12" s="611"/>
      <c r="F12" s="562"/>
      <c r="G12" s="362"/>
      <c r="H12" s="562"/>
      <c r="I12" s="362"/>
      <c r="J12" s="362"/>
      <c r="K12" s="611">
        <v>44326</v>
      </c>
      <c r="L12" s="562">
        <v>5392500</v>
      </c>
      <c r="M12" s="611">
        <v>44350</v>
      </c>
      <c r="N12" s="562">
        <v>20681204</v>
      </c>
      <c r="O12" s="611">
        <v>44382</v>
      </c>
      <c r="P12" s="562">
        <v>38283552</v>
      </c>
      <c r="Q12" s="362" t="s">
        <v>125</v>
      </c>
      <c r="R12" s="362" t="s">
        <v>125</v>
      </c>
      <c r="S12" s="611">
        <v>44454</v>
      </c>
      <c r="T12" s="562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 x14ac:dyDescent="0.25">
      <c r="A13" s="362"/>
      <c r="B13" s="896" t="s">
        <v>6153</v>
      </c>
      <c r="C13" s="362"/>
      <c r="D13" s="362"/>
      <c r="E13" s="611"/>
      <c r="F13" s="562"/>
      <c r="G13" s="362"/>
      <c r="H13" s="562"/>
      <c r="I13" s="362"/>
      <c r="J13" s="362"/>
      <c r="K13" s="611"/>
      <c r="L13" s="562"/>
      <c r="M13" s="611"/>
      <c r="N13" s="562"/>
      <c r="O13" s="611"/>
      <c r="P13" s="562"/>
      <c r="Q13" s="362"/>
      <c r="R13" s="362"/>
      <c r="S13" s="611">
        <v>44449</v>
      </c>
      <c r="T13" s="562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 x14ac:dyDescent="0.25">
      <c r="A14" s="896"/>
      <c r="B14" s="900" t="s">
        <v>6016</v>
      </c>
      <c r="C14" s="896"/>
      <c r="D14" s="896"/>
      <c r="E14" s="611"/>
      <c r="F14" s="5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 x14ac:dyDescent="0.25">
      <c r="A15" s="896"/>
      <c r="B15" s="941" t="s">
        <v>6081</v>
      </c>
      <c r="C15" s="896"/>
      <c r="D15" s="896"/>
      <c r="E15" s="611"/>
      <c r="F15" s="562"/>
      <c r="G15" s="362" t="s">
        <v>6080</v>
      </c>
      <c r="H15" s="562">
        <v>28130000</v>
      </c>
      <c r="I15" s="362" t="s">
        <v>6103</v>
      </c>
      <c r="J15" s="562">
        <v>78792775</v>
      </c>
      <c r="K15" s="611">
        <v>44347</v>
      </c>
      <c r="L15" s="562">
        <v>14792500</v>
      </c>
      <c r="M15" s="611">
        <v>44382</v>
      </c>
      <c r="N15" s="562">
        <v>4122500</v>
      </c>
      <c r="O15" s="611">
        <v>44410</v>
      </c>
      <c r="P15" s="562">
        <v>4365000</v>
      </c>
      <c r="Q15" s="611">
        <v>44431</v>
      </c>
      <c r="R15" s="562">
        <v>7760000</v>
      </c>
      <c r="S15" s="611" t="s">
        <v>6180</v>
      </c>
      <c r="T15" s="562">
        <v>13531500</v>
      </c>
      <c r="U15" s="611">
        <v>44494</v>
      </c>
      <c r="V15" s="562">
        <v>7032500</v>
      </c>
      <c r="W15" s="611">
        <v>44529</v>
      </c>
      <c r="X15" s="562">
        <v>10427500</v>
      </c>
      <c r="Y15" s="611">
        <v>44564</v>
      </c>
      <c r="Z15" s="562">
        <v>9457500</v>
      </c>
      <c r="AA15" s="611">
        <v>44578</v>
      </c>
      <c r="AB15" s="562">
        <v>21825000</v>
      </c>
      <c r="AC15" s="362"/>
    </row>
    <row r="16" spans="1:29" x14ac:dyDescent="0.25">
      <c r="A16" s="896"/>
      <c r="B16" s="896" t="s">
        <v>6045</v>
      </c>
      <c r="C16" s="896"/>
      <c r="D16" s="896"/>
      <c r="E16" s="611">
        <v>44242</v>
      </c>
      <c r="F16" s="562">
        <v>5820000</v>
      </c>
      <c r="G16" s="362" t="s">
        <v>6080</v>
      </c>
      <c r="H16" s="562">
        <v>8924000</v>
      </c>
      <c r="I16" s="362"/>
      <c r="J16" s="362"/>
      <c r="K16" s="611">
        <v>44347</v>
      </c>
      <c r="L16" s="562">
        <v>5238000</v>
      </c>
      <c r="M16" s="611">
        <v>44382</v>
      </c>
      <c r="N16" s="562">
        <v>7081000</v>
      </c>
      <c r="O16" s="611">
        <v>44410</v>
      </c>
      <c r="P16" s="562">
        <v>970000</v>
      </c>
      <c r="Q16" s="611">
        <v>44431</v>
      </c>
      <c r="R16" s="562">
        <v>10379000</v>
      </c>
      <c r="S16" s="362"/>
      <c r="T16" s="362"/>
      <c r="U16" s="611">
        <v>44494</v>
      </c>
      <c r="V16" s="562">
        <v>6887000</v>
      </c>
      <c r="W16" s="611">
        <v>44529</v>
      </c>
      <c r="X16" s="562">
        <v>5820000</v>
      </c>
      <c r="Y16" s="611">
        <v>44564</v>
      </c>
      <c r="Z16" s="562">
        <v>6887000</v>
      </c>
      <c r="AA16" s="611">
        <v>44578</v>
      </c>
      <c r="AB16" s="562">
        <v>8051000</v>
      </c>
      <c r="AC16" s="362"/>
    </row>
    <row r="17" spans="1:29" x14ac:dyDescent="0.25">
      <c r="A17" s="896"/>
      <c r="B17" s="896" t="s">
        <v>6237</v>
      </c>
      <c r="C17" s="896"/>
      <c r="D17" s="896"/>
      <c r="E17" s="611"/>
      <c r="F17" s="562"/>
      <c r="G17" s="362"/>
      <c r="H17" s="562"/>
      <c r="I17" s="362"/>
      <c r="J17" s="362"/>
      <c r="K17" s="611"/>
      <c r="L17" s="562"/>
      <c r="M17" s="611"/>
      <c r="N17" s="562"/>
      <c r="O17" s="611"/>
      <c r="P17" s="562"/>
      <c r="Q17" s="611"/>
      <c r="R17" s="562"/>
      <c r="S17" s="362"/>
      <c r="T17" s="362"/>
      <c r="U17" s="611"/>
      <c r="V17" s="562"/>
      <c r="W17" s="611"/>
      <c r="X17" s="562"/>
      <c r="Y17" s="611">
        <v>44564</v>
      </c>
      <c r="Z17" s="562">
        <v>3589000</v>
      </c>
      <c r="AA17" s="611">
        <v>44578</v>
      </c>
      <c r="AB17" s="562">
        <v>4171000</v>
      </c>
      <c r="AC17" s="362"/>
    </row>
    <row r="18" spans="1:29" x14ac:dyDescent="0.25">
      <c r="A18" s="896"/>
      <c r="B18" s="896" t="s">
        <v>6215</v>
      </c>
      <c r="C18" s="896"/>
      <c r="D18" s="896"/>
      <c r="E18" s="611"/>
      <c r="F18" s="562"/>
      <c r="G18" s="362"/>
      <c r="H18" s="562"/>
      <c r="I18" s="362"/>
      <c r="J18" s="362"/>
      <c r="K18" s="611"/>
      <c r="L18" s="562"/>
      <c r="M18" s="611"/>
      <c r="N18" s="562"/>
      <c r="O18" s="611"/>
      <c r="P18" s="562"/>
      <c r="Q18" s="611"/>
      <c r="R18" s="562"/>
      <c r="S18" s="362"/>
      <c r="T18" s="362"/>
      <c r="U18" s="611"/>
      <c r="V18" s="562"/>
      <c r="W18" s="611">
        <v>44529</v>
      </c>
      <c r="X18" s="562">
        <v>1212500</v>
      </c>
      <c r="Y18" s="611">
        <v>44564</v>
      </c>
      <c r="Z18" s="562">
        <v>2182500</v>
      </c>
      <c r="AA18" s="611">
        <v>44578</v>
      </c>
      <c r="AB18" s="562">
        <v>1455000</v>
      </c>
      <c r="AC18" s="362"/>
    </row>
    <row r="19" spans="1:29" x14ac:dyDescent="0.25">
      <c r="A19" s="896"/>
      <c r="B19" s="896" t="s">
        <v>6050</v>
      </c>
      <c r="C19" s="896"/>
      <c r="D19" s="896"/>
      <c r="E19" s="611">
        <v>44326</v>
      </c>
      <c r="F19" s="562">
        <v>20108103</v>
      </c>
      <c r="G19" s="611">
        <v>44326</v>
      </c>
      <c r="H19" s="562">
        <v>12933173</v>
      </c>
      <c r="I19" s="611">
        <v>44326</v>
      </c>
      <c r="J19" s="562">
        <v>16755736</v>
      </c>
      <c r="K19" s="611">
        <v>44371</v>
      </c>
      <c r="L19" s="562">
        <v>14100000</v>
      </c>
      <c r="M19" s="611">
        <v>44431</v>
      </c>
      <c r="N19" s="562">
        <v>10600000</v>
      </c>
      <c r="O19" s="611">
        <v>44459</v>
      </c>
      <c r="P19" s="562">
        <v>15600000</v>
      </c>
      <c r="Q19" s="611">
        <v>44459</v>
      </c>
      <c r="R19" s="562">
        <v>12700000</v>
      </c>
      <c r="S19" s="611">
        <v>44522</v>
      </c>
      <c r="T19" s="562">
        <v>13900000</v>
      </c>
      <c r="U19" s="611">
        <v>44564</v>
      </c>
      <c r="V19" s="562">
        <v>18700000</v>
      </c>
      <c r="W19" s="611">
        <v>44564</v>
      </c>
      <c r="X19" s="562">
        <v>17500000</v>
      </c>
      <c r="Y19" s="611">
        <v>44629</v>
      </c>
      <c r="Z19" s="562">
        <v>21000000</v>
      </c>
      <c r="AA19" s="611">
        <v>44676</v>
      </c>
      <c r="AB19" s="562">
        <v>24950000</v>
      </c>
      <c r="AC19" s="362"/>
    </row>
    <row r="20" spans="1:29" x14ac:dyDescent="0.25">
      <c r="A20" s="896"/>
      <c r="B20" s="896" t="s">
        <v>6051</v>
      </c>
      <c r="C20" s="896"/>
      <c r="D20" s="896"/>
      <c r="E20" s="611" t="s">
        <v>6053</v>
      </c>
      <c r="F20" s="562">
        <v>17640420</v>
      </c>
      <c r="G20" s="611">
        <v>44281</v>
      </c>
      <c r="H20" s="562">
        <v>6667780</v>
      </c>
      <c r="I20" s="362" t="s">
        <v>6103</v>
      </c>
      <c r="J20" s="562">
        <v>21186352</v>
      </c>
      <c r="K20" s="611" t="s">
        <v>6108</v>
      </c>
      <c r="L20" s="562">
        <v>35197420</v>
      </c>
      <c r="M20" s="362"/>
      <c r="N20" s="362"/>
      <c r="O20" s="611">
        <v>44403</v>
      </c>
      <c r="P20" s="562">
        <v>20396190</v>
      </c>
      <c r="Q20" s="611">
        <v>44431</v>
      </c>
      <c r="R20" s="562">
        <v>8811092</v>
      </c>
      <c r="S20" s="611">
        <v>44459</v>
      </c>
      <c r="T20" s="562">
        <v>13829872</v>
      </c>
      <c r="U20" s="611">
        <v>44494</v>
      </c>
      <c r="V20" s="562">
        <v>22665020</v>
      </c>
      <c r="W20" s="611">
        <v>44522</v>
      </c>
      <c r="X20" s="562">
        <v>15777632</v>
      </c>
      <c r="Y20" s="611">
        <v>44550</v>
      </c>
      <c r="Z20" s="562">
        <v>23455570</v>
      </c>
      <c r="AA20" s="611">
        <v>44585</v>
      </c>
      <c r="AB20" s="562">
        <v>9501150</v>
      </c>
      <c r="AC20" s="362"/>
    </row>
    <row r="21" spans="1:29" x14ac:dyDescent="0.25">
      <c r="A21" s="896"/>
      <c r="B21" s="896" t="s">
        <v>6052</v>
      </c>
      <c r="C21" s="896"/>
      <c r="D21" s="896"/>
      <c r="E21" s="611" t="s">
        <v>6092</v>
      </c>
      <c r="F21" s="562">
        <v>13881686</v>
      </c>
      <c r="G21" s="362" t="s">
        <v>6092</v>
      </c>
      <c r="H21" s="562">
        <v>14049641</v>
      </c>
      <c r="I21" s="611" t="s">
        <v>6108</v>
      </c>
      <c r="J21" s="562">
        <v>12976078</v>
      </c>
      <c r="K21" s="611">
        <v>44396</v>
      </c>
      <c r="L21" s="562">
        <v>6920739</v>
      </c>
      <c r="M21" s="611">
        <v>44396</v>
      </c>
      <c r="N21" s="562">
        <v>7593453</v>
      </c>
      <c r="O21" s="611">
        <v>44424</v>
      </c>
      <c r="P21" s="562">
        <v>17929005</v>
      </c>
      <c r="Q21" s="611">
        <v>44473</v>
      </c>
      <c r="R21" s="562">
        <v>16948013</v>
      </c>
      <c r="S21" s="611">
        <v>44473</v>
      </c>
      <c r="T21" s="562">
        <v>17903368</v>
      </c>
      <c r="U21" s="611">
        <v>44536</v>
      </c>
      <c r="V21" s="562">
        <v>25259035</v>
      </c>
      <c r="W21" s="611">
        <v>44536</v>
      </c>
      <c r="X21" s="562">
        <v>22617482</v>
      </c>
      <c r="Y21" s="611">
        <v>44585</v>
      </c>
      <c r="Z21" s="562">
        <v>16368061</v>
      </c>
      <c r="AA21" s="611">
        <v>44585</v>
      </c>
      <c r="AB21" s="562">
        <v>27497032</v>
      </c>
      <c r="AC21" s="362"/>
    </row>
    <row r="22" spans="1:29" x14ac:dyDescent="0.25">
      <c r="A22" s="896"/>
      <c r="B22" s="896" t="s">
        <v>6054</v>
      </c>
      <c r="C22" s="896"/>
      <c r="D22" s="896"/>
      <c r="E22" s="611" t="s">
        <v>6053</v>
      </c>
      <c r="F22" s="562">
        <v>16440000</v>
      </c>
      <c r="G22" s="362" t="s">
        <v>6083</v>
      </c>
      <c r="H22" s="562">
        <v>14485000</v>
      </c>
      <c r="I22" s="362" t="s">
        <v>6092</v>
      </c>
      <c r="J22" s="562">
        <v>17030000</v>
      </c>
      <c r="K22" s="611">
        <v>44347</v>
      </c>
      <c r="L22" s="562">
        <v>23365000</v>
      </c>
      <c r="M22" s="611">
        <v>44368</v>
      </c>
      <c r="N22" s="562">
        <v>20470000</v>
      </c>
      <c r="O22" s="611">
        <v>44410</v>
      </c>
      <c r="P22" s="562">
        <v>19720000</v>
      </c>
      <c r="Q22" s="611">
        <v>44438</v>
      </c>
      <c r="R22" s="562">
        <v>17390000</v>
      </c>
      <c r="S22" s="611">
        <v>44473</v>
      </c>
      <c r="T22" s="562">
        <v>20865000</v>
      </c>
      <c r="U22" s="611">
        <v>44487</v>
      </c>
      <c r="V22" s="562">
        <v>18724669</v>
      </c>
      <c r="W22" s="611">
        <v>44515</v>
      </c>
      <c r="X22" s="562">
        <v>23290000</v>
      </c>
      <c r="Y22" s="611">
        <v>44550</v>
      </c>
      <c r="Z22" s="562">
        <v>24240000</v>
      </c>
      <c r="AA22" s="611">
        <v>44585</v>
      </c>
      <c r="AB22" s="562">
        <v>25505000</v>
      </c>
      <c r="AC22" s="362"/>
    </row>
    <row r="23" spans="1:29" x14ac:dyDescent="0.25">
      <c r="A23" s="896"/>
      <c r="B23" s="896" t="s">
        <v>6077</v>
      </c>
      <c r="C23" s="896"/>
      <c r="D23" s="896"/>
      <c r="E23" s="611" t="s">
        <v>6071</v>
      </c>
      <c r="F23" s="562">
        <v>111485579</v>
      </c>
      <c r="G23" s="362" t="s">
        <v>6078</v>
      </c>
      <c r="H23" s="562">
        <v>126556107</v>
      </c>
      <c r="I23" s="362"/>
      <c r="J23" s="362"/>
      <c r="K23" s="611">
        <v>44351</v>
      </c>
      <c r="L23" s="562">
        <v>187060614</v>
      </c>
      <c r="M23" s="611">
        <v>44371</v>
      </c>
      <c r="N23" s="562">
        <v>9247081</v>
      </c>
      <c r="O23" s="611">
        <v>44403</v>
      </c>
      <c r="P23" s="562">
        <v>92575461</v>
      </c>
      <c r="Q23" s="611">
        <v>44431</v>
      </c>
      <c r="R23" s="562">
        <v>88503900</v>
      </c>
      <c r="S23" s="611">
        <v>44459</v>
      </c>
      <c r="T23" s="562">
        <v>132146099</v>
      </c>
      <c r="U23" s="611">
        <v>44497</v>
      </c>
      <c r="V23" s="562">
        <v>147900476</v>
      </c>
      <c r="W23" s="611">
        <v>44515</v>
      </c>
      <c r="X23" s="562">
        <v>136830451</v>
      </c>
      <c r="Y23" s="611">
        <v>44543</v>
      </c>
      <c r="Z23" s="562">
        <v>129688849</v>
      </c>
      <c r="AA23" s="611">
        <v>44585</v>
      </c>
      <c r="AB23" s="562">
        <v>158661790</v>
      </c>
      <c r="AC23" s="362"/>
    </row>
    <row r="24" spans="1:29" x14ac:dyDescent="0.25">
      <c r="A24" s="896"/>
      <c r="B24" s="896" t="s">
        <v>6225</v>
      </c>
      <c r="C24" s="896"/>
      <c r="D24" s="896"/>
      <c r="E24" s="611" t="s">
        <v>125</v>
      </c>
      <c r="F24" s="611" t="s">
        <v>125</v>
      </c>
      <c r="G24" s="611" t="s">
        <v>125</v>
      </c>
      <c r="H24" s="611" t="s">
        <v>125</v>
      </c>
      <c r="I24" s="611" t="s">
        <v>125</v>
      </c>
      <c r="J24" s="611" t="s">
        <v>125</v>
      </c>
      <c r="K24" s="611" t="s">
        <v>125</v>
      </c>
      <c r="L24" s="611" t="s">
        <v>125</v>
      </c>
      <c r="M24" s="611" t="s">
        <v>125</v>
      </c>
      <c r="N24" s="611" t="s">
        <v>125</v>
      </c>
      <c r="O24" s="611" t="s">
        <v>125</v>
      </c>
      <c r="P24" s="611" t="s">
        <v>125</v>
      </c>
      <c r="Q24" s="611" t="s">
        <v>125</v>
      </c>
      <c r="R24" s="611" t="s">
        <v>125</v>
      </c>
      <c r="S24" s="611" t="s">
        <v>125</v>
      </c>
      <c r="T24" s="611" t="s">
        <v>125</v>
      </c>
      <c r="U24" s="587">
        <v>44543</v>
      </c>
      <c r="V24" s="564">
        <v>8272000</v>
      </c>
      <c r="W24" s="587"/>
      <c r="X24" s="564"/>
      <c r="Y24" s="362"/>
      <c r="Z24" s="362"/>
      <c r="AA24" s="362"/>
      <c r="AB24" s="362"/>
      <c r="AC24" s="362"/>
    </row>
    <row r="25" spans="1:29" x14ac:dyDescent="0.25">
      <c r="A25" s="896"/>
      <c r="B25" s="896" t="s">
        <v>6226</v>
      </c>
      <c r="C25" s="896"/>
      <c r="D25" s="896"/>
      <c r="E25" s="611" t="s">
        <v>125</v>
      </c>
      <c r="F25" s="611" t="s">
        <v>125</v>
      </c>
      <c r="G25" s="611" t="s">
        <v>125</v>
      </c>
      <c r="H25" s="611" t="s">
        <v>125</v>
      </c>
      <c r="I25" s="611" t="s">
        <v>125</v>
      </c>
      <c r="J25" s="611" t="s">
        <v>125</v>
      </c>
      <c r="K25" s="611" t="s">
        <v>125</v>
      </c>
      <c r="L25" s="611" t="s">
        <v>125</v>
      </c>
      <c r="M25" s="611" t="s">
        <v>125</v>
      </c>
      <c r="N25" s="611" t="s">
        <v>125</v>
      </c>
      <c r="O25" s="611" t="s">
        <v>125</v>
      </c>
      <c r="P25" s="611" t="s">
        <v>125</v>
      </c>
      <c r="Q25" s="611" t="s">
        <v>125</v>
      </c>
      <c r="R25" s="611" t="s">
        <v>125</v>
      </c>
      <c r="S25" s="611" t="s">
        <v>125</v>
      </c>
      <c r="T25" s="611" t="s">
        <v>125</v>
      </c>
      <c r="U25" s="587">
        <v>44543</v>
      </c>
      <c r="V25" s="564">
        <v>1457000</v>
      </c>
      <c r="W25" s="587"/>
      <c r="X25" s="564"/>
      <c r="Y25" s="362"/>
      <c r="Z25" s="362"/>
      <c r="AA25" s="362"/>
      <c r="AB25" s="362"/>
      <c r="AC25" s="362"/>
    </row>
    <row r="26" spans="1:29" x14ac:dyDescent="0.25">
      <c r="A26" s="896"/>
      <c r="B26" s="896" t="s">
        <v>6227</v>
      </c>
      <c r="C26" s="896"/>
      <c r="D26" s="896"/>
      <c r="E26" s="611" t="s">
        <v>125</v>
      </c>
      <c r="F26" s="611" t="s">
        <v>125</v>
      </c>
      <c r="G26" s="611" t="s">
        <v>125</v>
      </c>
      <c r="H26" s="611" t="s">
        <v>125</v>
      </c>
      <c r="I26" s="611" t="s">
        <v>125</v>
      </c>
      <c r="J26" s="611" t="s">
        <v>125</v>
      </c>
      <c r="K26" s="611" t="s">
        <v>125</v>
      </c>
      <c r="L26" s="611" t="s">
        <v>125</v>
      </c>
      <c r="M26" s="611" t="s">
        <v>125</v>
      </c>
      <c r="N26" s="611" t="s">
        <v>125</v>
      </c>
      <c r="O26" s="611" t="s">
        <v>125</v>
      </c>
      <c r="P26" s="611" t="s">
        <v>125</v>
      </c>
      <c r="Q26" s="611" t="s">
        <v>125</v>
      </c>
      <c r="R26" s="611" t="s">
        <v>125</v>
      </c>
      <c r="S26" s="611" t="s">
        <v>125</v>
      </c>
      <c r="T26" s="611" t="s">
        <v>125</v>
      </c>
      <c r="U26" s="852">
        <v>44543</v>
      </c>
      <c r="V26" s="565">
        <v>4928000</v>
      </c>
      <c r="W26" s="852">
        <v>44564</v>
      </c>
      <c r="X26" s="565">
        <v>5869000</v>
      </c>
      <c r="Y26" s="362"/>
      <c r="Z26" s="362"/>
      <c r="AA26" s="362"/>
      <c r="AB26" s="362"/>
      <c r="AC26" s="362"/>
    </row>
    <row r="27" spans="1:29" x14ac:dyDescent="0.25">
      <c r="A27" s="896"/>
      <c r="B27" s="896" t="s">
        <v>6079</v>
      </c>
      <c r="C27" s="896"/>
      <c r="D27" s="896"/>
      <c r="E27" s="611" t="s">
        <v>6080</v>
      </c>
      <c r="F27" s="562"/>
      <c r="G27" s="362" t="s">
        <v>6103</v>
      </c>
      <c r="H27" s="562">
        <v>10775000</v>
      </c>
      <c r="J27" s="562">
        <v>36325000</v>
      </c>
      <c r="K27" s="611">
        <v>44368</v>
      </c>
      <c r="L27" s="562">
        <v>38850000</v>
      </c>
      <c r="M27" s="611">
        <v>44368</v>
      </c>
      <c r="N27" s="562">
        <v>37750000</v>
      </c>
      <c r="O27" s="611">
        <v>44410</v>
      </c>
      <c r="P27" s="562">
        <v>37450000</v>
      </c>
      <c r="Q27" s="611">
        <v>44480</v>
      </c>
      <c r="R27" s="562">
        <v>28800000</v>
      </c>
      <c r="S27" s="611">
        <v>44480</v>
      </c>
      <c r="T27" s="562">
        <v>38575000</v>
      </c>
      <c r="U27" s="611">
        <v>44508</v>
      </c>
      <c r="V27" s="562">
        <v>40875000</v>
      </c>
      <c r="W27" s="611">
        <v>44564</v>
      </c>
      <c r="X27" s="562">
        <v>40375000</v>
      </c>
      <c r="Y27" s="611">
        <v>44564</v>
      </c>
      <c r="Z27" s="562">
        <v>42825000</v>
      </c>
      <c r="AA27" s="611">
        <v>44592</v>
      </c>
      <c r="AB27" s="562">
        <v>42000000</v>
      </c>
      <c r="AC27" s="362"/>
    </row>
    <row r="28" spans="1:29" x14ac:dyDescent="0.25">
      <c r="A28" s="896"/>
      <c r="B28" s="896"/>
      <c r="C28" s="896"/>
      <c r="D28" s="896"/>
      <c r="E28" s="630" t="s">
        <v>6103</v>
      </c>
      <c r="F28" s="1590">
        <v>91025000</v>
      </c>
      <c r="G28" s="1591"/>
      <c r="H28" s="1591"/>
      <c r="I28" s="1592"/>
      <c r="J28" s="630"/>
      <c r="K28" s="587">
        <v>44410</v>
      </c>
      <c r="L28" s="1593">
        <v>109800000</v>
      </c>
      <c r="M28" s="1594"/>
      <c r="N28" s="1594"/>
      <c r="O28" s="1594"/>
      <c r="P28" s="1595"/>
      <c r="Q28" s="680">
        <v>44508</v>
      </c>
      <c r="R28" s="1590">
        <v>114000000</v>
      </c>
      <c r="S28" s="1591"/>
      <c r="T28" s="1591"/>
      <c r="U28" s="1591"/>
      <c r="V28" s="1592"/>
      <c r="W28" s="587">
        <v>44592</v>
      </c>
      <c r="X28" s="1593">
        <v>117000000</v>
      </c>
      <c r="Y28" s="1594"/>
      <c r="Z28" s="1594"/>
      <c r="AA28" s="1594"/>
      <c r="AB28" s="1595"/>
      <c r="AC28" s="362"/>
    </row>
    <row r="29" spans="1:29" x14ac:dyDescent="0.25">
      <c r="A29" s="896"/>
      <c r="B29" s="896" t="s">
        <v>6089</v>
      </c>
      <c r="C29" s="896"/>
      <c r="D29" s="896"/>
      <c r="E29" s="611">
        <v>44292</v>
      </c>
      <c r="F29" s="562">
        <v>563010</v>
      </c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</row>
    <row r="30" spans="1:29" x14ac:dyDescent="0.25">
      <c r="A30" s="896"/>
      <c r="B30" s="896" t="s">
        <v>6120</v>
      </c>
      <c r="C30" s="896"/>
      <c r="D30" s="896"/>
      <c r="E30" s="611"/>
      <c r="F30" s="562"/>
      <c r="G30" s="611">
        <v>44368</v>
      </c>
      <c r="H30" s="562">
        <v>53711000</v>
      </c>
      <c r="I30" s="611">
        <v>44424</v>
      </c>
      <c r="J30" s="562">
        <v>44214750</v>
      </c>
      <c r="K30" s="611">
        <v>44424</v>
      </c>
      <c r="L30" s="562">
        <v>87641750</v>
      </c>
      <c r="M30" s="611">
        <v>44438</v>
      </c>
      <c r="N30" s="562">
        <v>42607500</v>
      </c>
      <c r="O30" s="611">
        <v>44480</v>
      </c>
      <c r="P30" s="562">
        <v>57498250</v>
      </c>
      <c r="Q30" s="611">
        <v>44515</v>
      </c>
      <c r="R30" s="562">
        <v>35906500</v>
      </c>
      <c r="S30" s="611">
        <v>44564</v>
      </c>
      <c r="T30" s="562">
        <v>61181500</v>
      </c>
      <c r="U30" s="611">
        <v>44564</v>
      </c>
      <c r="V30" s="562">
        <v>56914750</v>
      </c>
      <c r="W30" s="611">
        <v>44606</v>
      </c>
      <c r="X30" s="562">
        <v>54930750</v>
      </c>
      <c r="Y30" s="611">
        <v>44641</v>
      </c>
      <c r="Z30" s="562">
        <v>54491250</v>
      </c>
      <c r="AA30" s="611">
        <v>44690</v>
      </c>
      <c r="AB30" s="562">
        <v>66531250</v>
      </c>
      <c r="AC30" s="362"/>
    </row>
    <row r="31" spans="1:29" x14ac:dyDescent="0.25">
      <c r="A31" s="896"/>
      <c r="B31" s="896"/>
      <c r="C31" s="896"/>
      <c r="D31" s="896"/>
      <c r="E31" s="587">
        <v>44424</v>
      </c>
      <c r="F31" s="564">
        <v>49987500</v>
      </c>
      <c r="G31" s="680">
        <v>44438</v>
      </c>
      <c r="H31" s="1590">
        <v>16737500</v>
      </c>
      <c r="I31" s="1591"/>
      <c r="J31" s="1591"/>
      <c r="K31" s="1591"/>
      <c r="L31" s="1592"/>
      <c r="M31" s="587">
        <v>44480</v>
      </c>
      <c r="N31" s="1593">
        <v>19787500</v>
      </c>
      <c r="O31" s="1594"/>
      <c r="P31" s="1594"/>
      <c r="Q31" s="1594"/>
      <c r="R31" s="1595"/>
      <c r="S31" s="680"/>
      <c r="T31" s="1590"/>
      <c r="U31" s="1591"/>
      <c r="V31" s="1591"/>
      <c r="W31" s="1591"/>
      <c r="X31" s="1592"/>
      <c r="Y31" s="362"/>
      <c r="Z31" s="362"/>
      <c r="AA31" s="362"/>
      <c r="AB31" s="362"/>
      <c r="AC31" s="362"/>
    </row>
    <row r="32" spans="1:29" x14ac:dyDescent="0.25">
      <c r="A32" s="896"/>
      <c r="B32" s="896" t="s">
        <v>6173</v>
      </c>
      <c r="C32" s="896"/>
      <c r="D32" s="896"/>
      <c r="E32" s="852"/>
      <c r="F32" s="565"/>
      <c r="G32" s="852"/>
      <c r="H32" s="1411"/>
      <c r="I32" s="1412"/>
      <c r="J32" s="1412"/>
      <c r="K32" s="1412"/>
      <c r="L32" s="1413"/>
      <c r="M32" s="362"/>
      <c r="N32" s="362"/>
      <c r="O32" s="362"/>
      <c r="P32" s="362"/>
      <c r="Q32" s="611">
        <v>44459</v>
      </c>
      <c r="R32" s="562">
        <v>5502040</v>
      </c>
      <c r="S32" s="611">
        <v>44487</v>
      </c>
      <c r="T32" s="562">
        <v>8306550</v>
      </c>
      <c r="U32" s="362"/>
      <c r="V32" s="362"/>
      <c r="W32" s="362"/>
      <c r="X32" s="362"/>
      <c r="Y32" s="362"/>
      <c r="Z32" s="362"/>
      <c r="AA32" s="362"/>
      <c r="AB32" s="362"/>
      <c r="AC32" s="362"/>
    </row>
    <row r="33" spans="1:29" x14ac:dyDescent="0.25">
      <c r="A33" s="896"/>
      <c r="B33" s="900" t="s">
        <v>6017</v>
      </c>
      <c r="C33" s="896"/>
      <c r="D33" s="896"/>
      <c r="E33" s="611"/>
      <c r="F33" s="5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 x14ac:dyDescent="0.25">
      <c r="A34" s="896"/>
      <c r="B34" s="896" t="s">
        <v>6012</v>
      </c>
      <c r="C34" s="896"/>
      <c r="D34" s="896"/>
      <c r="E34" s="964">
        <v>44214</v>
      </c>
      <c r="F34" s="965">
        <f>800000000-80000000</f>
        <v>720000000</v>
      </c>
      <c r="G34" s="964">
        <v>44544</v>
      </c>
      <c r="H34" s="965">
        <f>800000000-80000000</f>
        <v>720000000</v>
      </c>
      <c r="I34" s="966"/>
      <c r="J34" s="966"/>
      <c r="K34" s="966"/>
      <c r="L34" s="966"/>
      <c r="M34" s="966"/>
      <c r="N34" s="966"/>
      <c r="O34" s="966"/>
      <c r="P34" s="966"/>
      <c r="Q34" s="966"/>
      <c r="R34" s="966"/>
      <c r="S34" s="966"/>
      <c r="T34" s="966"/>
      <c r="U34" s="966"/>
      <c r="V34" s="966"/>
      <c r="W34" s="966"/>
      <c r="X34" s="966"/>
      <c r="Y34" s="966"/>
      <c r="Z34" s="966"/>
      <c r="AA34" s="966"/>
      <c r="AB34" s="966"/>
      <c r="AC34" s="362"/>
    </row>
    <row r="35" spans="1:29" x14ac:dyDescent="0.25">
      <c r="A35" s="896"/>
      <c r="B35" s="896" t="s">
        <v>6011</v>
      </c>
      <c r="C35" s="896"/>
      <c r="D35" s="896"/>
      <c r="E35" s="964">
        <v>44221</v>
      </c>
      <c r="F35" s="965">
        <f>230000000-23000000</f>
        <v>207000000</v>
      </c>
      <c r="G35" s="964">
        <v>44544</v>
      </c>
      <c r="H35" s="965">
        <f>230000000-23000000</f>
        <v>207000000</v>
      </c>
      <c r="I35" s="966"/>
      <c r="J35" s="966"/>
      <c r="K35" s="966"/>
      <c r="L35" s="966"/>
      <c r="M35" s="966"/>
      <c r="N35" s="966"/>
      <c r="O35" s="966"/>
      <c r="P35" s="966"/>
      <c r="Q35" s="966"/>
      <c r="R35" s="966"/>
      <c r="S35" s="966"/>
      <c r="T35" s="966"/>
      <c r="U35" s="966"/>
      <c r="V35" s="966"/>
      <c r="W35" s="966"/>
      <c r="X35" s="966"/>
      <c r="Y35" s="966"/>
      <c r="Z35" s="966"/>
      <c r="AA35" s="966"/>
      <c r="AB35" s="966"/>
      <c r="AC35" s="362"/>
    </row>
    <row r="36" spans="1:29" x14ac:dyDescent="0.25">
      <c r="A36" s="896"/>
      <c r="B36" s="896" t="s">
        <v>6013</v>
      </c>
      <c r="C36" s="896"/>
      <c r="D36" s="896"/>
      <c r="E36" s="964">
        <v>44221</v>
      </c>
      <c r="F36" s="965">
        <f>225000000-22500000</f>
        <v>202500000</v>
      </c>
      <c r="G36" s="964">
        <v>44544</v>
      </c>
      <c r="H36" s="965">
        <f>225000000-22500000</f>
        <v>202500000</v>
      </c>
      <c r="I36" s="966"/>
      <c r="J36" s="966"/>
      <c r="K36" s="966"/>
      <c r="L36" s="966"/>
      <c r="M36" s="966"/>
      <c r="N36" s="966"/>
      <c r="O36" s="966"/>
      <c r="P36" s="966"/>
      <c r="Q36" s="966"/>
      <c r="R36" s="966"/>
      <c r="S36" s="966"/>
      <c r="T36" s="966"/>
      <c r="U36" s="966"/>
      <c r="V36" s="966"/>
      <c r="W36" s="966"/>
      <c r="X36" s="966"/>
      <c r="Y36" s="966"/>
      <c r="Z36" s="966"/>
      <c r="AA36" s="966"/>
      <c r="AB36" s="966"/>
      <c r="AC36" s="362"/>
    </row>
    <row r="37" spans="1:29" x14ac:dyDescent="0.25">
      <c r="A37" s="896"/>
      <c r="B37" s="896" t="s">
        <v>6228</v>
      </c>
      <c r="C37" s="896"/>
      <c r="D37" s="896"/>
      <c r="E37" s="964">
        <v>44550</v>
      </c>
      <c r="F37" s="965">
        <f>533333330+53333333-53333333</f>
        <v>533333330</v>
      </c>
      <c r="G37" s="964"/>
      <c r="H37" s="965"/>
      <c r="I37" s="966"/>
      <c r="J37" s="966"/>
      <c r="K37" s="966"/>
      <c r="L37" s="966"/>
      <c r="M37" s="966"/>
      <c r="N37" s="966"/>
      <c r="O37" s="966"/>
      <c r="P37" s="966"/>
      <c r="Q37" s="966"/>
      <c r="R37" s="966"/>
      <c r="S37" s="966"/>
      <c r="T37" s="966"/>
      <c r="U37" s="966"/>
      <c r="V37" s="966"/>
      <c r="W37" s="966"/>
      <c r="X37" s="966"/>
      <c r="Y37" s="966"/>
      <c r="Z37" s="966"/>
      <c r="AA37" s="966"/>
      <c r="AB37" s="966"/>
      <c r="AC37" s="362"/>
    </row>
    <row r="38" spans="1:29" x14ac:dyDescent="0.25">
      <c r="A38" s="896"/>
      <c r="B38" s="896" t="s">
        <v>6084</v>
      </c>
      <c r="C38" s="896"/>
      <c r="D38" s="896"/>
      <c r="E38" s="964">
        <v>44169</v>
      </c>
      <c r="F38" s="965">
        <v>760000000</v>
      </c>
      <c r="G38" s="966"/>
      <c r="H38" s="966"/>
      <c r="I38" s="966"/>
      <c r="J38" s="966"/>
      <c r="K38" s="966"/>
      <c r="L38" s="966"/>
      <c r="M38" s="966"/>
      <c r="N38" s="966"/>
      <c r="O38" s="966"/>
      <c r="P38" s="966"/>
      <c r="Q38" s="966"/>
      <c r="R38" s="966"/>
      <c r="S38" s="966"/>
      <c r="T38" s="966"/>
      <c r="U38" s="966"/>
      <c r="V38" s="966"/>
      <c r="W38" s="966"/>
      <c r="X38" s="966"/>
      <c r="Y38" s="966"/>
      <c r="Z38" s="966"/>
      <c r="AA38" s="966"/>
      <c r="AB38" s="966"/>
      <c r="AC38" s="362"/>
    </row>
    <row r="39" spans="1:29" x14ac:dyDescent="0.25">
      <c r="A39" s="896"/>
      <c r="B39" s="896" t="s">
        <v>6105</v>
      </c>
      <c r="C39" s="896"/>
      <c r="D39" s="896"/>
      <c r="E39" s="964">
        <v>44141</v>
      </c>
      <c r="F39" s="965">
        <v>25000000</v>
      </c>
      <c r="G39" s="964">
        <v>44320</v>
      </c>
      <c r="H39" s="965">
        <f>236000000+110000000</f>
        <v>346000000</v>
      </c>
      <c r="I39" s="966"/>
      <c r="J39" s="966"/>
      <c r="K39" s="966"/>
      <c r="L39" s="966"/>
      <c r="M39" s="966"/>
      <c r="N39" s="966"/>
      <c r="O39" s="966"/>
      <c r="P39" s="966"/>
      <c r="Q39" s="966"/>
      <c r="R39" s="966"/>
      <c r="S39" s="966"/>
      <c r="T39" s="966"/>
      <c r="U39" s="966"/>
      <c r="V39" s="966"/>
      <c r="W39" s="966"/>
      <c r="X39" s="966"/>
      <c r="Y39" s="966"/>
      <c r="Z39" s="966"/>
      <c r="AA39" s="966"/>
      <c r="AB39" s="966"/>
      <c r="AC39" s="362"/>
    </row>
    <row r="40" spans="1:29" x14ac:dyDescent="0.25">
      <c r="A40" s="896"/>
      <c r="B40" s="896" t="s">
        <v>6127</v>
      </c>
      <c r="C40" s="896"/>
      <c r="D40" s="896"/>
      <c r="E40" s="964">
        <v>44424</v>
      </c>
      <c r="F40" s="965">
        <v>50000000</v>
      </c>
      <c r="G40" s="964">
        <v>44484</v>
      </c>
      <c r="H40" s="965">
        <v>250000000</v>
      </c>
      <c r="I40" s="966"/>
      <c r="J40" s="966"/>
      <c r="K40" s="966"/>
      <c r="L40" s="966"/>
      <c r="M40" s="966"/>
      <c r="N40" s="966"/>
      <c r="O40" s="966"/>
      <c r="P40" s="966"/>
      <c r="Q40" s="966"/>
      <c r="R40" s="966"/>
      <c r="S40" s="966"/>
      <c r="T40" s="966"/>
      <c r="U40" s="966"/>
      <c r="V40" s="966"/>
      <c r="W40" s="966"/>
      <c r="X40" s="966"/>
      <c r="Y40" s="966"/>
      <c r="Z40" s="966"/>
      <c r="AA40" s="966"/>
      <c r="AB40" s="966"/>
      <c r="AC40" s="362"/>
    </row>
    <row r="41" spans="1:29" x14ac:dyDescent="0.25">
      <c r="A41" s="896"/>
      <c r="B41" s="896" t="s">
        <v>6184</v>
      </c>
      <c r="C41" s="896"/>
      <c r="D41" s="896"/>
      <c r="E41" s="964">
        <v>44484</v>
      </c>
      <c r="F41" s="965">
        <f>570000000-57000000</f>
        <v>513000000</v>
      </c>
      <c r="G41" s="964"/>
      <c r="H41" s="965"/>
      <c r="I41" s="966"/>
      <c r="J41" s="966"/>
      <c r="K41" s="966"/>
      <c r="L41" s="966"/>
      <c r="M41" s="966"/>
      <c r="N41" s="966"/>
      <c r="O41" s="966"/>
      <c r="P41" s="966"/>
      <c r="Q41" s="966"/>
      <c r="R41" s="966"/>
      <c r="S41" s="966"/>
      <c r="T41" s="966"/>
      <c r="U41" s="966"/>
      <c r="V41" s="966"/>
      <c r="W41" s="966"/>
      <c r="X41" s="966"/>
      <c r="Y41" s="966"/>
      <c r="Z41" s="966"/>
      <c r="AA41" s="966"/>
      <c r="AB41" s="966"/>
      <c r="AC41" s="362"/>
    </row>
    <row r="42" spans="1:29" x14ac:dyDescent="0.25">
      <c r="A42" s="896"/>
      <c r="B42" s="896" t="s">
        <v>6185</v>
      </c>
      <c r="C42" s="896"/>
      <c r="D42" s="896"/>
      <c r="E42" s="964">
        <v>44488</v>
      </c>
      <c r="F42" s="965">
        <v>250000000</v>
      </c>
      <c r="G42" s="964"/>
      <c r="H42" s="965"/>
      <c r="I42" s="966"/>
      <c r="J42" s="966"/>
      <c r="K42" s="966"/>
      <c r="L42" s="966"/>
      <c r="M42" s="966"/>
      <c r="N42" s="966"/>
      <c r="O42" s="966"/>
      <c r="P42" s="966"/>
      <c r="Q42" s="966"/>
      <c r="R42" s="966"/>
      <c r="S42" s="966"/>
      <c r="T42" s="966"/>
      <c r="U42" s="966"/>
      <c r="V42" s="966"/>
      <c r="W42" s="966"/>
      <c r="X42" s="966"/>
      <c r="Y42" s="966"/>
      <c r="Z42" s="966"/>
      <c r="AA42" s="966"/>
      <c r="AB42" s="966"/>
      <c r="AC42" s="362"/>
    </row>
    <row r="43" spans="1:29" x14ac:dyDescent="0.25">
      <c r="A43" s="896"/>
      <c r="B43" s="896" t="s">
        <v>6186</v>
      </c>
      <c r="C43" s="896"/>
      <c r="D43" s="896"/>
      <c r="E43" s="964">
        <v>44488</v>
      </c>
      <c r="F43" s="965">
        <v>250000000</v>
      </c>
      <c r="G43" s="964"/>
      <c r="H43" s="965"/>
      <c r="I43" s="966"/>
      <c r="J43" s="966"/>
      <c r="K43" s="966"/>
      <c r="L43" s="966"/>
      <c r="M43" s="966"/>
      <c r="N43" s="966"/>
      <c r="O43" s="966"/>
      <c r="P43" s="966"/>
      <c r="Q43" s="966"/>
      <c r="R43" s="966"/>
      <c r="S43" s="966"/>
      <c r="T43" s="966"/>
      <c r="U43" s="966"/>
      <c r="V43" s="966"/>
      <c r="W43" s="966"/>
      <c r="X43" s="966"/>
      <c r="Y43" s="966"/>
      <c r="Z43" s="966"/>
      <c r="AA43" s="966"/>
      <c r="AB43" s="966"/>
      <c r="AC43" s="362"/>
    </row>
    <row r="44" spans="1:29" x14ac:dyDescent="0.25">
      <c r="A44" s="896"/>
      <c r="B44" s="896" t="s">
        <v>6019</v>
      </c>
      <c r="C44" s="896"/>
      <c r="D44" s="896"/>
      <c r="E44" s="964">
        <v>44225</v>
      </c>
      <c r="F44" s="965">
        <v>16000000</v>
      </c>
      <c r="G44" s="966"/>
      <c r="H44" s="966"/>
      <c r="I44" s="966"/>
      <c r="J44" s="966"/>
      <c r="K44" s="966"/>
      <c r="L44" s="966"/>
      <c r="M44" s="966"/>
      <c r="N44" s="966"/>
      <c r="O44" s="966"/>
      <c r="P44" s="966"/>
      <c r="Q44" s="966"/>
      <c r="R44" s="966"/>
      <c r="S44" s="966"/>
      <c r="T44" s="966"/>
      <c r="U44" s="966"/>
      <c r="V44" s="966"/>
      <c r="W44" s="966"/>
      <c r="X44" s="966"/>
      <c r="Y44" s="966"/>
      <c r="Z44" s="966"/>
      <c r="AA44" s="966"/>
      <c r="AB44" s="966"/>
      <c r="AC44" s="362"/>
    </row>
    <row r="45" spans="1:29" x14ac:dyDescent="0.25">
      <c r="A45" s="896"/>
      <c r="B45" s="896" t="s">
        <v>6043</v>
      </c>
      <c r="C45" s="896"/>
      <c r="D45" s="896"/>
      <c r="E45" s="964">
        <v>44238</v>
      </c>
      <c r="F45" s="965">
        <v>14000000</v>
      </c>
      <c r="G45" s="966"/>
      <c r="H45" s="966"/>
      <c r="I45" s="966"/>
      <c r="J45" s="966"/>
      <c r="K45" s="966"/>
      <c r="L45" s="966"/>
      <c r="M45" s="966"/>
      <c r="N45" s="966"/>
      <c r="O45" s="966"/>
      <c r="P45" s="966"/>
      <c r="Q45" s="966"/>
      <c r="R45" s="966"/>
      <c r="S45" s="966"/>
      <c r="T45" s="966"/>
      <c r="U45" s="966"/>
      <c r="V45" s="966"/>
      <c r="W45" s="966"/>
      <c r="X45" s="966"/>
      <c r="Y45" s="966"/>
      <c r="Z45" s="966"/>
      <c r="AA45" s="966"/>
      <c r="AB45" s="966"/>
      <c r="AC45" s="362"/>
    </row>
    <row r="46" spans="1:29" x14ac:dyDescent="0.25">
      <c r="A46" s="896"/>
      <c r="B46" s="896" t="s">
        <v>6044</v>
      </c>
      <c r="C46" s="896"/>
      <c r="D46" s="896"/>
      <c r="E46" s="964">
        <v>44238</v>
      </c>
      <c r="F46" s="965">
        <v>5000000</v>
      </c>
      <c r="G46" s="966"/>
      <c r="H46" s="966"/>
      <c r="I46" s="966"/>
      <c r="J46" s="966"/>
      <c r="K46" s="966"/>
      <c r="L46" s="966"/>
      <c r="M46" s="966"/>
      <c r="N46" s="966"/>
      <c r="O46" s="966"/>
      <c r="P46" s="966"/>
      <c r="Q46" s="966"/>
      <c r="R46" s="966"/>
      <c r="S46" s="966"/>
      <c r="T46" s="966"/>
      <c r="U46" s="966"/>
      <c r="V46" s="966"/>
      <c r="W46" s="966"/>
      <c r="X46" s="966"/>
      <c r="Y46" s="966"/>
      <c r="Z46" s="966"/>
      <c r="AA46" s="966"/>
      <c r="AB46" s="966"/>
      <c r="AC46" s="362"/>
    </row>
    <row r="47" spans="1:29" x14ac:dyDescent="0.25">
      <c r="A47" s="896"/>
      <c r="B47" s="900" t="s">
        <v>6109</v>
      </c>
      <c r="C47" s="896"/>
      <c r="D47" s="896"/>
      <c r="E47" s="964"/>
      <c r="F47" s="965"/>
      <c r="G47" s="966"/>
      <c r="H47" s="966"/>
      <c r="I47" s="966"/>
      <c r="J47" s="966"/>
      <c r="K47" s="966"/>
      <c r="L47" s="966"/>
      <c r="M47" s="966"/>
      <c r="N47" s="966"/>
      <c r="O47" s="966"/>
      <c r="P47" s="966"/>
      <c r="Q47" s="966"/>
      <c r="R47" s="966"/>
      <c r="S47" s="966"/>
      <c r="T47" s="966"/>
      <c r="U47" s="966"/>
      <c r="V47" s="966"/>
      <c r="W47" s="966"/>
      <c r="X47" s="966"/>
      <c r="Y47" s="966"/>
      <c r="Z47" s="966"/>
      <c r="AA47" s="966"/>
      <c r="AB47" s="966"/>
      <c r="AC47" s="362"/>
    </row>
    <row r="48" spans="1:29" x14ac:dyDescent="0.25">
      <c r="A48" s="896"/>
      <c r="B48" s="896" t="s">
        <v>148</v>
      </c>
      <c r="C48" s="896"/>
      <c r="D48" s="896"/>
      <c r="E48" s="964">
        <v>44344</v>
      </c>
      <c r="F48" s="965">
        <v>17448704</v>
      </c>
      <c r="G48" s="966"/>
      <c r="H48" s="966"/>
      <c r="I48" s="966"/>
      <c r="J48" s="966"/>
      <c r="K48" s="966"/>
      <c r="L48" s="966"/>
      <c r="M48" s="966"/>
      <c r="N48" s="966"/>
      <c r="O48" s="966"/>
      <c r="P48" s="966"/>
      <c r="Q48" s="966"/>
      <c r="R48" s="966"/>
      <c r="S48" s="966"/>
      <c r="T48" s="966"/>
      <c r="U48" s="966"/>
      <c r="V48" s="966"/>
      <c r="W48" s="966"/>
      <c r="X48" s="966"/>
      <c r="Y48" s="966"/>
      <c r="Z48" s="966"/>
      <c r="AA48" s="966"/>
      <c r="AB48" s="966"/>
      <c r="AC48" s="362"/>
    </row>
    <row r="49" spans="1:29" x14ac:dyDescent="0.25">
      <c r="A49" s="896"/>
      <c r="B49" s="896" t="s">
        <v>6124</v>
      </c>
      <c r="C49" s="896"/>
      <c r="D49" s="896"/>
      <c r="E49" s="964">
        <v>44389</v>
      </c>
      <c r="F49" s="965">
        <v>9014816</v>
      </c>
      <c r="G49" s="966"/>
      <c r="H49" s="966"/>
      <c r="I49" s="966"/>
      <c r="J49" s="966"/>
      <c r="K49" s="966"/>
      <c r="L49" s="966"/>
      <c r="M49" s="966"/>
      <c r="N49" s="966"/>
      <c r="O49" s="966"/>
      <c r="P49" s="966"/>
      <c r="Q49" s="966"/>
      <c r="R49" s="966"/>
      <c r="S49" s="966"/>
      <c r="T49" s="966"/>
      <c r="U49" s="966"/>
      <c r="V49" s="966"/>
      <c r="W49" s="966"/>
      <c r="X49" s="966"/>
      <c r="Y49" s="966"/>
      <c r="Z49" s="966"/>
      <c r="AA49" s="966"/>
      <c r="AB49" s="966"/>
      <c r="AC49" s="362"/>
    </row>
    <row r="50" spans="1:29" x14ac:dyDescent="0.25">
      <c r="A50" s="896"/>
      <c r="B50" s="896" t="s">
        <v>84</v>
      </c>
      <c r="C50" s="896"/>
      <c r="D50" s="896"/>
      <c r="E50" s="964">
        <v>44389</v>
      </c>
      <c r="F50" s="965">
        <v>1885743</v>
      </c>
      <c r="G50" s="966"/>
      <c r="H50" s="966"/>
      <c r="I50" s="966"/>
      <c r="J50" s="966"/>
      <c r="K50" s="966"/>
      <c r="L50" s="966"/>
      <c r="M50" s="966"/>
      <c r="N50" s="966"/>
      <c r="O50" s="966"/>
      <c r="P50" s="966"/>
      <c r="Q50" s="966"/>
      <c r="R50" s="966"/>
      <c r="S50" s="966"/>
      <c r="T50" s="966"/>
      <c r="U50" s="966"/>
      <c r="V50" s="966"/>
      <c r="W50" s="966"/>
      <c r="X50" s="966"/>
      <c r="Y50" s="966"/>
      <c r="Z50" s="966"/>
      <c r="AA50" s="966"/>
      <c r="AB50" s="966"/>
      <c r="AC50" s="362"/>
    </row>
    <row r="51" spans="1:29" x14ac:dyDescent="0.25">
      <c r="A51" s="896"/>
      <c r="B51" s="900" t="s">
        <v>6018</v>
      </c>
      <c r="C51" s="896"/>
      <c r="D51" s="896"/>
      <c r="E51" s="611"/>
      <c r="F51" s="5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</row>
    <row r="52" spans="1:29" x14ac:dyDescent="0.25">
      <c r="A52" s="896"/>
      <c r="B52" s="941" t="s">
        <v>3131</v>
      </c>
      <c r="C52" s="896"/>
      <c r="D52" s="896"/>
      <c r="E52" s="611">
        <v>44475</v>
      </c>
      <c r="F52" s="562">
        <v>459980323</v>
      </c>
      <c r="G52" s="611">
        <v>44476</v>
      </c>
      <c r="H52" s="562">
        <v>454085860</v>
      </c>
      <c r="I52" s="611">
        <v>44477</v>
      </c>
      <c r="J52" s="562">
        <v>558133192</v>
      </c>
      <c r="K52" s="611">
        <v>44480</v>
      </c>
      <c r="L52" s="562">
        <v>594495076</v>
      </c>
      <c r="M52" s="611">
        <v>44481</v>
      </c>
      <c r="N52" s="866">
        <v>356361074</v>
      </c>
      <c r="O52" s="611">
        <v>44482</v>
      </c>
      <c r="P52" s="562">
        <v>546942851</v>
      </c>
      <c r="Q52" s="611">
        <v>44483</v>
      </c>
      <c r="R52" s="562">
        <v>452455698</v>
      </c>
      <c r="S52" s="611">
        <v>44484</v>
      </c>
      <c r="T52" s="562">
        <v>502519990</v>
      </c>
      <c r="U52" s="611">
        <v>44487</v>
      </c>
      <c r="V52" s="562">
        <v>571247226</v>
      </c>
      <c r="W52" s="611">
        <v>44518</v>
      </c>
      <c r="X52" s="562">
        <v>490797282</v>
      </c>
      <c r="Y52" s="362"/>
      <c r="Z52" s="362"/>
      <c r="AA52" s="362"/>
      <c r="AB52" s="362"/>
      <c r="AC52" s="362"/>
    </row>
    <row r="53" spans="1:29" x14ac:dyDescent="0.25">
      <c r="A53" s="896"/>
      <c r="B53" s="896" t="s">
        <v>5987</v>
      </c>
      <c r="C53" s="896"/>
      <c r="D53" s="896"/>
      <c r="E53" s="611">
        <v>44203</v>
      </c>
      <c r="F53" s="562">
        <v>118261347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</row>
    <row r="54" spans="1:29" x14ac:dyDescent="0.25">
      <c r="A54" s="896"/>
      <c r="B54" s="896"/>
      <c r="C54" s="896"/>
      <c r="D54" s="896"/>
      <c r="E54" s="611">
        <v>44203</v>
      </c>
      <c r="F54" s="562">
        <v>113819640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 x14ac:dyDescent="0.25">
      <c r="A55" s="896"/>
      <c r="B55" s="896"/>
      <c r="C55" s="896"/>
      <c r="D55" s="896"/>
      <c r="E55" s="611">
        <v>44207</v>
      </c>
      <c r="F55" s="562">
        <v>2740000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 x14ac:dyDescent="0.25">
      <c r="A56" s="896"/>
      <c r="B56" s="896"/>
      <c r="C56" s="896"/>
      <c r="D56" s="896"/>
      <c r="E56" s="611">
        <v>44208</v>
      </c>
      <c r="F56" s="562">
        <v>2183327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 x14ac:dyDescent="0.25">
      <c r="A57" s="896"/>
      <c r="B57" s="896" t="s">
        <v>5997</v>
      </c>
      <c r="C57" s="896"/>
      <c r="D57" s="896"/>
      <c r="E57" s="611">
        <v>44204</v>
      </c>
      <c r="F57" s="562">
        <v>45636675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 x14ac:dyDescent="0.25">
      <c r="A58" s="896"/>
      <c r="B58" s="896" t="s">
        <v>5990</v>
      </c>
      <c r="C58" s="896"/>
      <c r="D58" s="896"/>
      <c r="E58" s="611">
        <v>44204</v>
      </c>
      <c r="F58" s="562">
        <v>76000000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 x14ac:dyDescent="0.25">
      <c r="A59" s="896"/>
      <c r="B59" s="896"/>
      <c r="C59" s="896"/>
      <c r="D59" s="896"/>
      <c r="E59" s="362"/>
      <c r="F59" s="562">
        <v>80000000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 x14ac:dyDescent="0.25">
      <c r="A60" s="896"/>
      <c r="B60" s="896"/>
      <c r="C60" s="896"/>
      <c r="D60" s="896"/>
      <c r="E60" s="362"/>
      <c r="F60" s="562">
        <v>23000000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 x14ac:dyDescent="0.25">
      <c r="A61" s="896"/>
      <c r="B61" s="896"/>
      <c r="C61" s="896"/>
      <c r="D61" s="896"/>
      <c r="E61" s="362"/>
      <c r="F61" s="562">
        <v>22500000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 x14ac:dyDescent="0.25">
      <c r="A62" s="896"/>
      <c r="B62" s="896" t="s">
        <v>6007</v>
      </c>
      <c r="C62" s="896" t="s">
        <v>217</v>
      </c>
      <c r="D62" s="896"/>
      <c r="E62" s="611">
        <v>44204</v>
      </c>
      <c r="F62" s="562">
        <v>5705166</v>
      </c>
      <c r="G62" s="611">
        <v>44237</v>
      </c>
      <c r="H62" s="562">
        <v>5613043</v>
      </c>
      <c r="I62" s="611">
        <v>44265</v>
      </c>
      <c r="J62" s="562">
        <v>5520920</v>
      </c>
      <c r="K62" s="611">
        <v>44295</v>
      </c>
      <c r="L62" s="562">
        <v>5520920</v>
      </c>
      <c r="M62" s="611">
        <v>44326</v>
      </c>
      <c r="N62" s="562">
        <v>5244551</v>
      </c>
      <c r="O62" s="611">
        <v>44357</v>
      </c>
      <c r="P62" s="562">
        <v>5336674</v>
      </c>
      <c r="Q62" s="611">
        <v>44386</v>
      </c>
      <c r="R62" s="562">
        <v>5550198</v>
      </c>
      <c r="S62" s="611">
        <v>44418</v>
      </c>
      <c r="T62" s="562">
        <v>5550198</v>
      </c>
      <c r="U62" s="611">
        <v>44449</v>
      </c>
      <c r="V62" s="562">
        <v>5550198</v>
      </c>
      <c r="W62" s="611">
        <v>44477</v>
      </c>
      <c r="X62" s="562">
        <v>5642321</v>
      </c>
      <c r="Y62" s="611">
        <v>44510</v>
      </c>
      <c r="Z62" s="562">
        <v>5550198</v>
      </c>
      <c r="AA62" s="611">
        <v>44540</v>
      </c>
      <c r="AB62" s="562">
        <v>5111069</v>
      </c>
      <c r="AC62" s="362"/>
    </row>
    <row r="63" spans="1:29" x14ac:dyDescent="0.25">
      <c r="A63" s="896"/>
      <c r="B63" s="896"/>
      <c r="C63" s="896"/>
      <c r="D63" s="896"/>
      <c r="E63" s="611">
        <v>44204</v>
      </c>
      <c r="F63" s="562">
        <v>61026676</v>
      </c>
      <c r="G63" s="611">
        <v>44237</v>
      </c>
      <c r="H63" s="562">
        <v>59254604</v>
      </c>
      <c r="I63" s="611">
        <v>44265</v>
      </c>
      <c r="J63" s="562">
        <v>59735302</v>
      </c>
      <c r="K63" s="611">
        <v>44295</v>
      </c>
      <c r="L63" s="562">
        <v>59279349</v>
      </c>
      <c r="M63" s="611">
        <v>44326</v>
      </c>
      <c r="N63" s="562">
        <v>60475243</v>
      </c>
      <c r="O63" s="611">
        <v>44357</v>
      </c>
      <c r="P63" s="562">
        <v>60212064</v>
      </c>
      <c r="Q63" s="611">
        <v>44386</v>
      </c>
      <c r="R63" s="562">
        <v>61424911</v>
      </c>
      <c r="S63" s="611">
        <v>44418</v>
      </c>
      <c r="T63" s="562">
        <v>61488913</v>
      </c>
      <c r="U63" s="611">
        <v>44449</v>
      </c>
      <c r="V63" s="562">
        <v>61641742</v>
      </c>
      <c r="W63" s="611">
        <v>44477</v>
      </c>
      <c r="X63" s="562">
        <v>61471489</v>
      </c>
      <c r="Y63" s="611">
        <v>44510</v>
      </c>
      <c r="Z63" s="562">
        <v>61812342</v>
      </c>
      <c r="AA63" s="611">
        <v>44540</v>
      </c>
      <c r="AB63" s="562">
        <v>60389335</v>
      </c>
      <c r="AC63" s="362"/>
    </row>
    <row r="64" spans="1:29" x14ac:dyDescent="0.25">
      <c r="A64" s="896"/>
      <c r="B64" s="896"/>
      <c r="C64" s="896" t="s">
        <v>6008</v>
      </c>
      <c r="D64" s="896"/>
      <c r="E64" s="611">
        <v>44224</v>
      </c>
      <c r="F64" s="562">
        <v>115445397</v>
      </c>
      <c r="G64" s="611">
        <v>44252</v>
      </c>
      <c r="H64" s="562">
        <v>123074166</v>
      </c>
      <c r="I64" s="611">
        <v>44285</v>
      </c>
      <c r="J64" s="562">
        <v>122361084</v>
      </c>
      <c r="K64" s="362"/>
      <c r="L64" s="362"/>
      <c r="M64" s="611">
        <v>44344</v>
      </c>
      <c r="N64" s="562">
        <v>127968161</v>
      </c>
      <c r="O64" s="611">
        <v>44376</v>
      </c>
      <c r="P64" s="562">
        <v>152050867</v>
      </c>
      <c r="Q64" s="611">
        <v>44404</v>
      </c>
      <c r="R64" s="562">
        <v>128525125</v>
      </c>
      <c r="S64" s="611">
        <v>44434</v>
      </c>
      <c r="T64" s="562">
        <v>127411012</v>
      </c>
      <c r="U64" s="611">
        <v>44468</v>
      </c>
      <c r="V64" s="562">
        <v>127522153</v>
      </c>
      <c r="W64" s="611">
        <v>44496</v>
      </c>
      <c r="X64" s="562">
        <v>124547072</v>
      </c>
      <c r="Y64" s="611">
        <v>44526</v>
      </c>
      <c r="Z64" s="562">
        <v>125265536</v>
      </c>
      <c r="AA64" s="611">
        <v>44559</v>
      </c>
      <c r="AB64" s="562">
        <v>131535483</v>
      </c>
      <c r="AC64" s="362"/>
    </row>
    <row r="65" spans="1:29" x14ac:dyDescent="0.25">
      <c r="A65" s="896"/>
      <c r="B65" s="896" t="s">
        <v>5991</v>
      </c>
      <c r="C65" s="896" t="s">
        <v>6021</v>
      </c>
      <c r="D65" s="896"/>
      <c r="E65" s="611">
        <v>44207</v>
      </c>
      <c r="F65" s="562">
        <v>110602494</v>
      </c>
      <c r="G65" s="611">
        <v>44267</v>
      </c>
      <c r="H65" s="562">
        <v>82970579</v>
      </c>
      <c r="I65" s="611">
        <v>44298</v>
      </c>
      <c r="J65" s="562">
        <v>67901051</v>
      </c>
      <c r="K65" s="611">
        <v>44327</v>
      </c>
      <c r="L65" s="562">
        <v>86038963</v>
      </c>
      <c r="M65" s="611">
        <v>44358</v>
      </c>
      <c r="N65" s="562">
        <v>106297880</v>
      </c>
      <c r="O65" s="611">
        <v>44390</v>
      </c>
      <c r="P65" s="562">
        <v>102548508</v>
      </c>
      <c r="Q65" s="611">
        <v>44420</v>
      </c>
      <c r="R65" s="562">
        <v>125731139</v>
      </c>
      <c r="S65" s="611">
        <v>44452</v>
      </c>
      <c r="T65" s="562">
        <v>45056121</v>
      </c>
      <c r="U65" s="362"/>
      <c r="V65" s="362"/>
      <c r="W65" s="362"/>
      <c r="X65" s="562"/>
      <c r="Y65" s="362"/>
      <c r="Z65" s="562"/>
      <c r="AA65" s="362"/>
      <c r="AB65" s="362"/>
      <c r="AC65" s="362"/>
    </row>
    <row r="66" spans="1:29" x14ac:dyDescent="0.25">
      <c r="A66" s="896"/>
      <c r="B66" s="896"/>
      <c r="C66" s="896" t="s">
        <v>6022</v>
      </c>
      <c r="D66" s="896"/>
      <c r="E66" s="611">
        <v>44228</v>
      </c>
      <c r="F66" s="562">
        <v>39774165</v>
      </c>
      <c r="G66" s="611">
        <v>44258</v>
      </c>
      <c r="H66" s="562">
        <v>51622104</v>
      </c>
      <c r="I66" s="611">
        <v>44291</v>
      </c>
      <c r="J66" s="562">
        <v>79386386</v>
      </c>
      <c r="K66" s="611">
        <v>44319</v>
      </c>
      <c r="L66" s="562">
        <v>75700662</v>
      </c>
      <c r="M66" s="611">
        <v>44349</v>
      </c>
      <c r="N66" s="562">
        <v>78967554</v>
      </c>
      <c r="O66" s="611">
        <v>44378</v>
      </c>
      <c r="P66" s="562">
        <v>41188136</v>
      </c>
      <c r="Q66" s="611">
        <v>44410</v>
      </c>
      <c r="R66" s="562">
        <v>67616443</v>
      </c>
      <c r="S66" s="611">
        <v>44440</v>
      </c>
      <c r="T66" s="562">
        <v>53943112</v>
      </c>
      <c r="U66" s="611">
        <v>44473</v>
      </c>
      <c r="V66" s="562">
        <v>81652323</v>
      </c>
      <c r="W66" s="611">
        <v>44501</v>
      </c>
      <c r="X66" s="562">
        <v>71460824</v>
      </c>
      <c r="Y66" s="611">
        <v>44531</v>
      </c>
      <c r="Z66" s="562">
        <v>114078936</v>
      </c>
      <c r="AA66" s="611">
        <v>44564</v>
      </c>
      <c r="AB66" s="562">
        <v>89668307</v>
      </c>
      <c r="AC66" s="362"/>
    </row>
    <row r="67" spans="1:29" x14ac:dyDescent="0.25">
      <c r="A67" s="896"/>
      <c r="B67" s="896"/>
      <c r="C67" s="896" t="s">
        <v>6023</v>
      </c>
      <c r="D67" s="896"/>
      <c r="E67" s="611">
        <v>44228</v>
      </c>
      <c r="F67" s="562">
        <v>99595018</v>
      </c>
      <c r="G67" s="611">
        <v>44258</v>
      </c>
      <c r="H67" s="562">
        <v>94195229</v>
      </c>
      <c r="I67" s="611">
        <v>44291</v>
      </c>
      <c r="J67" s="562">
        <v>105145722</v>
      </c>
      <c r="K67" s="611">
        <v>44319</v>
      </c>
      <c r="L67" s="562">
        <v>114340774</v>
      </c>
      <c r="M67" s="611">
        <v>44349</v>
      </c>
      <c r="N67" s="562">
        <v>110923682</v>
      </c>
      <c r="O67" s="611">
        <v>44378</v>
      </c>
      <c r="P67" s="562">
        <v>103242002</v>
      </c>
      <c r="Q67" s="611">
        <v>44410</v>
      </c>
      <c r="R67" s="562">
        <v>123497578</v>
      </c>
      <c r="S67" s="611">
        <v>44440</v>
      </c>
      <c r="T67" s="562">
        <v>93531110</v>
      </c>
      <c r="U67" s="611">
        <v>44473</v>
      </c>
      <c r="V67" s="562">
        <v>42167666</v>
      </c>
      <c r="W67" s="611">
        <v>44501</v>
      </c>
      <c r="X67" s="562">
        <v>38786239</v>
      </c>
      <c r="Y67" s="611">
        <v>44531</v>
      </c>
      <c r="Z67" s="562">
        <v>58255203</v>
      </c>
      <c r="AA67" s="611">
        <v>44564</v>
      </c>
      <c r="AB67" s="562">
        <v>140646841</v>
      </c>
      <c r="AC67" s="362"/>
    </row>
    <row r="68" spans="1:29" x14ac:dyDescent="0.25">
      <c r="A68" s="896"/>
      <c r="B68" s="896" t="s">
        <v>5993</v>
      </c>
      <c r="C68" s="896"/>
      <c r="D68" s="896"/>
      <c r="E68" s="611">
        <v>44211</v>
      </c>
      <c r="F68" s="562">
        <v>3000000</v>
      </c>
      <c r="G68" s="611">
        <v>44242</v>
      </c>
      <c r="H68" s="562">
        <v>3000000</v>
      </c>
      <c r="I68" s="611">
        <v>44270</v>
      </c>
      <c r="J68" s="562">
        <v>3000000</v>
      </c>
      <c r="K68" s="611">
        <v>44301</v>
      </c>
      <c r="L68" s="562">
        <v>3000000</v>
      </c>
      <c r="M68" s="611">
        <v>44333</v>
      </c>
      <c r="N68" s="562">
        <v>3000000</v>
      </c>
      <c r="O68" s="611">
        <v>44362</v>
      </c>
      <c r="P68" s="562">
        <v>3000000</v>
      </c>
      <c r="Q68" s="611">
        <v>44392</v>
      </c>
      <c r="R68" s="562">
        <v>3000000</v>
      </c>
      <c r="S68" s="611"/>
      <c r="T68" s="562"/>
      <c r="U68" s="611">
        <v>44454</v>
      </c>
      <c r="V68" s="562">
        <v>3000000</v>
      </c>
      <c r="W68" s="611">
        <v>44484</v>
      </c>
      <c r="X68" s="562">
        <v>3000000</v>
      </c>
      <c r="Y68" s="362"/>
      <c r="Z68" s="362"/>
      <c r="AA68" s="362"/>
      <c r="AB68" s="562"/>
      <c r="AC68" s="362"/>
    </row>
    <row r="69" spans="1:29" x14ac:dyDescent="0.25">
      <c r="A69" s="896"/>
      <c r="B69" s="896" t="s">
        <v>3420</v>
      </c>
      <c r="C69" s="896" t="s">
        <v>90</v>
      </c>
      <c r="D69" s="896"/>
      <c r="E69" s="611">
        <v>44211</v>
      </c>
      <c r="F69" s="562">
        <v>1800000</v>
      </c>
      <c r="G69" s="611">
        <v>44242</v>
      </c>
      <c r="H69" s="562">
        <v>1800000</v>
      </c>
      <c r="I69" s="611">
        <v>44278</v>
      </c>
      <c r="J69" s="562">
        <v>4200000</v>
      </c>
      <c r="K69" s="611">
        <v>44308</v>
      </c>
      <c r="L69" s="562">
        <v>3200000</v>
      </c>
      <c r="M69" s="611">
        <v>44334</v>
      </c>
      <c r="N69" s="562">
        <v>3200000</v>
      </c>
      <c r="O69" s="611">
        <v>44362</v>
      </c>
      <c r="P69" s="562">
        <v>3200000</v>
      </c>
      <c r="Q69" s="611">
        <v>44399</v>
      </c>
      <c r="R69" s="562">
        <v>3200000</v>
      </c>
      <c r="S69" s="611">
        <v>44427</v>
      </c>
      <c r="T69" s="562">
        <v>3200000</v>
      </c>
      <c r="U69" s="611">
        <v>44453</v>
      </c>
      <c r="V69" s="562">
        <v>3200000</v>
      </c>
      <c r="W69" s="611">
        <v>44487</v>
      </c>
      <c r="X69" s="562">
        <v>3200000</v>
      </c>
      <c r="Y69" s="611">
        <v>44519</v>
      </c>
      <c r="Z69" s="562">
        <v>3200000</v>
      </c>
      <c r="AA69" s="611">
        <v>44550</v>
      </c>
      <c r="AB69" s="562">
        <v>3200000</v>
      </c>
      <c r="AC69" s="362"/>
    </row>
    <row r="70" spans="1:29" x14ac:dyDescent="0.25">
      <c r="A70" s="896"/>
      <c r="B70" s="896"/>
      <c r="C70" s="896" t="s">
        <v>5996</v>
      </c>
      <c r="D70" s="896"/>
      <c r="E70" s="611">
        <v>44216</v>
      </c>
      <c r="F70" s="562">
        <v>1650000</v>
      </c>
      <c r="G70" s="611">
        <v>44244</v>
      </c>
      <c r="H70" s="562">
        <v>1650000</v>
      </c>
      <c r="I70" s="611">
        <v>44272</v>
      </c>
      <c r="J70" s="562">
        <v>1650000</v>
      </c>
      <c r="K70" s="611">
        <v>44305</v>
      </c>
      <c r="L70" s="562">
        <v>1650000</v>
      </c>
      <c r="M70" s="611">
        <v>44335</v>
      </c>
      <c r="N70" s="562">
        <v>1650000</v>
      </c>
      <c r="O70" s="611">
        <v>44362</v>
      </c>
      <c r="P70" s="562">
        <v>1650000</v>
      </c>
      <c r="Q70" s="611">
        <v>44390</v>
      </c>
      <c r="R70" s="562">
        <v>1650000</v>
      </c>
      <c r="S70" s="611">
        <v>44424</v>
      </c>
      <c r="T70" s="562">
        <v>1650000</v>
      </c>
      <c r="U70" s="611">
        <v>44487</v>
      </c>
      <c r="V70" s="562">
        <v>2750000</v>
      </c>
      <c r="W70" s="611">
        <v>44487</v>
      </c>
      <c r="X70" s="562">
        <v>2750000</v>
      </c>
      <c r="Y70" s="611">
        <v>44511</v>
      </c>
      <c r="Z70" s="562">
        <v>2750000</v>
      </c>
      <c r="AA70" s="611">
        <v>44543</v>
      </c>
      <c r="AB70" s="562">
        <v>2750000</v>
      </c>
      <c r="AC70" s="362"/>
    </row>
    <row r="71" spans="1:29" x14ac:dyDescent="0.25">
      <c r="A71" s="896"/>
      <c r="B71" s="896" t="s">
        <v>5994</v>
      </c>
      <c r="C71" s="896" t="s">
        <v>3250</v>
      </c>
      <c r="D71" s="896"/>
      <c r="E71" s="611">
        <v>44211</v>
      </c>
      <c r="F71" s="562">
        <v>29554000</v>
      </c>
      <c r="G71" s="611">
        <v>44245</v>
      </c>
      <c r="H71" s="562">
        <v>26752000</v>
      </c>
      <c r="I71" s="611">
        <v>44265</v>
      </c>
      <c r="J71" s="562">
        <v>30026000</v>
      </c>
      <c r="K71" s="611">
        <v>44300</v>
      </c>
      <c r="L71" s="562">
        <v>30738000</v>
      </c>
      <c r="M71" s="611">
        <v>44335</v>
      </c>
      <c r="N71" s="562">
        <v>30738000</v>
      </c>
      <c r="O71" s="611">
        <v>44369</v>
      </c>
      <c r="P71" s="562">
        <v>33075000</v>
      </c>
      <c r="Q71" s="611">
        <v>44398</v>
      </c>
      <c r="R71" s="562">
        <v>33905000</v>
      </c>
      <c r="S71" s="611">
        <v>44432</v>
      </c>
      <c r="T71" s="562">
        <v>32655000</v>
      </c>
      <c r="U71" s="611">
        <v>44460</v>
      </c>
      <c r="V71" s="562">
        <v>32681000</v>
      </c>
      <c r="W71" s="611">
        <v>44496</v>
      </c>
      <c r="X71" s="562">
        <v>29441000</v>
      </c>
      <c r="Y71" s="611">
        <v>44526</v>
      </c>
      <c r="Z71" s="562">
        <v>31406000</v>
      </c>
      <c r="AA71" s="611">
        <v>44544</v>
      </c>
      <c r="AB71" s="562">
        <v>32809000</v>
      </c>
      <c r="AC71" s="362"/>
    </row>
    <row r="72" spans="1:29" x14ac:dyDescent="0.25">
      <c r="A72" s="896"/>
      <c r="B72" s="896"/>
      <c r="C72" s="896" t="s">
        <v>5995</v>
      </c>
      <c r="D72" s="896"/>
      <c r="E72" s="611">
        <v>44214</v>
      </c>
      <c r="F72" s="562">
        <v>4456250</v>
      </c>
      <c r="G72" s="611">
        <v>44245</v>
      </c>
      <c r="H72" s="562">
        <v>4456250</v>
      </c>
      <c r="I72" s="611">
        <v>44265</v>
      </c>
      <c r="J72" s="562">
        <v>4743750</v>
      </c>
      <c r="K72" s="611">
        <v>44300</v>
      </c>
      <c r="L72" s="562">
        <v>4972500</v>
      </c>
      <c r="M72" s="611">
        <v>44335</v>
      </c>
      <c r="N72" s="562">
        <v>4972500</v>
      </c>
      <c r="O72" s="611">
        <v>44369</v>
      </c>
      <c r="P72" s="562">
        <v>5644000</v>
      </c>
      <c r="Q72" s="611">
        <v>44398</v>
      </c>
      <c r="R72" s="562">
        <v>5758500</v>
      </c>
      <c r="S72" s="611">
        <v>44432</v>
      </c>
      <c r="T72" s="562">
        <v>5933000</v>
      </c>
      <c r="U72" s="611">
        <v>44460</v>
      </c>
      <c r="V72" s="562">
        <v>5933000</v>
      </c>
      <c r="W72" s="611">
        <v>44496</v>
      </c>
      <c r="X72" s="562">
        <v>5409500</v>
      </c>
      <c r="Y72" s="611">
        <v>44526</v>
      </c>
      <c r="Z72" s="562">
        <v>5235000</v>
      </c>
      <c r="AA72" s="611">
        <v>44544</v>
      </c>
      <c r="AB72" s="562">
        <v>6107500</v>
      </c>
      <c r="AC72" s="362"/>
    </row>
    <row r="73" spans="1:29" x14ac:dyDescent="0.25">
      <c r="A73" s="896"/>
      <c r="B73" s="896" t="s">
        <v>5934</v>
      </c>
      <c r="C73" s="896" t="s">
        <v>6047</v>
      </c>
      <c r="D73" s="896"/>
      <c r="E73" s="611">
        <v>44215</v>
      </c>
      <c r="F73" s="562">
        <v>6507543</v>
      </c>
      <c r="G73" s="611">
        <v>44245</v>
      </c>
      <c r="H73" s="562">
        <f>5658090</f>
        <v>5658090</v>
      </c>
      <c r="I73" s="611">
        <v>44273</v>
      </c>
      <c r="J73" s="562">
        <v>5543135</v>
      </c>
      <c r="K73" s="611">
        <v>44305</v>
      </c>
      <c r="L73" s="562">
        <v>7263300</v>
      </c>
      <c r="M73" s="611">
        <v>44335</v>
      </c>
      <c r="N73" s="562">
        <v>7779747</v>
      </c>
      <c r="O73" s="611">
        <v>44364</v>
      </c>
      <c r="P73" s="562">
        <v>6478883</v>
      </c>
      <c r="Q73" s="611">
        <v>44396</v>
      </c>
      <c r="R73" s="562">
        <v>7072837</v>
      </c>
      <c r="S73" s="611">
        <v>44427</v>
      </c>
      <c r="T73" s="562">
        <v>6623852</v>
      </c>
      <c r="U73" s="611">
        <v>44456</v>
      </c>
      <c r="V73" s="562">
        <v>6920200</v>
      </c>
      <c r="W73" s="611">
        <v>44487</v>
      </c>
      <c r="X73" s="562">
        <v>7431811</v>
      </c>
      <c r="Y73" s="611">
        <v>44519</v>
      </c>
      <c r="Z73" s="562">
        <v>8884792</v>
      </c>
      <c r="AA73" s="611">
        <v>44547</v>
      </c>
      <c r="AB73" s="562">
        <v>8324112</v>
      </c>
      <c r="AC73" s="362"/>
    </row>
    <row r="74" spans="1:29" x14ac:dyDescent="0.25">
      <c r="A74" s="896"/>
      <c r="B74" s="896"/>
      <c r="C74" s="896" t="s">
        <v>6048</v>
      </c>
      <c r="D74" s="896"/>
      <c r="E74" s="611">
        <v>44215</v>
      </c>
      <c r="F74" s="562">
        <v>8045421</v>
      </c>
      <c r="G74" s="611">
        <v>44245</v>
      </c>
      <c r="H74" s="562">
        <v>7931521</v>
      </c>
      <c r="I74" s="611">
        <v>44273</v>
      </c>
      <c r="J74" s="562">
        <v>6449259</v>
      </c>
      <c r="K74" s="611">
        <v>44305</v>
      </c>
      <c r="L74" s="562">
        <v>7641310</v>
      </c>
      <c r="M74" s="611">
        <v>44335</v>
      </c>
      <c r="N74" s="562">
        <v>7699041</v>
      </c>
      <c r="O74" s="611">
        <v>44364</v>
      </c>
      <c r="P74" s="562">
        <v>6753512</v>
      </c>
      <c r="Q74" s="611">
        <v>44396</v>
      </c>
      <c r="R74" s="562">
        <v>7220036</v>
      </c>
      <c r="S74" s="611">
        <v>44427</v>
      </c>
      <c r="T74" s="562">
        <v>6797201</v>
      </c>
      <c r="U74" s="611">
        <v>44456</v>
      </c>
      <c r="V74" s="562">
        <v>7869110</v>
      </c>
      <c r="W74" s="611">
        <v>44487</v>
      </c>
      <c r="X74" s="562">
        <v>7951805</v>
      </c>
      <c r="Y74" s="611">
        <v>44519</v>
      </c>
      <c r="Z74" s="562">
        <v>7986130</v>
      </c>
      <c r="AA74" s="611">
        <v>44547</v>
      </c>
      <c r="AB74" s="562">
        <v>7327694</v>
      </c>
      <c r="AC74" s="362"/>
    </row>
    <row r="75" spans="1:29" x14ac:dyDescent="0.25">
      <c r="A75" s="896"/>
      <c r="B75" s="896"/>
      <c r="C75" s="896" t="s">
        <v>5980</v>
      </c>
      <c r="D75" s="896"/>
      <c r="E75" s="611">
        <v>44201</v>
      </c>
      <c r="F75" s="562">
        <v>3090000</v>
      </c>
      <c r="G75" s="611"/>
      <c r="H75" s="562"/>
      <c r="I75" s="611">
        <v>44256</v>
      </c>
      <c r="J75" s="562">
        <v>4450000</v>
      </c>
      <c r="K75" s="611">
        <v>44286</v>
      </c>
      <c r="L75" s="562">
        <v>3950000</v>
      </c>
      <c r="M75" s="362"/>
      <c r="N75" s="362"/>
      <c r="O75" s="611">
        <v>44350</v>
      </c>
      <c r="P75" s="562">
        <v>3700000</v>
      </c>
      <c r="Q75" s="362"/>
      <c r="R75" s="362"/>
      <c r="S75" s="611">
        <v>44421</v>
      </c>
      <c r="T75" s="562">
        <v>2800000</v>
      </c>
      <c r="U75" s="362"/>
      <c r="V75" s="562"/>
      <c r="W75" s="611">
        <v>44477</v>
      </c>
      <c r="X75" s="562">
        <v>2200000</v>
      </c>
      <c r="Y75" s="611">
        <v>44503</v>
      </c>
      <c r="Z75" s="562">
        <v>3300000</v>
      </c>
      <c r="AA75" s="362"/>
      <c r="AB75" s="362"/>
      <c r="AC75" s="362"/>
    </row>
    <row r="76" spans="1:29" x14ac:dyDescent="0.25">
      <c r="A76" s="896"/>
      <c r="B76" s="896" t="s">
        <v>5936</v>
      </c>
      <c r="C76" s="896" t="s">
        <v>80</v>
      </c>
      <c r="D76" s="896"/>
      <c r="E76" s="611">
        <v>44216</v>
      </c>
      <c r="F76" s="562">
        <v>41447420</v>
      </c>
      <c r="G76" s="611">
        <v>44277</v>
      </c>
      <c r="H76" s="562">
        <v>37810802</v>
      </c>
      <c r="I76" s="362"/>
      <c r="J76" s="362"/>
      <c r="K76" s="611">
        <v>44336</v>
      </c>
      <c r="L76" s="562">
        <v>41184462</v>
      </c>
      <c r="M76" s="611">
        <v>44368</v>
      </c>
      <c r="N76" s="562">
        <v>34534942</v>
      </c>
      <c r="O76" s="611">
        <v>44398</v>
      </c>
      <c r="P76" s="562">
        <v>38633541</v>
      </c>
      <c r="Q76" s="611">
        <v>44428</v>
      </c>
      <c r="R76" s="562">
        <v>40919282</v>
      </c>
      <c r="S76" s="362"/>
      <c r="T76" s="362"/>
      <c r="U76" s="611">
        <v>44490</v>
      </c>
      <c r="V76" s="562">
        <v>40665339</v>
      </c>
      <c r="W76" s="611">
        <v>44522</v>
      </c>
      <c r="X76" s="562">
        <v>41162292</v>
      </c>
      <c r="Y76" s="611">
        <v>44550</v>
      </c>
      <c r="Z76" s="562">
        <v>40360603</v>
      </c>
      <c r="AA76" s="362"/>
      <c r="AB76" s="362"/>
      <c r="AC76" s="362"/>
    </row>
    <row r="77" spans="1:29" x14ac:dyDescent="0.25">
      <c r="A77" s="896"/>
      <c r="B77" s="896"/>
      <c r="C77" s="896" t="s">
        <v>84</v>
      </c>
      <c r="D77" s="896"/>
      <c r="E77" s="611">
        <v>44216</v>
      </c>
      <c r="F77" s="562">
        <v>34959376</v>
      </c>
      <c r="G77" s="611">
        <v>44277</v>
      </c>
      <c r="H77" s="562">
        <v>31654864.739999998</v>
      </c>
      <c r="I77" s="362"/>
      <c r="J77" s="362"/>
      <c r="K77" s="611">
        <v>44336</v>
      </c>
      <c r="L77" s="562">
        <v>34392848.5</v>
      </c>
      <c r="M77" s="611">
        <v>44368</v>
      </c>
      <c r="N77" s="562">
        <v>28310546</v>
      </c>
      <c r="O77" s="611">
        <v>44398</v>
      </c>
      <c r="P77" s="562">
        <v>32560700</v>
      </c>
      <c r="Q77" s="611">
        <v>44428</v>
      </c>
      <c r="R77" s="562">
        <v>34247954</v>
      </c>
      <c r="S77" s="611">
        <v>44459</v>
      </c>
      <c r="T77" s="562">
        <v>33752420</v>
      </c>
      <c r="U77" s="611">
        <v>44490</v>
      </c>
      <c r="V77" s="562">
        <v>34876144</v>
      </c>
      <c r="W77" s="611">
        <v>44522</v>
      </c>
      <c r="X77" s="562">
        <v>35713540.609999999</v>
      </c>
      <c r="Y77" s="611">
        <v>44550</v>
      </c>
      <c r="Z77" s="1320">
        <v>27129269.399999999</v>
      </c>
      <c r="AA77" s="362"/>
      <c r="AB77" s="362"/>
      <c r="AC77" s="362"/>
    </row>
    <row r="78" spans="1:29" x14ac:dyDescent="0.25">
      <c r="A78" s="896"/>
      <c r="B78" s="896" t="s">
        <v>5998</v>
      </c>
      <c r="C78" s="896" t="s">
        <v>90</v>
      </c>
      <c r="D78" s="896"/>
      <c r="E78" s="611">
        <v>44258</v>
      </c>
      <c r="F78" s="562">
        <v>1473252</v>
      </c>
      <c r="G78" s="611">
        <v>44259</v>
      </c>
      <c r="H78" s="562">
        <v>1054060</v>
      </c>
      <c r="I78" s="611">
        <v>44300</v>
      </c>
      <c r="J78" s="562">
        <v>1774273</v>
      </c>
      <c r="K78" s="611">
        <v>44340</v>
      </c>
      <c r="L78" s="562">
        <v>490909</v>
      </c>
      <c r="M78" s="611">
        <v>44364</v>
      </c>
      <c r="N78" s="562">
        <v>727252</v>
      </c>
      <c r="O78" s="611">
        <v>44399</v>
      </c>
      <c r="P78" s="562">
        <v>1098959</v>
      </c>
      <c r="Q78" s="611">
        <v>44432</v>
      </c>
      <c r="R78" s="562">
        <v>788425</v>
      </c>
      <c r="S78" s="611">
        <v>44460</v>
      </c>
      <c r="T78" s="562">
        <v>859611</v>
      </c>
      <c r="U78" s="611">
        <v>44504</v>
      </c>
      <c r="V78" s="562">
        <v>1044680</v>
      </c>
      <c r="W78" s="611">
        <v>44504</v>
      </c>
      <c r="X78" s="562">
        <v>832350</v>
      </c>
      <c r="Y78" s="611">
        <v>44526</v>
      </c>
      <c r="Z78" s="562">
        <v>981705</v>
      </c>
      <c r="AA78" s="611">
        <v>44568</v>
      </c>
      <c r="AB78" s="562">
        <v>711146</v>
      </c>
      <c r="AC78" s="362"/>
    </row>
    <row r="79" spans="1:29" x14ac:dyDescent="0.25">
      <c r="A79" s="896"/>
      <c r="B79" s="362"/>
      <c r="C79" s="896" t="s">
        <v>5996</v>
      </c>
      <c r="D79" s="896"/>
      <c r="E79" s="611">
        <v>44244</v>
      </c>
      <c r="F79" s="562">
        <v>831300</v>
      </c>
      <c r="G79" s="611">
        <v>44272</v>
      </c>
      <c r="H79" s="562">
        <v>1655331</v>
      </c>
      <c r="I79" s="611">
        <v>44327</v>
      </c>
      <c r="J79" s="562">
        <v>441818</v>
      </c>
      <c r="K79" s="611">
        <v>44340</v>
      </c>
      <c r="L79" s="562">
        <v>858757</v>
      </c>
      <c r="M79" s="611">
        <v>44364</v>
      </c>
      <c r="N79" s="562">
        <v>1060717</v>
      </c>
      <c r="O79" s="611">
        <v>44399</v>
      </c>
      <c r="P79" s="562">
        <v>1189988</v>
      </c>
      <c r="Q79" s="611">
        <v>44432</v>
      </c>
      <c r="R79" s="562">
        <v>441818</v>
      </c>
      <c r="S79" s="611">
        <v>44456</v>
      </c>
      <c r="T79" s="562">
        <v>971087</v>
      </c>
      <c r="U79" s="611">
        <v>44497</v>
      </c>
      <c r="V79" s="562">
        <v>834889</v>
      </c>
      <c r="W79" s="611">
        <v>44526</v>
      </c>
      <c r="X79" s="562">
        <v>1170376</v>
      </c>
      <c r="Y79" s="611">
        <v>44551</v>
      </c>
      <c r="Z79" s="562">
        <v>1138497</v>
      </c>
      <c r="AA79" s="611">
        <v>44580</v>
      </c>
      <c r="AB79" s="562">
        <v>781979</v>
      </c>
      <c r="AC79" s="362"/>
    </row>
    <row r="80" spans="1:29" x14ac:dyDescent="0.25">
      <c r="A80" s="362"/>
      <c r="B80" s="362"/>
      <c r="C80" s="896" t="s">
        <v>5999</v>
      </c>
      <c r="D80" s="896"/>
      <c r="E80" s="611">
        <v>44244</v>
      </c>
      <c r="F80" s="562">
        <v>1744394</v>
      </c>
      <c r="G80" s="611">
        <v>44272</v>
      </c>
      <c r="H80" s="562">
        <v>1174592</v>
      </c>
      <c r="I80" s="611">
        <v>44307</v>
      </c>
      <c r="J80" s="562">
        <v>1352959</v>
      </c>
      <c r="K80" s="611">
        <v>44340</v>
      </c>
      <c r="L80" s="562">
        <v>1292922</v>
      </c>
      <c r="M80" s="611">
        <v>44364</v>
      </c>
      <c r="N80" s="562">
        <v>1240045</v>
      </c>
      <c r="O80" s="611">
        <v>44399</v>
      </c>
      <c r="P80" s="562">
        <v>1294207</v>
      </c>
      <c r="Q80" s="611">
        <v>44427</v>
      </c>
      <c r="R80" s="562">
        <v>1360395</v>
      </c>
      <c r="S80" s="611">
        <v>44456</v>
      </c>
      <c r="T80" s="562">
        <v>1297788</v>
      </c>
      <c r="U80" s="611">
        <v>44488</v>
      </c>
      <c r="V80" s="562">
        <v>1152835</v>
      </c>
      <c r="W80" s="611">
        <v>44526</v>
      </c>
      <c r="X80" s="562">
        <v>1211036</v>
      </c>
      <c r="Y80" s="611">
        <v>44551</v>
      </c>
      <c r="Z80" s="562">
        <v>1090871</v>
      </c>
      <c r="AA80" s="611">
        <v>44580</v>
      </c>
      <c r="AB80" s="562">
        <v>1197450</v>
      </c>
      <c r="AC80" s="362"/>
    </row>
    <row r="81" spans="1:29" x14ac:dyDescent="0.25">
      <c r="A81" s="362"/>
      <c r="B81" s="362"/>
      <c r="C81" s="896" t="s">
        <v>87</v>
      </c>
      <c r="D81" s="896"/>
      <c r="E81" s="611" t="s">
        <v>125</v>
      </c>
      <c r="F81" s="562">
        <v>0</v>
      </c>
      <c r="G81" s="611" t="s">
        <v>125</v>
      </c>
      <c r="H81" s="562">
        <v>0</v>
      </c>
      <c r="I81" s="611" t="s">
        <v>125</v>
      </c>
      <c r="J81" s="562">
        <v>0</v>
      </c>
      <c r="K81" s="611" t="s">
        <v>125</v>
      </c>
      <c r="L81" s="562">
        <v>0</v>
      </c>
      <c r="M81" s="611" t="s">
        <v>125</v>
      </c>
      <c r="N81" s="562">
        <v>0</v>
      </c>
      <c r="O81" s="611" t="s">
        <v>125</v>
      </c>
      <c r="P81" s="562">
        <v>0</v>
      </c>
      <c r="Q81" s="611">
        <v>44439</v>
      </c>
      <c r="R81" s="562">
        <v>340433</v>
      </c>
      <c r="S81" s="611">
        <v>44468</v>
      </c>
      <c r="T81" s="562">
        <v>499430</v>
      </c>
      <c r="U81" s="611">
        <v>44488</v>
      </c>
      <c r="V81" s="562">
        <v>388169</v>
      </c>
      <c r="W81" s="611">
        <v>44526</v>
      </c>
      <c r="X81" s="562">
        <v>338597</v>
      </c>
      <c r="Y81" s="611">
        <v>44551</v>
      </c>
      <c r="Z81" s="562">
        <v>374490</v>
      </c>
      <c r="AA81" s="611">
        <v>44580</v>
      </c>
      <c r="AB81" s="562">
        <v>405978</v>
      </c>
      <c r="AC81" s="362"/>
    </row>
    <row r="82" spans="1:29" x14ac:dyDescent="0.25">
      <c r="A82" s="362"/>
      <c r="B82" s="362"/>
      <c r="C82" s="896" t="s">
        <v>6188</v>
      </c>
      <c r="D82" s="896"/>
      <c r="E82" s="611" t="s">
        <v>125</v>
      </c>
      <c r="F82" s="562"/>
      <c r="G82" s="611"/>
      <c r="H82" s="562"/>
      <c r="I82" s="611"/>
      <c r="J82" s="562"/>
      <c r="K82" s="611"/>
      <c r="L82" s="562"/>
      <c r="M82" s="611"/>
      <c r="N82" s="562"/>
      <c r="O82" s="611"/>
      <c r="P82" s="562"/>
      <c r="Q82" s="611"/>
      <c r="R82" s="562"/>
      <c r="S82" s="611"/>
      <c r="T82" s="562"/>
      <c r="U82" s="611"/>
      <c r="V82" s="562"/>
      <c r="W82" s="611"/>
      <c r="X82" s="562"/>
      <c r="Y82" s="611">
        <v>44568</v>
      </c>
      <c r="Z82" s="562">
        <v>432000</v>
      </c>
      <c r="AA82" s="611">
        <v>44581</v>
      </c>
      <c r="AB82" s="562">
        <v>432000</v>
      </c>
      <c r="AC82" s="362"/>
    </row>
    <row r="83" spans="1:29" x14ac:dyDescent="0.25">
      <c r="A83" s="896"/>
      <c r="B83" s="896" t="s">
        <v>6214</v>
      </c>
      <c r="C83" s="362"/>
      <c r="D83" s="362"/>
      <c r="E83" s="611">
        <v>44224</v>
      </c>
      <c r="F83" s="982">
        <f>12601000+58786100+70661200</f>
        <v>142048300</v>
      </c>
      <c r="G83" s="611">
        <v>44253</v>
      </c>
      <c r="H83" s="982">
        <f>12601000+58786100+70661200</f>
        <v>142048300</v>
      </c>
      <c r="I83" s="611">
        <v>44284</v>
      </c>
      <c r="J83" s="982">
        <f>12601000+58786100+70661200</f>
        <v>142048300</v>
      </c>
      <c r="K83" s="611">
        <v>44314</v>
      </c>
      <c r="L83" s="982">
        <f>12601000+58786100+70661200</f>
        <v>142048300</v>
      </c>
      <c r="M83" s="611">
        <v>44343</v>
      </c>
      <c r="N83" s="562">
        <f>142048300</f>
        <v>142048300</v>
      </c>
      <c r="O83" s="611">
        <v>44376</v>
      </c>
      <c r="P83" s="562">
        <v>142048300</v>
      </c>
      <c r="Q83" s="611">
        <v>44405</v>
      </c>
      <c r="R83" s="562">
        <v>142048300</v>
      </c>
      <c r="S83" s="611">
        <v>44434</v>
      </c>
      <c r="T83" s="562">
        <v>142048300</v>
      </c>
      <c r="U83" s="611">
        <v>44466</v>
      </c>
      <c r="V83" s="562">
        <v>142048300</v>
      </c>
      <c r="W83" s="611">
        <v>44497</v>
      </c>
      <c r="X83" s="562">
        <v>142048300</v>
      </c>
      <c r="Y83" s="611">
        <v>44529</v>
      </c>
      <c r="Z83" s="866">
        <f>70661200+58786100+12601000</f>
        <v>142048300</v>
      </c>
      <c r="AA83" s="611">
        <v>44559</v>
      </c>
      <c r="AB83" s="1259">
        <f>70661200+58786100+12601000</f>
        <v>142048300</v>
      </c>
      <c r="AC83" s="362"/>
    </row>
    <row r="84" spans="1:29" x14ac:dyDescent="0.25">
      <c r="A84" s="896"/>
      <c r="B84" s="896" t="s">
        <v>6208</v>
      </c>
      <c r="C84" s="362"/>
      <c r="D84" s="362"/>
      <c r="E84" s="611"/>
      <c r="F84" s="982"/>
      <c r="G84" s="611"/>
      <c r="H84" s="982"/>
      <c r="I84" s="611"/>
      <c r="J84" s="982"/>
      <c r="K84" s="611"/>
      <c r="L84" s="982"/>
      <c r="M84" s="611"/>
      <c r="N84" s="562"/>
      <c r="O84" s="611"/>
      <c r="P84" s="562"/>
      <c r="Q84" s="611"/>
      <c r="R84" s="562"/>
      <c r="S84" s="611"/>
      <c r="T84" s="562"/>
      <c r="U84" s="611"/>
      <c r="V84" s="562"/>
      <c r="W84" s="611"/>
      <c r="X84" s="562"/>
      <c r="Y84" s="611">
        <v>44505</v>
      </c>
      <c r="Z84" s="1102">
        <f>27759800+27759800+27759800</f>
        <v>83279400</v>
      </c>
      <c r="AA84" s="611">
        <v>44533</v>
      </c>
      <c r="AB84" s="1102">
        <f>27759800+27759800+27759800</f>
        <v>83279400</v>
      </c>
      <c r="AC84" s="362"/>
    </row>
    <row r="85" spans="1:29" x14ac:dyDescent="0.25">
      <c r="A85" s="896"/>
      <c r="B85" s="896" t="s">
        <v>6024</v>
      </c>
      <c r="C85" s="362"/>
      <c r="D85" s="362"/>
      <c r="E85" s="611">
        <v>44228</v>
      </c>
      <c r="F85" s="982">
        <v>17070000</v>
      </c>
      <c r="G85" s="611">
        <v>44252</v>
      </c>
      <c r="H85" s="562">
        <v>17070000</v>
      </c>
      <c r="I85" s="611">
        <v>44284</v>
      </c>
      <c r="J85" s="562">
        <v>17070000</v>
      </c>
      <c r="K85" s="611">
        <v>44315</v>
      </c>
      <c r="L85" s="562">
        <v>17070000</v>
      </c>
      <c r="M85" s="611">
        <v>44343</v>
      </c>
      <c r="N85" s="562">
        <v>17070000</v>
      </c>
      <c r="O85" s="611">
        <v>44376</v>
      </c>
      <c r="P85" s="562">
        <v>17070000</v>
      </c>
      <c r="Q85" s="611">
        <v>44407</v>
      </c>
      <c r="R85" s="562">
        <v>17070000</v>
      </c>
      <c r="S85" s="611">
        <v>44435</v>
      </c>
      <c r="T85" s="562">
        <v>17070000</v>
      </c>
      <c r="U85" s="611">
        <v>44468</v>
      </c>
      <c r="V85" s="562">
        <v>17070000</v>
      </c>
      <c r="W85" s="611">
        <v>44497</v>
      </c>
      <c r="X85" s="562">
        <v>17070000</v>
      </c>
      <c r="Y85" s="611">
        <v>44529</v>
      </c>
      <c r="Z85" s="866">
        <f>17070000</f>
        <v>17070000</v>
      </c>
      <c r="AA85" s="611">
        <v>44558</v>
      </c>
      <c r="AB85" s="562">
        <v>17070000</v>
      </c>
      <c r="AC85" s="362"/>
    </row>
    <row r="86" spans="1:29" x14ac:dyDescent="0.25">
      <c r="A86" s="362"/>
      <c r="B86" s="896" t="s">
        <v>5933</v>
      </c>
      <c r="C86" s="362" t="s">
        <v>5954</v>
      </c>
      <c r="D86" s="362"/>
      <c r="E86" s="611">
        <v>44224</v>
      </c>
      <c r="F86" s="562">
        <v>630000</v>
      </c>
      <c r="G86" s="611">
        <v>44258</v>
      </c>
      <c r="H86" s="562">
        <v>3619700</v>
      </c>
      <c r="I86" s="611">
        <v>44279</v>
      </c>
      <c r="J86" s="562">
        <v>329000</v>
      </c>
      <c r="K86" s="611">
        <v>44327</v>
      </c>
      <c r="L86" s="562">
        <v>3037100</v>
      </c>
      <c r="M86" s="611">
        <v>44351</v>
      </c>
      <c r="N86" s="562">
        <v>4439000</v>
      </c>
      <c r="O86" s="611">
        <v>44390</v>
      </c>
      <c r="P86" s="562">
        <v>3108600</v>
      </c>
      <c r="Q86" s="611">
        <v>44420</v>
      </c>
      <c r="R86" s="562">
        <v>3319900</v>
      </c>
      <c r="S86" s="611">
        <v>44441</v>
      </c>
      <c r="T86" s="562">
        <v>3506700</v>
      </c>
      <c r="U86" s="611">
        <v>44481</v>
      </c>
      <c r="V86" s="562">
        <v>3022200</v>
      </c>
      <c r="W86" s="611">
        <v>44505</v>
      </c>
      <c r="X86" s="562">
        <v>3913100</v>
      </c>
      <c r="Y86" s="611">
        <v>44532</v>
      </c>
      <c r="Z86" s="562">
        <v>2925000</v>
      </c>
      <c r="AA86" s="611">
        <v>44554</v>
      </c>
      <c r="AB86" s="562">
        <v>3293250</v>
      </c>
      <c r="AC86" s="362"/>
    </row>
    <row r="87" spans="1:29" x14ac:dyDescent="0.25">
      <c r="A87" s="362"/>
      <c r="B87" s="896"/>
      <c r="C87" s="362" t="s">
        <v>6126</v>
      </c>
      <c r="D87" s="362"/>
      <c r="E87" s="611">
        <v>44228</v>
      </c>
      <c r="F87" s="562">
        <v>4407800</v>
      </c>
      <c r="G87" s="611">
        <v>44258</v>
      </c>
      <c r="H87" s="562">
        <v>4345400</v>
      </c>
      <c r="I87" s="611">
        <v>44284</v>
      </c>
      <c r="J87" s="562">
        <v>4557600</v>
      </c>
      <c r="K87" s="611">
        <v>44327</v>
      </c>
      <c r="L87" s="562">
        <v>4287300</v>
      </c>
      <c r="M87" s="611">
        <v>44351</v>
      </c>
      <c r="N87" s="562">
        <v>3632000</v>
      </c>
      <c r="O87" s="611">
        <v>44390</v>
      </c>
      <c r="P87" s="562">
        <v>4641425</v>
      </c>
      <c r="Q87" s="611">
        <v>44420</v>
      </c>
      <c r="R87" s="562">
        <v>5191300</v>
      </c>
      <c r="S87" s="611">
        <v>44441</v>
      </c>
      <c r="T87" s="562">
        <v>4565200</v>
      </c>
      <c r="U87" s="611">
        <v>44481</v>
      </c>
      <c r="V87" s="562">
        <v>4814500</v>
      </c>
      <c r="W87" s="611">
        <v>44505</v>
      </c>
      <c r="X87" s="562">
        <v>5857200</v>
      </c>
      <c r="Y87" s="611">
        <v>44532</v>
      </c>
      <c r="Z87" s="562">
        <v>5201400</v>
      </c>
      <c r="AA87" s="611">
        <v>44554</v>
      </c>
      <c r="AB87" s="562">
        <v>5729600</v>
      </c>
      <c r="AC87" s="362"/>
    </row>
    <row r="88" spans="1:29" x14ac:dyDescent="0.25">
      <c r="A88" s="362"/>
      <c r="B88" s="896"/>
      <c r="C88" s="362"/>
      <c r="D88" s="362"/>
      <c r="E88" s="611">
        <v>44228</v>
      </c>
      <c r="F88" s="562">
        <v>3302600</v>
      </c>
      <c r="G88" s="362"/>
      <c r="H88" s="362"/>
      <c r="I88" s="611">
        <v>44284</v>
      </c>
      <c r="J88" s="562">
        <v>2691800</v>
      </c>
      <c r="K88" s="611">
        <v>44327</v>
      </c>
      <c r="L88" s="562">
        <v>216000</v>
      </c>
      <c r="M88" s="362"/>
      <c r="N88" s="362"/>
      <c r="O88" s="362"/>
      <c r="P88" s="362"/>
      <c r="Q88" s="362"/>
      <c r="R88" s="562"/>
      <c r="S88" s="362"/>
      <c r="T88" s="362"/>
      <c r="U88" s="611">
        <v>44504</v>
      </c>
      <c r="V88" s="866">
        <f>402400+849500</f>
        <v>1251900</v>
      </c>
      <c r="W88" s="362"/>
      <c r="X88" s="362"/>
      <c r="Y88" s="362"/>
      <c r="Z88" s="362"/>
      <c r="AA88" s="362"/>
      <c r="AB88" s="362"/>
      <c r="AC88" s="362"/>
    </row>
    <row r="89" spans="1:29" x14ac:dyDescent="0.25">
      <c r="A89" s="362"/>
      <c r="B89" s="896" t="s">
        <v>5930</v>
      </c>
      <c r="C89" s="362"/>
      <c r="D89" s="362"/>
      <c r="E89" s="611">
        <v>44221</v>
      </c>
      <c r="F89" s="562">
        <v>3665100</v>
      </c>
      <c r="G89" s="611">
        <v>44252</v>
      </c>
      <c r="H89" s="562">
        <v>3713400</v>
      </c>
      <c r="I89" s="611">
        <v>44279</v>
      </c>
      <c r="J89" s="562">
        <v>3647250</v>
      </c>
      <c r="K89" s="611">
        <v>44309</v>
      </c>
      <c r="L89" s="562">
        <v>3540150</v>
      </c>
      <c r="M89" s="611">
        <v>44340</v>
      </c>
      <c r="N89" s="562">
        <v>3605600</v>
      </c>
      <c r="O89" s="611">
        <v>44371</v>
      </c>
      <c r="P89" s="562">
        <v>3106000</v>
      </c>
      <c r="Q89" s="611">
        <v>44399</v>
      </c>
      <c r="R89" s="562">
        <v>3617500</v>
      </c>
      <c r="S89" s="611">
        <v>44432</v>
      </c>
      <c r="T89" s="562">
        <v>3581800</v>
      </c>
      <c r="U89" s="611">
        <v>44462</v>
      </c>
      <c r="V89" s="562">
        <v>3692700</v>
      </c>
      <c r="W89" s="611">
        <v>44494</v>
      </c>
      <c r="X89" s="562">
        <v>3747900</v>
      </c>
      <c r="Y89" s="611">
        <v>44525</v>
      </c>
      <c r="Z89" s="562">
        <v>3803100</v>
      </c>
      <c r="AA89" s="611">
        <v>44554</v>
      </c>
      <c r="AB89" s="562">
        <v>3913500</v>
      </c>
      <c r="AC89" s="362"/>
    </row>
    <row r="90" spans="1:29" x14ac:dyDescent="0.25">
      <c r="A90" s="362"/>
      <c r="B90" s="896" t="s">
        <v>6014</v>
      </c>
      <c r="C90" s="362"/>
      <c r="D90" s="362"/>
      <c r="E90" s="611">
        <v>44222</v>
      </c>
      <c r="F90" s="562">
        <v>3580000</v>
      </c>
      <c r="G90" s="611">
        <v>44257</v>
      </c>
      <c r="H90" s="562">
        <v>3580000</v>
      </c>
      <c r="I90" s="362"/>
      <c r="J90" s="362"/>
      <c r="K90" s="362"/>
      <c r="L90" s="362"/>
      <c r="M90" s="611">
        <v>44343</v>
      </c>
      <c r="N90" s="562">
        <v>3820000</v>
      </c>
      <c r="O90" s="611">
        <v>44375</v>
      </c>
      <c r="P90" s="562">
        <v>5579000</v>
      </c>
      <c r="Q90" s="362"/>
      <c r="R90" s="362"/>
      <c r="S90" s="611">
        <v>44433</v>
      </c>
      <c r="T90" s="562">
        <v>6177500</v>
      </c>
      <c r="U90" s="611">
        <v>44468</v>
      </c>
      <c r="V90" s="562">
        <v>6637500</v>
      </c>
      <c r="W90" s="611">
        <v>44497</v>
      </c>
      <c r="X90" s="562">
        <v>8570000</v>
      </c>
      <c r="Y90" s="362"/>
      <c r="Z90" s="362"/>
      <c r="AA90" s="611">
        <v>44559</v>
      </c>
      <c r="AB90" s="562">
        <v>7715000</v>
      </c>
      <c r="AC90" s="362"/>
    </row>
    <row r="91" spans="1:29" x14ac:dyDescent="0.25">
      <c r="A91" s="362"/>
      <c r="B91" s="896" t="s">
        <v>6020</v>
      </c>
      <c r="C91" s="362"/>
      <c r="D91" s="362"/>
      <c r="E91" s="611">
        <v>44228</v>
      </c>
      <c r="F91" s="562">
        <v>35000000</v>
      </c>
      <c r="G91" s="611">
        <v>44253</v>
      </c>
      <c r="H91" s="562">
        <v>35000000</v>
      </c>
      <c r="I91" s="611">
        <v>44281</v>
      </c>
      <c r="J91" s="562">
        <v>35000000</v>
      </c>
      <c r="K91" s="611">
        <v>44314</v>
      </c>
      <c r="L91" s="562">
        <v>35000000</v>
      </c>
      <c r="M91" s="611">
        <v>44343</v>
      </c>
      <c r="N91" s="562">
        <v>35000000</v>
      </c>
      <c r="O91" s="611">
        <v>44375</v>
      </c>
      <c r="P91" s="562">
        <v>35000000</v>
      </c>
      <c r="Q91" s="611">
        <v>44407</v>
      </c>
      <c r="R91" s="562">
        <v>35000000</v>
      </c>
      <c r="S91" s="611">
        <v>44434</v>
      </c>
      <c r="T91" s="562">
        <v>35000000</v>
      </c>
      <c r="U91" s="611">
        <v>44467</v>
      </c>
      <c r="V91" s="562">
        <v>35000000</v>
      </c>
      <c r="W91" s="611">
        <v>44497</v>
      </c>
      <c r="X91" s="562">
        <v>35000000</v>
      </c>
      <c r="Y91" s="611">
        <v>44526</v>
      </c>
      <c r="Z91" s="562">
        <v>35000000</v>
      </c>
      <c r="AA91" s="611">
        <v>44558</v>
      </c>
      <c r="AB91" s="562">
        <v>35000000</v>
      </c>
      <c r="AC91" s="362"/>
    </row>
    <row r="92" spans="1:29" x14ac:dyDescent="0.25">
      <c r="A92" s="362"/>
      <c r="B92" s="896" t="s">
        <v>6025</v>
      </c>
      <c r="C92" s="362"/>
      <c r="D92" s="362"/>
      <c r="E92" s="362" t="s">
        <v>125</v>
      </c>
      <c r="F92" s="362" t="s">
        <v>125</v>
      </c>
      <c r="G92" s="611">
        <v>44228</v>
      </c>
      <c r="H92" s="562">
        <v>5753500</v>
      </c>
      <c r="I92" s="611">
        <v>44256</v>
      </c>
      <c r="J92" s="562">
        <v>5753500</v>
      </c>
      <c r="K92" s="611">
        <v>44287</v>
      </c>
      <c r="L92" s="562">
        <v>5753500</v>
      </c>
      <c r="M92" s="362"/>
      <c r="N92" s="362"/>
      <c r="O92" s="611">
        <v>44378</v>
      </c>
      <c r="P92" s="562">
        <v>5753500</v>
      </c>
      <c r="Q92" s="611">
        <v>44410</v>
      </c>
      <c r="R92" s="562">
        <v>5753500</v>
      </c>
      <c r="S92" s="611">
        <v>44440</v>
      </c>
      <c r="T92" s="562">
        <v>5753500</v>
      </c>
      <c r="U92" s="362"/>
      <c r="V92" s="362"/>
      <c r="W92" s="362"/>
      <c r="X92" s="362"/>
      <c r="Y92" s="611">
        <v>44531</v>
      </c>
      <c r="Z92" s="562">
        <v>5753500</v>
      </c>
      <c r="AA92" s="362"/>
      <c r="AB92" s="362"/>
      <c r="AC92" s="362"/>
    </row>
    <row r="93" spans="1:29" x14ac:dyDescent="0.25">
      <c r="A93" s="362"/>
      <c r="B93" s="896" t="s">
        <v>6026</v>
      </c>
      <c r="C93" s="362"/>
      <c r="D93" s="362"/>
      <c r="E93" s="362"/>
      <c r="F93" s="362"/>
      <c r="G93" s="611">
        <v>44228</v>
      </c>
      <c r="H93" s="562">
        <v>6000000</v>
      </c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</row>
    <row r="94" spans="1:29" x14ac:dyDescent="0.25">
      <c r="A94" s="362"/>
      <c r="B94" s="896"/>
      <c r="C94" s="362"/>
      <c r="D94" s="362"/>
      <c r="E94" s="362"/>
      <c r="F94" s="362"/>
      <c r="G94" s="611">
        <v>44244</v>
      </c>
      <c r="H94" s="562">
        <v>3000000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 x14ac:dyDescent="0.25">
      <c r="A95" s="362"/>
      <c r="B95" s="896" t="s">
        <v>6074</v>
      </c>
      <c r="C95" s="362"/>
      <c r="D95" s="362"/>
      <c r="E95" s="611">
        <v>44237</v>
      </c>
      <c r="F95" s="562">
        <v>4595050</v>
      </c>
      <c r="G95" s="611">
        <v>44264</v>
      </c>
      <c r="H95" s="562">
        <v>4488100</v>
      </c>
      <c r="I95" s="611">
        <v>44287</v>
      </c>
      <c r="J95" s="562">
        <v>4984800</v>
      </c>
      <c r="K95" s="611">
        <v>44327</v>
      </c>
      <c r="L95" s="562">
        <v>5614050</v>
      </c>
      <c r="M95" s="611">
        <v>44362</v>
      </c>
      <c r="N95" s="562">
        <v>5897250</v>
      </c>
      <c r="O95" s="611">
        <v>44390</v>
      </c>
      <c r="P95" s="562">
        <v>6500700</v>
      </c>
      <c r="Q95" s="611">
        <v>44412</v>
      </c>
      <c r="R95" s="562">
        <v>6036750</v>
      </c>
      <c r="S95" s="611">
        <v>44441</v>
      </c>
      <c r="T95" s="562">
        <v>5859400</v>
      </c>
      <c r="U95" s="611">
        <v>44487</v>
      </c>
      <c r="V95" s="562">
        <v>6184750</v>
      </c>
      <c r="W95" s="611">
        <v>44508</v>
      </c>
      <c r="X95" s="562">
        <v>5405200</v>
      </c>
      <c r="Y95" s="611">
        <v>44544</v>
      </c>
      <c r="Z95" s="562">
        <v>5617950</v>
      </c>
      <c r="AA95" s="362"/>
      <c r="AB95" s="362"/>
      <c r="AC95" s="362"/>
    </row>
    <row r="96" spans="1:29" x14ac:dyDescent="0.25">
      <c r="A96" s="362"/>
      <c r="B96" s="896" t="s">
        <v>6046</v>
      </c>
      <c r="C96" s="362" t="s">
        <v>6147</v>
      </c>
      <c r="D96" s="362"/>
      <c r="E96" s="611">
        <v>44244</v>
      </c>
      <c r="F96" s="562">
        <v>311114</v>
      </c>
      <c r="G96" s="611">
        <v>44272</v>
      </c>
      <c r="H96" s="562">
        <v>1793958</v>
      </c>
      <c r="I96" s="611">
        <v>44308</v>
      </c>
      <c r="J96" s="562">
        <v>1342675</v>
      </c>
      <c r="K96" s="611">
        <v>44340</v>
      </c>
      <c r="L96" s="562">
        <v>1198194</v>
      </c>
      <c r="M96" s="611">
        <v>44371</v>
      </c>
      <c r="N96" s="562">
        <v>2502740</v>
      </c>
      <c r="O96" s="611">
        <v>44405</v>
      </c>
      <c r="P96" s="562">
        <v>1481079</v>
      </c>
      <c r="Q96" s="611">
        <v>44432</v>
      </c>
      <c r="R96" s="562">
        <v>3162707</v>
      </c>
      <c r="S96" s="611">
        <v>44460</v>
      </c>
      <c r="T96" s="562">
        <v>2551259</v>
      </c>
      <c r="U96" s="362"/>
      <c r="V96" s="362"/>
      <c r="W96" s="611">
        <v>44526</v>
      </c>
      <c r="X96" s="562">
        <v>1793272</v>
      </c>
      <c r="Y96" s="611">
        <v>44552</v>
      </c>
      <c r="Z96" s="562">
        <v>1256222</v>
      </c>
      <c r="AA96" s="611">
        <v>44581</v>
      </c>
      <c r="AB96" s="562">
        <v>1506662</v>
      </c>
      <c r="AC96" s="362"/>
    </row>
    <row r="97" spans="1:29" x14ac:dyDescent="0.25">
      <c r="A97" s="362"/>
      <c r="B97" s="896"/>
      <c r="C97" s="362" t="s">
        <v>5996</v>
      </c>
      <c r="D97" s="362"/>
      <c r="E97" s="362" t="s">
        <v>125</v>
      </c>
      <c r="F97" s="362" t="s">
        <v>125</v>
      </c>
      <c r="G97" s="362" t="s">
        <v>125</v>
      </c>
      <c r="H97" s="362" t="s">
        <v>125</v>
      </c>
      <c r="I97" s="362" t="s">
        <v>125</v>
      </c>
      <c r="J97" s="362" t="s">
        <v>125</v>
      </c>
      <c r="K97" s="362" t="s">
        <v>125</v>
      </c>
      <c r="L97" s="362" t="s">
        <v>125</v>
      </c>
      <c r="M97" s="362" t="s">
        <v>125</v>
      </c>
      <c r="N97" s="362" t="s">
        <v>125</v>
      </c>
      <c r="O97" s="362" t="s">
        <v>125</v>
      </c>
      <c r="P97" s="362" t="s">
        <v>125</v>
      </c>
      <c r="Q97" s="611">
        <v>44439</v>
      </c>
      <c r="R97" s="562">
        <v>238090</v>
      </c>
      <c r="S97" s="611">
        <v>44467</v>
      </c>
      <c r="T97" s="562">
        <v>339149</v>
      </c>
      <c r="U97" s="611">
        <v>44503</v>
      </c>
      <c r="V97" s="562">
        <v>125465</v>
      </c>
      <c r="W97" s="611">
        <v>44511</v>
      </c>
      <c r="X97" s="562">
        <v>170554</v>
      </c>
      <c r="Y97" s="362"/>
      <c r="Z97" s="362"/>
      <c r="AA97" s="362"/>
      <c r="AB97" s="362"/>
      <c r="AC97" s="362"/>
    </row>
    <row r="98" spans="1:29" x14ac:dyDescent="0.25">
      <c r="A98" s="362"/>
      <c r="B98" s="896" t="s">
        <v>6099</v>
      </c>
      <c r="C98" s="362"/>
      <c r="D98" s="362"/>
      <c r="E98" s="611">
        <v>44306</v>
      </c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</row>
    <row r="99" spans="1:29" x14ac:dyDescent="0.25">
      <c r="A99" s="362"/>
      <c r="B99" s="896"/>
      <c r="C99" s="362"/>
      <c r="D99" s="362"/>
      <c r="E99" s="587">
        <v>44306</v>
      </c>
      <c r="F99" s="564">
        <v>950000</v>
      </c>
      <c r="G99" s="532"/>
      <c r="H99" s="53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 x14ac:dyDescent="0.25">
      <c r="A100" s="362"/>
      <c r="B100" s="896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3" spans="1:29" x14ac:dyDescent="0.25">
      <c r="C103" s="362" t="s">
        <v>6098</v>
      </c>
      <c r="D103" s="362"/>
      <c r="E103" s="562">
        <v>140000000</v>
      </c>
    </row>
    <row r="104" spans="1:29" x14ac:dyDescent="0.25">
      <c r="C104" s="362" t="s">
        <v>6093</v>
      </c>
      <c r="D104" s="362"/>
      <c r="E104" s="562">
        <v>94000000</v>
      </c>
    </row>
    <row r="105" spans="1:29" x14ac:dyDescent="0.25">
      <c r="C105" s="362" t="s">
        <v>6094</v>
      </c>
      <c r="D105" s="362"/>
      <c r="E105" s="562">
        <v>69000000</v>
      </c>
      <c r="V105" s="254" t="s">
        <v>6205</v>
      </c>
    </row>
    <row r="106" spans="1:29" x14ac:dyDescent="0.25">
      <c r="C106" s="362" t="s">
        <v>6097</v>
      </c>
      <c r="D106" s="362"/>
      <c r="E106" s="631">
        <v>70000000</v>
      </c>
    </row>
    <row r="107" spans="1:29" x14ac:dyDescent="0.25">
      <c r="C107" s="362" t="s">
        <v>6095</v>
      </c>
      <c r="D107" s="362"/>
      <c r="E107" s="631">
        <v>11000000</v>
      </c>
    </row>
    <row r="108" spans="1:29" x14ac:dyDescent="0.25">
      <c r="C108" s="362" t="s">
        <v>6096</v>
      </c>
      <c r="D108" s="362"/>
      <c r="E108" s="631">
        <v>28000000</v>
      </c>
    </row>
    <row r="109" spans="1:29" x14ac:dyDescent="0.25">
      <c r="C109" s="362" t="s">
        <v>24</v>
      </c>
      <c r="D109" s="362"/>
      <c r="E109" s="631">
        <f>SUM(E103:E108)</f>
        <v>412000000</v>
      </c>
    </row>
    <row r="111" spans="1:29" x14ac:dyDescent="0.25">
      <c r="T111" s="254" t="s">
        <v>6110</v>
      </c>
    </row>
    <row r="113" spans="18:21" x14ac:dyDescent="0.25">
      <c r="S113" s="254" t="s">
        <v>6206</v>
      </c>
      <c r="U113" s="254" t="s">
        <v>6207</v>
      </c>
    </row>
    <row r="119" spans="18:21" x14ac:dyDescent="0.25">
      <c r="R119" s="254">
        <v>3451361</v>
      </c>
    </row>
    <row r="120" spans="18:21" x14ac:dyDescent="0.25">
      <c r="R120" s="254">
        <v>358639</v>
      </c>
      <c r="T120" s="254">
        <v>3485651</v>
      </c>
    </row>
    <row r="121" spans="18:21" x14ac:dyDescent="0.25">
      <c r="T121" s="254">
        <v>324349</v>
      </c>
    </row>
  </sheetData>
  <mergeCells count="11">
    <mergeCell ref="AC2:AC3"/>
    <mergeCell ref="F28:I28"/>
    <mergeCell ref="L28:P28"/>
    <mergeCell ref="R28:V28"/>
    <mergeCell ref="H31:L31"/>
    <mergeCell ref="N31:R31"/>
    <mergeCell ref="T31:X31"/>
    <mergeCell ref="A2:A3"/>
    <mergeCell ref="B2:B3"/>
    <mergeCell ref="E2:AB2"/>
    <mergeCell ref="X28:AB28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57"/>
  <sheetViews>
    <sheetView workbookViewId="0">
      <selection sqref="A1:XFD1048576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29.42578125" style="254" customWidth="1"/>
    <col min="4" max="4" width="17.85546875" style="254" customWidth="1"/>
    <col min="5" max="5" width="13.85546875" style="254" customWidth="1"/>
    <col min="6" max="16384" width="9.140625" style="254"/>
  </cols>
  <sheetData>
    <row r="2" spans="1:5" x14ac:dyDescent="0.25">
      <c r="A2" s="1596" t="s">
        <v>6118</v>
      </c>
      <c r="B2" s="1596"/>
      <c r="C2" s="1596"/>
      <c r="D2" s="1596"/>
      <c r="E2" s="1596"/>
    </row>
    <row r="3" spans="1:5" x14ac:dyDescent="0.25">
      <c r="A3" s="1596" t="s">
        <v>6112</v>
      </c>
      <c r="B3" s="1596"/>
      <c r="C3" s="1596"/>
      <c r="D3" s="1596"/>
      <c r="E3" s="1596"/>
    </row>
    <row r="5" spans="1:5" x14ac:dyDescent="0.25">
      <c r="A5" s="1414" t="s">
        <v>6116</v>
      </c>
      <c r="B5" s="1598" t="s">
        <v>6114</v>
      </c>
      <c r="C5" s="1599"/>
      <c r="D5" s="1598" t="s">
        <v>6115</v>
      </c>
      <c r="E5" s="1599"/>
    </row>
    <row r="6" spans="1:5" x14ac:dyDescent="0.25">
      <c r="A6" s="1414" t="s">
        <v>6113</v>
      </c>
      <c r="B6" s="1414" t="s">
        <v>5962</v>
      </c>
      <c r="C6" s="1414" t="s">
        <v>6117</v>
      </c>
      <c r="D6" s="1414" t="s">
        <v>5962</v>
      </c>
      <c r="E6" s="1414" t="s">
        <v>6117</v>
      </c>
    </row>
    <row r="7" spans="1:5" x14ac:dyDescent="0.25">
      <c r="A7" s="614">
        <v>43831</v>
      </c>
      <c r="B7" s="364">
        <v>44070</v>
      </c>
      <c r="C7" s="562">
        <v>400000000</v>
      </c>
      <c r="D7" s="364">
        <v>44071</v>
      </c>
      <c r="E7" s="562">
        <v>64038919</v>
      </c>
    </row>
    <row r="8" spans="1:5" x14ac:dyDescent="0.25">
      <c r="A8" s="614">
        <v>43862</v>
      </c>
      <c r="B8" s="364">
        <v>44144</v>
      </c>
      <c r="C8" s="562">
        <v>400000000</v>
      </c>
      <c r="D8" s="364">
        <v>44145</v>
      </c>
      <c r="E8" s="562">
        <v>69169894</v>
      </c>
    </row>
    <row r="9" spans="1:5" x14ac:dyDescent="0.25">
      <c r="A9" s="614">
        <v>43891</v>
      </c>
      <c r="B9" s="371">
        <v>44208</v>
      </c>
      <c r="C9" s="562">
        <v>200000000</v>
      </c>
      <c r="D9" s="371">
        <v>44209</v>
      </c>
      <c r="E9" s="562">
        <v>239696423</v>
      </c>
    </row>
    <row r="10" spans="1:5" x14ac:dyDescent="0.25">
      <c r="A10" s="614">
        <v>43922</v>
      </c>
      <c r="B10" s="371">
        <v>44284</v>
      </c>
      <c r="C10" s="562">
        <v>400000000</v>
      </c>
      <c r="D10" s="371">
        <v>44285</v>
      </c>
      <c r="E10" s="562">
        <v>138666850</v>
      </c>
    </row>
    <row r="11" spans="1:5" x14ac:dyDescent="0.25">
      <c r="A11" s="614">
        <v>43952</v>
      </c>
      <c r="B11" s="364">
        <v>44333</v>
      </c>
      <c r="C11" s="562">
        <v>200000000</v>
      </c>
      <c r="D11" s="364">
        <v>44334</v>
      </c>
      <c r="E11" s="562">
        <v>201634768</v>
      </c>
    </row>
    <row r="12" spans="1:5" x14ac:dyDescent="0.25">
      <c r="A12" s="614">
        <v>43983</v>
      </c>
      <c r="B12" s="364">
        <v>44335</v>
      </c>
      <c r="C12" s="562">
        <v>200000000</v>
      </c>
      <c r="D12" s="364">
        <v>44336</v>
      </c>
      <c r="E12" s="562">
        <v>211419459</v>
      </c>
    </row>
    <row r="13" spans="1:5" x14ac:dyDescent="0.25">
      <c r="A13" s="614">
        <v>44013</v>
      </c>
      <c r="B13" s="364">
        <v>44337</v>
      </c>
      <c r="C13" s="562">
        <v>200000000</v>
      </c>
      <c r="D13" s="364">
        <v>44340</v>
      </c>
      <c r="E13" s="562">
        <v>305574537</v>
      </c>
    </row>
    <row r="14" spans="1:5" x14ac:dyDescent="0.25">
      <c r="A14" s="614">
        <v>44044</v>
      </c>
      <c r="B14" s="364">
        <v>44341</v>
      </c>
      <c r="C14" s="562">
        <v>200000000</v>
      </c>
      <c r="D14" s="364">
        <v>44343</v>
      </c>
      <c r="E14" s="562">
        <v>225008135</v>
      </c>
    </row>
    <row r="15" spans="1:5" x14ac:dyDescent="0.25">
      <c r="A15" s="614">
        <v>44075</v>
      </c>
      <c r="B15" s="364">
        <v>44344</v>
      </c>
      <c r="C15" s="562">
        <v>200000000</v>
      </c>
      <c r="D15" s="364">
        <v>44347</v>
      </c>
      <c r="E15" s="562">
        <v>211968542</v>
      </c>
    </row>
    <row r="16" spans="1:5" x14ac:dyDescent="0.25">
      <c r="A16" s="614">
        <v>44105</v>
      </c>
      <c r="B16" s="364">
        <v>44349</v>
      </c>
      <c r="C16" s="562">
        <v>200000000</v>
      </c>
      <c r="D16" s="364">
        <v>44350</v>
      </c>
      <c r="E16" s="562">
        <v>298014347</v>
      </c>
    </row>
    <row r="17" spans="1:5" x14ac:dyDescent="0.25">
      <c r="A17" s="614">
        <v>44136</v>
      </c>
      <c r="B17" s="364">
        <v>44356</v>
      </c>
      <c r="C17" s="562">
        <v>200000000</v>
      </c>
      <c r="D17" s="364">
        <v>44357</v>
      </c>
      <c r="E17" s="562">
        <v>223859353</v>
      </c>
    </row>
    <row r="18" spans="1:5" x14ac:dyDescent="0.25">
      <c r="A18" s="614">
        <v>44166</v>
      </c>
      <c r="B18" s="364">
        <v>44358</v>
      </c>
      <c r="C18" s="562">
        <v>200000000</v>
      </c>
      <c r="D18" s="364">
        <v>44361</v>
      </c>
      <c r="E18" s="562">
        <v>310944619</v>
      </c>
    </row>
    <row r="19" spans="1:5" x14ac:dyDescent="0.25">
      <c r="A19" s="1597" t="s">
        <v>6117</v>
      </c>
      <c r="B19" s="1597"/>
      <c r="C19" s="951">
        <f>SUM(C7:C18)</f>
        <v>3000000000</v>
      </c>
      <c r="D19" s="896"/>
      <c r="E19" s="951">
        <f>SUM(E7:E18)</f>
        <v>2499995846</v>
      </c>
    </row>
    <row r="21" spans="1:5" x14ac:dyDescent="0.25">
      <c r="A21" s="1596" t="s">
        <v>6118</v>
      </c>
      <c r="B21" s="1596"/>
      <c r="C21" s="1596"/>
      <c r="D21" s="1596"/>
      <c r="E21" s="1596"/>
    </row>
    <row r="22" spans="1:5" x14ac:dyDescent="0.25">
      <c r="A22" s="1596" t="s">
        <v>6189</v>
      </c>
      <c r="B22" s="1596"/>
      <c r="C22" s="1596"/>
      <c r="D22" s="1596"/>
      <c r="E22" s="1596"/>
    </row>
    <row r="24" spans="1:5" x14ac:dyDescent="0.25">
      <c r="A24" s="1414" t="s">
        <v>114</v>
      </c>
      <c r="B24" s="1414" t="s">
        <v>6190</v>
      </c>
      <c r="C24" s="1414" t="s">
        <v>6191</v>
      </c>
      <c r="D24" s="1414" t="s">
        <v>5341</v>
      </c>
      <c r="E24" s="1414" t="s">
        <v>6117</v>
      </c>
    </row>
    <row r="25" spans="1:5" x14ac:dyDescent="0.25">
      <c r="A25" s="364">
        <v>44475</v>
      </c>
      <c r="B25" s="364" t="s">
        <v>6192</v>
      </c>
      <c r="C25" s="562" t="s">
        <v>6177</v>
      </c>
      <c r="D25" s="985" t="s">
        <v>6193</v>
      </c>
      <c r="E25" s="562">
        <v>459980323</v>
      </c>
    </row>
    <row r="26" spans="1:5" x14ac:dyDescent="0.25">
      <c r="A26" s="364">
        <v>44476</v>
      </c>
      <c r="B26" s="364" t="s">
        <v>6192</v>
      </c>
      <c r="C26" s="562" t="s">
        <v>6177</v>
      </c>
      <c r="D26" s="985" t="s">
        <v>6202</v>
      </c>
      <c r="E26" s="562">
        <v>454085860</v>
      </c>
    </row>
    <row r="27" spans="1:5" x14ac:dyDescent="0.25">
      <c r="A27" s="364">
        <v>44477</v>
      </c>
      <c r="B27" s="364" t="s">
        <v>6192</v>
      </c>
      <c r="C27" s="562" t="s">
        <v>6177</v>
      </c>
      <c r="D27" s="985" t="s">
        <v>6194</v>
      </c>
      <c r="E27" s="562">
        <v>558133192</v>
      </c>
    </row>
    <row r="28" spans="1:5" x14ac:dyDescent="0.25">
      <c r="A28" s="364">
        <v>44480</v>
      </c>
      <c r="B28" s="364" t="s">
        <v>6192</v>
      </c>
      <c r="C28" s="562" t="s">
        <v>6177</v>
      </c>
      <c r="D28" s="985" t="s">
        <v>6195</v>
      </c>
      <c r="E28" s="562">
        <v>594495076</v>
      </c>
    </row>
    <row r="29" spans="1:5" x14ac:dyDescent="0.25">
      <c r="A29" s="364">
        <v>44481</v>
      </c>
      <c r="B29" s="364" t="s">
        <v>6192</v>
      </c>
      <c r="C29" s="562" t="s">
        <v>6177</v>
      </c>
      <c r="D29" s="985" t="s">
        <v>6196</v>
      </c>
      <c r="E29" s="866">
        <v>356361074</v>
      </c>
    </row>
    <row r="30" spans="1:5" x14ac:dyDescent="0.25">
      <c r="A30" s="364">
        <v>44482</v>
      </c>
      <c r="B30" s="364" t="s">
        <v>6192</v>
      </c>
      <c r="C30" s="562" t="s">
        <v>6177</v>
      </c>
      <c r="D30" s="985" t="s">
        <v>6197</v>
      </c>
      <c r="E30" s="562">
        <v>546942851</v>
      </c>
    </row>
    <row r="31" spans="1:5" x14ac:dyDescent="0.25">
      <c r="A31" s="364">
        <v>44483</v>
      </c>
      <c r="B31" s="364" t="s">
        <v>6192</v>
      </c>
      <c r="C31" s="562" t="s">
        <v>6177</v>
      </c>
      <c r="D31" s="985" t="s">
        <v>6198</v>
      </c>
      <c r="E31" s="562">
        <v>452455698</v>
      </c>
    </row>
    <row r="32" spans="1:5" x14ac:dyDescent="0.25">
      <c r="A32" s="364">
        <v>44484</v>
      </c>
      <c r="B32" s="364" t="s">
        <v>6192</v>
      </c>
      <c r="C32" s="562" t="s">
        <v>6177</v>
      </c>
      <c r="D32" s="985" t="s">
        <v>6199</v>
      </c>
      <c r="E32" s="562">
        <v>502519990</v>
      </c>
    </row>
    <row r="33" spans="1:5" x14ac:dyDescent="0.25">
      <c r="A33" s="364">
        <v>44487</v>
      </c>
      <c r="B33" s="364" t="s">
        <v>22</v>
      </c>
      <c r="C33" s="562" t="s">
        <v>6200</v>
      </c>
      <c r="D33" s="985" t="s">
        <v>6201</v>
      </c>
      <c r="E33" s="562">
        <v>571247226</v>
      </c>
    </row>
    <row r="34" spans="1:5" x14ac:dyDescent="0.25">
      <c r="A34" s="364">
        <v>44518</v>
      </c>
      <c r="B34" s="364" t="s">
        <v>22</v>
      </c>
      <c r="C34" s="562" t="s">
        <v>6200</v>
      </c>
      <c r="D34" s="985" t="s">
        <v>6203</v>
      </c>
      <c r="E34" s="562">
        <v>490797282</v>
      </c>
    </row>
    <row r="35" spans="1:5" x14ac:dyDescent="0.25">
      <c r="A35" s="364">
        <v>44544</v>
      </c>
      <c r="B35" s="364" t="s">
        <v>22</v>
      </c>
      <c r="C35" s="562" t="s">
        <v>6200</v>
      </c>
      <c r="D35" s="985" t="s">
        <v>6209</v>
      </c>
      <c r="E35" s="562">
        <v>482809391</v>
      </c>
    </row>
    <row r="36" spans="1:5" x14ac:dyDescent="0.25">
      <c r="A36" s="364">
        <v>44573</v>
      </c>
      <c r="B36" s="364" t="s">
        <v>22</v>
      </c>
      <c r="C36" s="562" t="s">
        <v>6200</v>
      </c>
      <c r="D36" s="985" t="s">
        <v>6222</v>
      </c>
      <c r="E36" s="562">
        <v>595314905</v>
      </c>
    </row>
    <row r="37" spans="1:5" x14ac:dyDescent="0.25">
      <c r="A37" s="614"/>
      <c r="B37" s="364"/>
      <c r="C37" s="562"/>
      <c r="D37" s="364"/>
      <c r="E37" s="562"/>
    </row>
    <row r="38" spans="1:5" x14ac:dyDescent="0.25">
      <c r="A38" s="1597" t="s">
        <v>6117</v>
      </c>
      <c r="B38" s="1597"/>
      <c r="C38" s="951">
        <f>SUM(C25:C37)</f>
        <v>0</v>
      </c>
      <c r="D38" s="896"/>
      <c r="E38" s="951">
        <f>SUM(E25:E37)</f>
        <v>6065142868</v>
      </c>
    </row>
    <row r="40" spans="1:5" x14ac:dyDescent="0.25">
      <c r="A40" s="1596" t="s">
        <v>6118</v>
      </c>
      <c r="B40" s="1596"/>
      <c r="C40" s="1596"/>
      <c r="D40" s="1596"/>
      <c r="E40" s="1596"/>
    </row>
    <row r="41" spans="1:5" x14ac:dyDescent="0.25">
      <c r="A41" s="1596" t="s">
        <v>6287</v>
      </c>
      <c r="B41" s="1596"/>
      <c r="C41" s="1596"/>
      <c r="D41" s="1596"/>
      <c r="E41" s="1596"/>
    </row>
    <row r="43" spans="1:5" x14ac:dyDescent="0.25">
      <c r="A43" s="1414" t="s">
        <v>114</v>
      </c>
      <c r="B43" s="1414" t="s">
        <v>6190</v>
      </c>
      <c r="C43" s="1414" t="s">
        <v>6191</v>
      </c>
      <c r="D43" s="1414" t="s">
        <v>5341</v>
      </c>
      <c r="E43" s="1414" t="s">
        <v>6117</v>
      </c>
    </row>
    <row r="44" spans="1:5" x14ac:dyDescent="0.25">
      <c r="A44" s="364">
        <v>44676</v>
      </c>
      <c r="B44" s="364" t="s">
        <v>6029</v>
      </c>
      <c r="C44" s="562" t="s">
        <v>6288</v>
      </c>
      <c r="D44" s="985" t="s">
        <v>3473</v>
      </c>
      <c r="E44" s="562">
        <v>375000000</v>
      </c>
    </row>
    <row r="45" spans="1:5" x14ac:dyDescent="0.25">
      <c r="A45" s="364">
        <v>44676</v>
      </c>
      <c r="B45" s="364" t="s">
        <v>22</v>
      </c>
      <c r="C45" s="562" t="s">
        <v>6200</v>
      </c>
      <c r="D45" s="985" t="s">
        <v>6295</v>
      </c>
      <c r="E45" s="562">
        <v>375000000</v>
      </c>
    </row>
    <row r="46" spans="1:5" x14ac:dyDescent="0.25">
      <c r="A46" s="364">
        <v>44678</v>
      </c>
      <c r="B46" s="364" t="s">
        <v>6029</v>
      </c>
      <c r="C46" s="562" t="s">
        <v>6288</v>
      </c>
      <c r="D46" s="985" t="s">
        <v>6294</v>
      </c>
      <c r="E46" s="562">
        <v>332528362</v>
      </c>
    </row>
    <row r="47" spans="1:5" x14ac:dyDescent="0.25">
      <c r="A47" s="364">
        <v>44736</v>
      </c>
      <c r="B47" s="364" t="s">
        <v>6029</v>
      </c>
      <c r="C47" s="562" t="s">
        <v>6292</v>
      </c>
      <c r="D47" s="985" t="s">
        <v>6293</v>
      </c>
      <c r="E47" s="562">
        <v>733467465</v>
      </c>
    </row>
    <row r="48" spans="1:5" x14ac:dyDescent="0.25">
      <c r="A48" s="364">
        <v>44736</v>
      </c>
      <c r="B48" s="364" t="s">
        <v>6029</v>
      </c>
      <c r="C48" s="562" t="s">
        <v>6292</v>
      </c>
      <c r="D48" s="985" t="s">
        <v>3485</v>
      </c>
      <c r="E48" s="866">
        <v>579080531</v>
      </c>
    </row>
    <row r="49" spans="1:5" x14ac:dyDescent="0.25">
      <c r="A49" s="364">
        <v>44736</v>
      </c>
      <c r="B49" s="364" t="s">
        <v>6029</v>
      </c>
      <c r="C49" s="562" t="s">
        <v>6292</v>
      </c>
      <c r="D49" s="985" t="s">
        <v>3448</v>
      </c>
      <c r="E49" s="562">
        <v>375049788</v>
      </c>
    </row>
    <row r="50" spans="1:5" x14ac:dyDescent="0.25">
      <c r="A50" s="364"/>
      <c r="B50" s="364"/>
      <c r="C50" s="562"/>
      <c r="D50" s="985"/>
      <c r="E50" s="562"/>
    </row>
    <row r="51" spans="1:5" x14ac:dyDescent="0.25">
      <c r="A51" s="364"/>
      <c r="B51" s="364"/>
      <c r="C51" s="562"/>
      <c r="D51" s="985"/>
      <c r="E51" s="562"/>
    </row>
    <row r="52" spans="1:5" x14ac:dyDescent="0.25">
      <c r="A52" s="364"/>
      <c r="B52" s="364"/>
      <c r="C52" s="562"/>
      <c r="D52" s="985"/>
      <c r="E52" s="562"/>
    </row>
    <row r="53" spans="1:5" x14ac:dyDescent="0.25">
      <c r="A53" s="364"/>
      <c r="B53" s="364"/>
      <c r="C53" s="562"/>
      <c r="D53" s="985"/>
      <c r="E53" s="562"/>
    </row>
    <row r="54" spans="1:5" x14ac:dyDescent="0.25">
      <c r="A54" s="364"/>
      <c r="B54" s="364"/>
      <c r="C54" s="562"/>
      <c r="D54" s="985"/>
      <c r="E54" s="562"/>
    </row>
    <row r="55" spans="1:5" x14ac:dyDescent="0.25">
      <c r="A55" s="364"/>
      <c r="B55" s="364"/>
      <c r="C55" s="562"/>
      <c r="D55" s="985"/>
      <c r="E55" s="562"/>
    </row>
    <row r="56" spans="1:5" x14ac:dyDescent="0.25">
      <c r="A56" s="614"/>
      <c r="B56" s="364"/>
      <c r="C56" s="562"/>
      <c r="D56" s="364"/>
      <c r="E56" s="562"/>
    </row>
    <row r="57" spans="1:5" x14ac:dyDescent="0.25">
      <c r="A57" s="1597" t="s">
        <v>6117</v>
      </c>
      <c r="B57" s="1597"/>
      <c r="C57" s="951">
        <f>SUM(C44:C56)</f>
        <v>0</v>
      </c>
      <c r="D57" s="896"/>
      <c r="E57" s="951">
        <f>SUM(E44:E56)</f>
        <v>2770126146</v>
      </c>
    </row>
  </sheetData>
  <mergeCells count="11">
    <mergeCell ref="A2:E2"/>
    <mergeCell ref="A3:E3"/>
    <mergeCell ref="B5:C5"/>
    <mergeCell ref="D5:E5"/>
    <mergeCell ref="A19:B19"/>
    <mergeCell ref="A40:E40"/>
    <mergeCell ref="A41:E41"/>
    <mergeCell ref="A57:B57"/>
    <mergeCell ref="A21:E21"/>
    <mergeCell ref="A22:E22"/>
    <mergeCell ref="A38:B38"/>
  </mergeCell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K9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600" t="s">
        <v>131</v>
      </c>
      <c r="B3" s="1600" t="s">
        <v>139</v>
      </c>
      <c r="C3" s="1600" t="s">
        <v>3479</v>
      </c>
      <c r="D3" s="1600" t="s">
        <v>3443</v>
      </c>
      <c r="E3" s="1600"/>
      <c r="F3" s="1600"/>
      <c r="G3" s="1600"/>
      <c r="H3" s="1600"/>
      <c r="I3" s="1600" t="s">
        <v>24</v>
      </c>
      <c r="K3" s="1600" t="s">
        <v>3443</v>
      </c>
      <c r="L3" s="1600"/>
      <c r="M3" s="1600"/>
      <c r="N3" s="1600"/>
      <c r="O3" s="1600"/>
      <c r="P3" s="1600" t="s">
        <v>24</v>
      </c>
      <c r="R3" s="1600" t="s">
        <v>3443</v>
      </c>
      <c r="S3" s="1600"/>
      <c r="T3" s="1600"/>
      <c r="U3" s="1600"/>
      <c r="V3" s="1600"/>
      <c r="W3" s="1601" t="s">
        <v>24</v>
      </c>
      <c r="Y3" s="1600" t="s">
        <v>3443</v>
      </c>
      <c r="Z3" s="1600"/>
      <c r="AA3" s="1600"/>
      <c r="AB3" s="1600"/>
      <c r="AC3" s="1600"/>
      <c r="AD3" s="1600" t="s">
        <v>24</v>
      </c>
      <c r="AF3" s="1600" t="s">
        <v>3443</v>
      </c>
      <c r="AG3" s="1600"/>
      <c r="AH3" s="1600"/>
      <c r="AI3" s="1600"/>
      <c r="AJ3" s="1600"/>
      <c r="AK3" s="1600" t="s">
        <v>24</v>
      </c>
      <c r="AM3" s="1600" t="s">
        <v>3443</v>
      </c>
      <c r="AN3" s="1600"/>
      <c r="AO3" s="1600"/>
      <c r="AP3" s="1600"/>
      <c r="AQ3" s="1600"/>
      <c r="AR3" s="1600" t="s">
        <v>24</v>
      </c>
      <c r="AT3" s="1600" t="s">
        <v>3443</v>
      </c>
      <c r="AU3" s="1600"/>
      <c r="AV3" s="1600"/>
      <c r="AW3" s="1600"/>
      <c r="AX3" s="1600"/>
      <c r="AY3" s="1600" t="s">
        <v>24</v>
      </c>
      <c r="BA3" s="1600" t="s">
        <v>3443</v>
      </c>
      <c r="BB3" s="1600"/>
      <c r="BC3" s="1600"/>
      <c r="BD3" s="1600"/>
      <c r="BE3" s="1600"/>
      <c r="BF3" s="1600" t="s">
        <v>24</v>
      </c>
      <c r="BH3" s="1600" t="s">
        <v>3443</v>
      </c>
      <c r="BI3" s="1600"/>
      <c r="BJ3" s="1600"/>
      <c r="BK3" s="1600"/>
      <c r="BL3" s="1600"/>
      <c r="BM3" s="1600" t="s">
        <v>24</v>
      </c>
      <c r="BO3" s="1600" t="s">
        <v>3443</v>
      </c>
      <c r="BP3" s="1600"/>
      <c r="BQ3" s="1600"/>
      <c r="BR3" s="1600"/>
      <c r="BS3" s="1600"/>
      <c r="BT3" s="1600" t="s">
        <v>24</v>
      </c>
      <c r="BV3" s="1600" t="s">
        <v>3443</v>
      </c>
      <c r="BW3" s="1600"/>
      <c r="BX3" s="1600"/>
      <c r="BY3" s="1600"/>
      <c r="BZ3" s="1600"/>
      <c r="CA3" s="1600" t="s">
        <v>24</v>
      </c>
      <c r="CC3" s="1600" t="s">
        <v>3443</v>
      </c>
      <c r="CD3" s="1600"/>
      <c r="CE3" s="1600"/>
      <c r="CF3" s="1600"/>
      <c r="CG3" s="1600"/>
      <c r="CH3" s="1600" t="s">
        <v>24</v>
      </c>
    </row>
    <row r="4" spans="1:86" x14ac:dyDescent="0.2">
      <c r="A4" s="1600"/>
      <c r="B4" s="1600"/>
      <c r="C4" s="1600"/>
      <c r="D4" s="1600" t="s">
        <v>3473</v>
      </c>
      <c r="E4" s="1600"/>
      <c r="F4" s="1600"/>
      <c r="G4" s="1600"/>
      <c r="H4" s="1600"/>
      <c r="I4" s="1600"/>
      <c r="K4" s="1600" t="s">
        <v>3482</v>
      </c>
      <c r="L4" s="1600"/>
      <c r="M4" s="1600"/>
      <c r="N4" s="1600"/>
      <c r="O4" s="1600"/>
      <c r="P4" s="1600"/>
      <c r="R4" s="1600" t="s">
        <v>3483</v>
      </c>
      <c r="S4" s="1600"/>
      <c r="T4" s="1600"/>
      <c r="U4" s="1600"/>
      <c r="V4" s="1600"/>
      <c r="W4" s="1601"/>
      <c r="Y4" s="1600" t="s">
        <v>3485</v>
      </c>
      <c r="Z4" s="1600"/>
      <c r="AA4" s="1600"/>
      <c r="AB4" s="1600"/>
      <c r="AC4" s="1600"/>
      <c r="AD4" s="1600"/>
      <c r="AF4" s="1600" t="s">
        <v>3448</v>
      </c>
      <c r="AG4" s="1600"/>
      <c r="AH4" s="1600"/>
      <c r="AI4" s="1600"/>
      <c r="AJ4" s="1600"/>
      <c r="AK4" s="1600"/>
      <c r="AM4" s="1600" t="s">
        <v>3449</v>
      </c>
      <c r="AN4" s="1600"/>
      <c r="AO4" s="1600"/>
      <c r="AP4" s="1600"/>
      <c r="AQ4" s="1600"/>
      <c r="AR4" s="1600"/>
      <c r="AT4" s="1600" t="s">
        <v>3450</v>
      </c>
      <c r="AU4" s="1600"/>
      <c r="AV4" s="1600"/>
      <c r="AW4" s="1600"/>
      <c r="AX4" s="1600"/>
      <c r="AY4" s="1600"/>
      <c r="BA4" s="1600" t="s">
        <v>3488</v>
      </c>
      <c r="BB4" s="1600"/>
      <c r="BC4" s="1600"/>
      <c r="BD4" s="1600"/>
      <c r="BE4" s="1600"/>
      <c r="BF4" s="1600"/>
      <c r="BH4" s="1600" t="s">
        <v>3487</v>
      </c>
      <c r="BI4" s="1600"/>
      <c r="BJ4" s="1600"/>
      <c r="BK4" s="1600"/>
      <c r="BL4" s="1600"/>
      <c r="BM4" s="1600"/>
      <c r="BO4" s="1600" t="s">
        <v>3486</v>
      </c>
      <c r="BP4" s="1600"/>
      <c r="BQ4" s="1600"/>
      <c r="BR4" s="1600"/>
      <c r="BS4" s="1600"/>
      <c r="BT4" s="1600"/>
      <c r="BV4" s="1600" t="s">
        <v>135</v>
      </c>
      <c r="BW4" s="1600"/>
      <c r="BX4" s="1600"/>
      <c r="BY4" s="1600"/>
      <c r="BZ4" s="1600"/>
      <c r="CA4" s="1600"/>
      <c r="CC4" s="1600" t="s">
        <v>134</v>
      </c>
      <c r="CD4" s="1600"/>
      <c r="CE4" s="1600"/>
      <c r="CF4" s="1600"/>
      <c r="CG4" s="1600"/>
      <c r="CH4" s="1600"/>
    </row>
    <row r="5" spans="1:86" x14ac:dyDescent="0.2">
      <c r="A5" s="1600"/>
      <c r="B5" s="1600"/>
      <c r="C5" s="1600"/>
      <c r="D5" s="1415" t="s">
        <v>3474</v>
      </c>
      <c r="E5" s="1415" t="s">
        <v>3475</v>
      </c>
      <c r="F5" s="1415" t="s">
        <v>3476</v>
      </c>
      <c r="G5" s="1415" t="s">
        <v>3477</v>
      </c>
      <c r="H5" s="1415" t="s">
        <v>3478</v>
      </c>
      <c r="I5" s="1600"/>
      <c r="K5" s="1415" t="s">
        <v>3474</v>
      </c>
      <c r="L5" s="1415" t="s">
        <v>3475</v>
      </c>
      <c r="M5" s="1415" t="s">
        <v>3476</v>
      </c>
      <c r="N5" s="1415" t="s">
        <v>3477</v>
      </c>
      <c r="O5" s="1415" t="s">
        <v>3478</v>
      </c>
      <c r="P5" s="1600"/>
      <c r="R5" s="1415" t="s">
        <v>3474</v>
      </c>
      <c r="S5" s="1415" t="s">
        <v>3475</v>
      </c>
      <c r="T5" s="1415" t="s">
        <v>3476</v>
      </c>
      <c r="U5" s="1415" t="s">
        <v>3477</v>
      </c>
      <c r="V5" s="1415" t="s">
        <v>3478</v>
      </c>
      <c r="W5" s="1601"/>
      <c r="Y5" s="1415" t="s">
        <v>3474</v>
      </c>
      <c r="Z5" s="1415" t="s">
        <v>3475</v>
      </c>
      <c r="AA5" s="1415" t="s">
        <v>3476</v>
      </c>
      <c r="AB5" s="1415" t="s">
        <v>3477</v>
      </c>
      <c r="AC5" s="1415" t="s">
        <v>3478</v>
      </c>
      <c r="AD5" s="1600"/>
      <c r="AF5" s="1415" t="s">
        <v>3474</v>
      </c>
      <c r="AG5" s="1415" t="s">
        <v>3475</v>
      </c>
      <c r="AH5" s="1415" t="s">
        <v>3476</v>
      </c>
      <c r="AI5" s="1415" t="s">
        <v>3477</v>
      </c>
      <c r="AJ5" s="1415" t="s">
        <v>3478</v>
      </c>
      <c r="AK5" s="1600"/>
      <c r="AM5" s="1415" t="s">
        <v>3474</v>
      </c>
      <c r="AN5" s="1415" t="s">
        <v>3475</v>
      </c>
      <c r="AO5" s="1415" t="s">
        <v>3476</v>
      </c>
      <c r="AP5" s="1415" t="s">
        <v>3477</v>
      </c>
      <c r="AQ5" s="1415" t="s">
        <v>3478</v>
      </c>
      <c r="AR5" s="1600"/>
      <c r="AT5" s="1415" t="s">
        <v>3474</v>
      </c>
      <c r="AU5" s="1415" t="s">
        <v>3475</v>
      </c>
      <c r="AV5" s="1415" t="s">
        <v>3476</v>
      </c>
      <c r="AW5" s="1415" t="s">
        <v>3477</v>
      </c>
      <c r="AX5" s="1415" t="s">
        <v>3478</v>
      </c>
      <c r="AY5" s="1600"/>
      <c r="BA5" s="1415" t="s">
        <v>3474</v>
      </c>
      <c r="BB5" s="1415" t="s">
        <v>3475</v>
      </c>
      <c r="BC5" s="1415" t="s">
        <v>3476</v>
      </c>
      <c r="BD5" s="1415" t="s">
        <v>3477</v>
      </c>
      <c r="BE5" s="1415" t="s">
        <v>3478</v>
      </c>
      <c r="BF5" s="1600"/>
      <c r="BH5" s="1415" t="s">
        <v>3474</v>
      </c>
      <c r="BI5" s="1415" t="s">
        <v>3475</v>
      </c>
      <c r="BJ5" s="1415" t="s">
        <v>3476</v>
      </c>
      <c r="BK5" s="1415" t="s">
        <v>3477</v>
      </c>
      <c r="BL5" s="1415" t="s">
        <v>3478</v>
      </c>
      <c r="BM5" s="1600"/>
      <c r="BO5" s="1415" t="s">
        <v>3474</v>
      </c>
      <c r="BP5" s="1415" t="s">
        <v>3475</v>
      </c>
      <c r="BQ5" s="1415" t="s">
        <v>3476</v>
      </c>
      <c r="BR5" s="1415" t="s">
        <v>3477</v>
      </c>
      <c r="BS5" s="1415" t="s">
        <v>3478</v>
      </c>
      <c r="BT5" s="1600"/>
      <c r="BV5" s="1415" t="s">
        <v>3474</v>
      </c>
      <c r="BW5" s="1415" t="s">
        <v>3475</v>
      </c>
      <c r="BX5" s="1415" t="s">
        <v>3476</v>
      </c>
      <c r="BY5" s="1415" t="s">
        <v>3477</v>
      </c>
      <c r="BZ5" s="1415" t="s">
        <v>3478</v>
      </c>
      <c r="CA5" s="1600"/>
      <c r="CC5" s="1415" t="s">
        <v>3474</v>
      </c>
      <c r="CD5" s="1415" t="s">
        <v>3475</v>
      </c>
      <c r="CE5" s="1415" t="s">
        <v>3476</v>
      </c>
      <c r="CF5" s="1415" t="s">
        <v>3477</v>
      </c>
      <c r="CG5" s="1415" t="s">
        <v>3478</v>
      </c>
      <c r="CH5" s="1600"/>
    </row>
    <row r="6" spans="1:86" x14ac:dyDescent="0.2">
      <c r="A6" s="838">
        <v>1</v>
      </c>
      <c r="B6" s="838" t="s">
        <v>80</v>
      </c>
      <c r="C6" s="838" t="s">
        <v>114</v>
      </c>
      <c r="D6" s="1103">
        <v>43917</v>
      </c>
      <c r="E6" s="1103"/>
      <c r="F6" s="1103">
        <v>43917</v>
      </c>
      <c r="G6" s="1103"/>
      <c r="H6" s="1103"/>
      <c r="I6" s="838"/>
      <c r="K6" s="1104">
        <v>43927</v>
      </c>
      <c r="L6" s="1104"/>
      <c r="M6" s="1104">
        <v>43927</v>
      </c>
      <c r="N6" s="1104"/>
      <c r="O6" s="1104"/>
      <c r="P6" s="1105"/>
      <c r="R6" s="1104">
        <v>43938</v>
      </c>
      <c r="S6" s="1104"/>
      <c r="T6" s="1104">
        <v>43938</v>
      </c>
      <c r="U6" s="1104"/>
      <c r="V6" s="1104"/>
      <c r="W6" s="1106"/>
      <c r="Y6" s="1104">
        <v>43948</v>
      </c>
      <c r="Z6" s="1104"/>
      <c r="AA6" s="1104">
        <v>43978</v>
      </c>
      <c r="AB6" s="1104"/>
      <c r="AC6" s="1104"/>
      <c r="AD6" s="953"/>
      <c r="AF6" s="837">
        <v>44004</v>
      </c>
      <c r="AG6" s="838"/>
      <c r="AH6" s="837">
        <v>44004</v>
      </c>
      <c r="AI6" s="838"/>
      <c r="AJ6" s="838"/>
      <c r="AK6" s="838"/>
      <c r="AM6" s="837">
        <v>44018</v>
      </c>
      <c r="AN6" s="838"/>
      <c r="AO6" s="837">
        <v>44032</v>
      </c>
      <c r="AP6" s="838"/>
      <c r="AQ6" s="838"/>
      <c r="AR6" s="838"/>
      <c r="AT6" s="837">
        <v>44046</v>
      </c>
      <c r="AU6" s="838"/>
      <c r="AV6" s="837">
        <v>44067</v>
      </c>
      <c r="AW6" s="838"/>
      <c r="AX6" s="838"/>
      <c r="AY6" s="838"/>
      <c r="BA6" s="837">
        <v>44081</v>
      </c>
      <c r="BB6" s="838"/>
      <c r="BC6" s="837">
        <v>44095</v>
      </c>
      <c r="BD6" s="838"/>
      <c r="BE6" s="838"/>
      <c r="BF6" s="838"/>
      <c r="BH6" s="837">
        <v>44109</v>
      </c>
      <c r="BI6" s="838"/>
      <c r="BJ6" s="838"/>
      <c r="BK6" s="838"/>
      <c r="BL6" s="838"/>
      <c r="BM6" s="838"/>
      <c r="BO6" s="838"/>
      <c r="BP6" s="838"/>
      <c r="BQ6" s="837">
        <v>44158</v>
      </c>
      <c r="BR6" s="838"/>
      <c r="BS6" s="838"/>
      <c r="BT6" s="838"/>
      <c r="BV6" s="837">
        <v>44172</v>
      </c>
      <c r="BW6" s="838"/>
      <c r="BX6" s="837">
        <v>44186</v>
      </c>
      <c r="BY6" s="838"/>
      <c r="BZ6" s="838"/>
      <c r="CA6" s="838"/>
      <c r="CC6" s="837">
        <v>44207</v>
      </c>
      <c r="CD6" s="838"/>
      <c r="CE6" s="837">
        <v>44221</v>
      </c>
      <c r="CF6" s="838"/>
      <c r="CG6" s="838"/>
      <c r="CH6" s="953"/>
    </row>
    <row r="7" spans="1:86" x14ac:dyDescent="0.2">
      <c r="A7" s="838"/>
      <c r="B7" s="838"/>
      <c r="C7" s="838" t="s">
        <v>3480</v>
      </c>
      <c r="D7" s="1107">
        <v>3161594</v>
      </c>
      <c r="E7" s="1107"/>
      <c r="F7" s="1108">
        <v>3336813</v>
      </c>
      <c r="G7" s="1108"/>
      <c r="H7" s="1108"/>
      <c r="I7" s="953">
        <f>SUM(D7:H7)</f>
        <v>6498407</v>
      </c>
      <c r="K7" s="1107">
        <v>3402188</v>
      </c>
      <c r="L7" s="1107"/>
      <c r="M7" s="1108">
        <v>3344600</v>
      </c>
      <c r="N7" s="1108"/>
      <c r="O7" s="1105"/>
      <c r="P7" s="1105">
        <f>SUM(K7:O7)</f>
        <v>6746788</v>
      </c>
      <c r="R7" s="839">
        <v>3074280</v>
      </c>
      <c r="S7" s="839"/>
      <c r="T7" s="1109">
        <v>3366211</v>
      </c>
      <c r="U7" s="1109"/>
      <c r="V7" s="953"/>
      <c r="W7" s="1106">
        <f>SUM(R7:V7)</f>
        <v>6440491</v>
      </c>
      <c r="Y7" s="839">
        <v>3770163</v>
      </c>
      <c r="Z7" s="1110"/>
      <c r="AA7" s="1109">
        <v>3616523</v>
      </c>
      <c r="AB7" s="1111"/>
      <c r="AC7" s="838"/>
      <c r="AD7" s="953">
        <f>SUM(Y7:AC7)</f>
        <v>7386686</v>
      </c>
      <c r="AF7" s="839">
        <v>3645000</v>
      </c>
      <c r="AG7" s="839"/>
      <c r="AH7" s="1109">
        <v>3590297</v>
      </c>
      <c r="AI7" s="1109"/>
      <c r="AJ7" s="953"/>
      <c r="AK7" s="838">
        <f>SUM(AF7:AJ7)</f>
        <v>7235297</v>
      </c>
      <c r="AM7" s="839">
        <v>3246523</v>
      </c>
      <c r="AN7" s="1110"/>
      <c r="AO7" s="1109">
        <v>3019625</v>
      </c>
      <c r="AP7" s="1111"/>
      <c r="AQ7" s="838"/>
      <c r="AR7" s="953">
        <f>SUM(AM7:AQ7)</f>
        <v>6266148</v>
      </c>
      <c r="AT7" s="839">
        <v>3480000</v>
      </c>
      <c r="AU7" s="839"/>
      <c r="AV7" s="1109">
        <v>3183438</v>
      </c>
      <c r="AW7" s="1109"/>
      <c r="AX7" s="953"/>
      <c r="AY7" s="953">
        <f>SUM(AT7:AX7)</f>
        <v>6663438</v>
      </c>
      <c r="BA7" s="839">
        <v>3074589</v>
      </c>
      <c r="BB7" s="839"/>
      <c r="BC7" s="1109">
        <v>3230357</v>
      </c>
      <c r="BD7" s="1109"/>
      <c r="BE7" s="953"/>
      <c r="BF7" s="953">
        <f>SUM(BA7:BE7)</f>
        <v>6304946</v>
      </c>
      <c r="BH7" s="953">
        <v>3095759</v>
      </c>
      <c r="BI7" s="953"/>
      <c r="BJ7" s="953"/>
      <c r="BK7" s="953"/>
      <c r="BL7" s="953"/>
      <c r="BM7" s="953">
        <f>SUM(BH7:BL7)</f>
        <v>3095759</v>
      </c>
      <c r="BO7" s="838"/>
      <c r="BP7" s="838"/>
      <c r="BQ7" s="953">
        <v>3170536</v>
      </c>
      <c r="BR7" s="953"/>
      <c r="BS7" s="953"/>
      <c r="BT7" s="953">
        <f>SUM(BO7:BS7)</f>
        <v>3170536</v>
      </c>
      <c r="BV7" s="953">
        <v>3133571</v>
      </c>
      <c r="BW7" s="953"/>
      <c r="BX7" s="953">
        <v>3162232</v>
      </c>
      <c r="BY7" s="953"/>
      <c r="BZ7" s="953"/>
      <c r="CA7" s="953">
        <f>SUM(BV7:BZ7)</f>
        <v>6295803</v>
      </c>
      <c r="CB7" s="719"/>
      <c r="CC7" s="953">
        <v>2904825</v>
      </c>
      <c r="CD7" s="953"/>
      <c r="CE7" s="953">
        <v>3057706</v>
      </c>
      <c r="CF7" s="838"/>
      <c r="CG7" s="838"/>
      <c r="CH7" s="953">
        <f>SUM(CC7:CG7)</f>
        <v>5962531</v>
      </c>
    </row>
    <row r="8" spans="1:86" x14ac:dyDescent="0.2">
      <c r="A8" s="838">
        <v>2</v>
      </c>
      <c r="B8" s="838" t="s">
        <v>83</v>
      </c>
      <c r="C8" s="838" t="s">
        <v>114</v>
      </c>
      <c r="D8" s="1103">
        <v>43857</v>
      </c>
      <c r="E8" s="1103"/>
      <c r="F8" s="1103">
        <v>43878</v>
      </c>
      <c r="G8" s="1103"/>
      <c r="H8" s="1103"/>
      <c r="I8" s="953"/>
      <c r="K8" s="1104">
        <v>43892</v>
      </c>
      <c r="L8" s="1104"/>
      <c r="M8" s="1104">
        <v>43906</v>
      </c>
      <c r="N8" s="1104"/>
      <c r="O8" s="1104"/>
      <c r="P8" s="1105"/>
      <c r="R8" s="1104">
        <v>43927</v>
      </c>
      <c r="S8" s="1104"/>
      <c r="T8" s="1112" t="s">
        <v>5179</v>
      </c>
      <c r="U8" s="1112"/>
      <c r="V8" s="1104"/>
      <c r="W8" s="1106"/>
      <c r="Y8" s="1104">
        <v>43948</v>
      </c>
      <c r="Z8" s="1104"/>
      <c r="AA8" s="1104">
        <v>43978</v>
      </c>
      <c r="AB8" s="1104"/>
      <c r="AC8" s="1104"/>
      <c r="AD8" s="953"/>
      <c r="AF8" s="1104">
        <v>43990</v>
      </c>
      <c r="AG8" s="1104"/>
      <c r="AH8" s="1104">
        <v>43997</v>
      </c>
      <c r="AI8" s="1104"/>
      <c r="AJ8" s="1104"/>
      <c r="AK8" s="838"/>
      <c r="AM8" s="837">
        <v>44018</v>
      </c>
      <c r="AN8" s="838"/>
      <c r="AO8" s="837">
        <v>44027</v>
      </c>
      <c r="AP8" s="838"/>
      <c r="AQ8" s="838"/>
      <c r="AR8" s="953"/>
      <c r="AT8" s="837">
        <v>44046</v>
      </c>
      <c r="AU8" s="838"/>
      <c r="AV8" s="837">
        <v>44067</v>
      </c>
      <c r="AW8" s="838"/>
      <c r="AX8" s="838"/>
      <c r="AY8" s="838"/>
      <c r="BA8" s="837">
        <v>44081</v>
      </c>
      <c r="BB8" s="838"/>
      <c r="BC8" s="837">
        <v>44095</v>
      </c>
      <c r="BD8" s="838"/>
      <c r="BE8" s="838"/>
      <c r="BF8" s="838"/>
      <c r="BH8" s="837">
        <v>44109</v>
      </c>
      <c r="BI8" s="838"/>
      <c r="BJ8" s="838"/>
      <c r="BK8" s="838"/>
      <c r="BL8" s="838"/>
      <c r="BM8" s="838"/>
      <c r="BO8" s="837">
        <v>44137</v>
      </c>
      <c r="BP8" s="838"/>
      <c r="BQ8" s="837">
        <v>44158</v>
      </c>
      <c r="BR8" s="838"/>
      <c r="BS8" s="838"/>
      <c r="BT8" s="838"/>
      <c r="BV8" s="837">
        <v>44172</v>
      </c>
      <c r="BW8" s="838"/>
      <c r="BX8" s="837">
        <v>44186</v>
      </c>
      <c r="BY8" s="838"/>
      <c r="BZ8" s="838"/>
      <c r="CA8" s="838"/>
      <c r="CC8" s="837">
        <v>44207</v>
      </c>
      <c r="CD8" s="838"/>
      <c r="CE8" s="837">
        <v>44221</v>
      </c>
      <c r="CF8" s="838"/>
      <c r="CG8" s="838"/>
      <c r="CH8" s="953"/>
    </row>
    <row r="9" spans="1:86" x14ac:dyDescent="0.2">
      <c r="A9" s="838"/>
      <c r="B9" s="838"/>
      <c r="C9" s="838" t="s">
        <v>3480</v>
      </c>
      <c r="D9" s="1107">
        <v>3247500</v>
      </c>
      <c r="E9" s="1107"/>
      <c r="F9" s="1108">
        <v>3637500</v>
      </c>
      <c r="G9" s="1108"/>
      <c r="H9" s="1108"/>
      <c r="I9" s="953">
        <f>SUM(D9:H9)</f>
        <v>6885000</v>
      </c>
      <c r="K9" s="1107">
        <v>3634500</v>
      </c>
      <c r="L9" s="1107"/>
      <c r="M9" s="1108">
        <v>3747000</v>
      </c>
      <c r="N9" s="1108"/>
      <c r="O9" s="1113"/>
      <c r="P9" s="1105">
        <f>SUM(K9:O9)</f>
        <v>7381500</v>
      </c>
      <c r="R9" s="1107">
        <v>3405365</v>
      </c>
      <c r="S9" s="1107"/>
      <c r="T9" s="1114"/>
      <c r="U9" s="1114"/>
      <c r="V9" s="838"/>
      <c r="W9" s="1106">
        <f>SUM(R9:V9)</f>
        <v>3405365</v>
      </c>
      <c r="Y9" s="839">
        <v>3429000</v>
      </c>
      <c r="Z9" s="1110"/>
      <c r="AA9" s="1109">
        <v>3603000</v>
      </c>
      <c r="AB9" s="1111"/>
      <c r="AC9" s="1111"/>
      <c r="AD9" s="953">
        <f>SUM(Y9:AC9)</f>
        <v>7032000</v>
      </c>
      <c r="AF9" s="839">
        <v>3336000</v>
      </c>
      <c r="AG9" s="1110"/>
      <c r="AH9" s="1109">
        <v>3447000</v>
      </c>
      <c r="AI9" s="1111"/>
      <c r="AJ9" s="838"/>
      <c r="AK9" s="953">
        <f>SUM(AF9:AJ9)</f>
        <v>6783000</v>
      </c>
      <c r="AM9" s="839">
        <v>3049500</v>
      </c>
      <c r="AN9" s="1110"/>
      <c r="AO9" s="1109">
        <v>3348000</v>
      </c>
      <c r="AP9" s="1111"/>
      <c r="AQ9" s="838"/>
      <c r="AR9" s="953">
        <f>SUM(AM9:AQ9)</f>
        <v>6397500</v>
      </c>
      <c r="AT9" s="839">
        <v>3400500</v>
      </c>
      <c r="AU9" s="839"/>
      <c r="AV9" s="1109">
        <v>3727500</v>
      </c>
      <c r="AW9" s="1109"/>
      <c r="AX9" s="953"/>
      <c r="AY9" s="953">
        <f>SUM(AT9:AX9)</f>
        <v>7128000</v>
      </c>
      <c r="BA9" s="839">
        <v>3618000</v>
      </c>
      <c r="BB9" s="839"/>
      <c r="BC9" s="1109">
        <v>3607500</v>
      </c>
      <c r="BD9" s="1109"/>
      <c r="BE9" s="953"/>
      <c r="BF9" s="953">
        <f>SUM(BA9:BE9)</f>
        <v>7225500</v>
      </c>
      <c r="BH9" s="953">
        <v>3900000</v>
      </c>
      <c r="BI9" s="953"/>
      <c r="BJ9" s="953"/>
      <c r="BK9" s="953"/>
      <c r="BL9" s="953"/>
      <c r="BM9" s="953">
        <f>SUM(BH9:BL9)</f>
        <v>3900000</v>
      </c>
      <c r="BO9" s="953">
        <v>4002000</v>
      </c>
      <c r="BP9" s="953"/>
      <c r="BQ9" s="953">
        <v>3843000</v>
      </c>
      <c r="BR9" s="953"/>
      <c r="BS9" s="953"/>
      <c r="BT9" s="953">
        <f>SUM(BO9:BS9)</f>
        <v>7845000</v>
      </c>
      <c r="BV9" s="953">
        <v>19340419</v>
      </c>
      <c r="BW9" s="953"/>
      <c r="BX9" s="953">
        <v>3910500</v>
      </c>
      <c r="BY9" s="953"/>
      <c r="BZ9" s="953"/>
      <c r="CA9" s="953">
        <f>SUM(BV9:BZ9)</f>
        <v>23250919</v>
      </c>
      <c r="CB9" s="719"/>
      <c r="CC9" s="953">
        <v>3825000</v>
      </c>
      <c r="CD9" s="838"/>
      <c r="CE9" s="953">
        <v>4326000</v>
      </c>
      <c r="CF9" s="838"/>
      <c r="CG9" s="838"/>
      <c r="CH9" s="953">
        <f>SUM(CC9:CG9)</f>
        <v>8151000</v>
      </c>
    </row>
    <row r="10" spans="1:86" x14ac:dyDescent="0.2">
      <c r="A10" s="838">
        <v>3</v>
      </c>
      <c r="B10" s="838" t="s">
        <v>88</v>
      </c>
      <c r="C10" s="838" t="s">
        <v>114</v>
      </c>
      <c r="D10" s="1103">
        <v>43871</v>
      </c>
      <c r="E10" s="1103"/>
      <c r="F10" s="1103"/>
      <c r="G10" s="1103">
        <v>43878</v>
      </c>
      <c r="H10" s="1103"/>
      <c r="I10" s="953"/>
      <c r="K10" s="1104">
        <v>43906</v>
      </c>
      <c r="L10" s="1104"/>
      <c r="M10" s="1104">
        <v>43920</v>
      </c>
      <c r="N10" s="1104"/>
      <c r="O10" s="1104"/>
      <c r="P10" s="1105"/>
      <c r="R10" s="1104">
        <v>43920</v>
      </c>
      <c r="S10" s="1104"/>
      <c r="T10" s="1104">
        <v>43941</v>
      </c>
      <c r="U10" s="1104"/>
      <c r="V10" s="1104"/>
      <c r="W10" s="1106"/>
      <c r="Y10" s="1104">
        <v>43948</v>
      </c>
      <c r="Z10" s="1104"/>
      <c r="AA10" s="1104">
        <v>43978</v>
      </c>
      <c r="AB10" s="1104"/>
      <c r="AC10" s="1104"/>
      <c r="AD10" s="953"/>
      <c r="AF10" s="837">
        <v>44004</v>
      </c>
      <c r="AG10" s="838"/>
      <c r="AH10" s="837">
        <v>44004</v>
      </c>
      <c r="AI10" s="838"/>
      <c r="AJ10" s="838"/>
      <c r="AK10" s="953"/>
      <c r="AM10" s="837">
        <v>44018</v>
      </c>
      <c r="AN10" s="838"/>
      <c r="AO10" s="837">
        <v>44032</v>
      </c>
      <c r="AP10" s="838"/>
      <c r="AQ10" s="838"/>
      <c r="AR10" s="953"/>
      <c r="AT10" s="837">
        <v>44046</v>
      </c>
      <c r="AU10" s="838"/>
      <c r="AV10" s="837">
        <v>44067</v>
      </c>
      <c r="AW10" s="838"/>
      <c r="AX10" s="838"/>
      <c r="AY10" s="838"/>
      <c r="BA10" s="837">
        <v>44081</v>
      </c>
      <c r="BB10" s="838"/>
      <c r="BC10" s="837">
        <v>44095</v>
      </c>
      <c r="BD10" s="838"/>
      <c r="BE10" s="838"/>
      <c r="BF10" s="838"/>
      <c r="BH10" s="837">
        <v>44109</v>
      </c>
      <c r="BI10" s="838"/>
      <c r="BJ10" s="838"/>
      <c r="BK10" s="838"/>
      <c r="BL10" s="838"/>
      <c r="BM10" s="838"/>
      <c r="BO10" s="837">
        <v>44137</v>
      </c>
      <c r="BP10" s="838"/>
      <c r="BQ10" s="837">
        <v>44158</v>
      </c>
      <c r="BR10" s="838"/>
      <c r="BS10" s="838"/>
      <c r="BT10" s="838"/>
      <c r="BV10" s="837">
        <v>44172</v>
      </c>
      <c r="BW10" s="838"/>
      <c r="BX10" s="837">
        <v>44186</v>
      </c>
      <c r="BY10" s="838"/>
      <c r="BZ10" s="838"/>
      <c r="CA10" s="838"/>
      <c r="CC10" s="837">
        <v>44207</v>
      </c>
      <c r="CD10" s="838"/>
      <c r="CE10" s="837">
        <v>44221</v>
      </c>
      <c r="CF10" s="838"/>
      <c r="CG10" s="838"/>
      <c r="CH10" s="953"/>
    </row>
    <row r="11" spans="1:86" x14ac:dyDescent="0.2">
      <c r="A11" s="838"/>
      <c r="B11" s="838"/>
      <c r="C11" s="838" t="s">
        <v>3480</v>
      </c>
      <c r="D11" s="1107">
        <v>1787721</v>
      </c>
      <c r="E11" s="1107"/>
      <c r="F11" s="1107"/>
      <c r="G11" s="1108">
        <v>1689000</v>
      </c>
      <c r="H11" s="1108"/>
      <c r="I11" s="953">
        <f>SUM(D11:H11)</f>
        <v>3476721</v>
      </c>
      <c r="K11" s="1107">
        <v>1597500</v>
      </c>
      <c r="L11" s="1107"/>
      <c r="M11" s="1108">
        <v>1647387</v>
      </c>
      <c r="N11" s="1108"/>
      <c r="O11" s="1105"/>
      <c r="P11" s="1105">
        <f>SUM(K11:O11)</f>
        <v>3244887</v>
      </c>
      <c r="R11" s="1107">
        <v>1644225</v>
      </c>
      <c r="S11" s="1107"/>
      <c r="T11" s="1108">
        <v>1825090</v>
      </c>
      <c r="U11" s="1108"/>
      <c r="V11" s="1105"/>
      <c r="W11" s="1106">
        <f>SUM(R11:V11)</f>
        <v>3469315</v>
      </c>
      <c r="Y11" s="839">
        <v>1926000</v>
      </c>
      <c r="Z11" s="1110"/>
      <c r="AA11" s="1109">
        <v>1938000</v>
      </c>
      <c r="AB11" s="1111"/>
      <c r="AC11" s="1111"/>
      <c r="AD11" s="953">
        <f>SUM(Y11:AC11)</f>
        <v>3864000</v>
      </c>
      <c r="AF11" s="839">
        <v>1982838</v>
      </c>
      <c r="AG11" s="839"/>
      <c r="AH11" s="1109">
        <v>1694263</v>
      </c>
      <c r="AI11" s="1115"/>
      <c r="AJ11" s="953"/>
      <c r="AK11" s="953">
        <f>SUM(AF11:AJ11)</f>
        <v>3677101</v>
      </c>
      <c r="AM11" s="839">
        <v>1240643</v>
      </c>
      <c r="AN11" s="1110"/>
      <c r="AO11" s="1109">
        <v>2049000</v>
      </c>
      <c r="AP11" s="1111"/>
      <c r="AQ11" s="838"/>
      <c r="AR11" s="953">
        <f>SUM(AM11:AQ11)</f>
        <v>3289643</v>
      </c>
      <c r="AT11" s="839">
        <v>1823646</v>
      </c>
      <c r="AU11" s="839"/>
      <c r="AV11" s="1109">
        <v>2095714</v>
      </c>
      <c r="AW11" s="1109"/>
      <c r="AX11" s="953"/>
      <c r="AY11" s="953">
        <f>SUM(AT11:AX11)</f>
        <v>3919360</v>
      </c>
      <c r="BA11" s="839">
        <v>1533000</v>
      </c>
      <c r="BB11" s="839"/>
      <c r="BC11" s="1109">
        <v>1995821</v>
      </c>
      <c r="BD11" s="1109"/>
      <c r="BE11" s="953"/>
      <c r="BF11" s="953">
        <f>SUM(BA11:BE11)</f>
        <v>3528821</v>
      </c>
      <c r="BH11" s="953">
        <v>1920000</v>
      </c>
      <c r="BI11" s="953"/>
      <c r="BJ11" s="953"/>
      <c r="BK11" s="953"/>
      <c r="BL11" s="953"/>
      <c r="BM11" s="953">
        <f>SUM(BH11:BL11)</f>
        <v>1920000</v>
      </c>
      <c r="BO11" s="953">
        <v>1950000</v>
      </c>
      <c r="BP11" s="953"/>
      <c r="BQ11" s="953">
        <v>2166900</v>
      </c>
      <c r="BR11" s="953"/>
      <c r="BS11" s="953"/>
      <c r="BT11" s="953">
        <f>SUM(BO11:BS11)</f>
        <v>4116900</v>
      </c>
      <c r="BV11" s="953">
        <v>2147196</v>
      </c>
      <c r="BW11" s="953"/>
      <c r="BX11" s="953">
        <v>2216725</v>
      </c>
      <c r="BY11" s="953"/>
      <c r="BZ11" s="953"/>
      <c r="CA11" s="953">
        <f>SUM(BV11:BZ11)</f>
        <v>4363921</v>
      </c>
      <c r="CB11" s="719"/>
      <c r="CC11" s="953">
        <v>2030006</v>
      </c>
      <c r="CD11" s="953"/>
      <c r="CE11" s="953">
        <v>1941100</v>
      </c>
      <c r="CF11" s="838"/>
      <c r="CG11" s="838"/>
      <c r="CH11" s="953">
        <f>SUM(CC11:CG11)</f>
        <v>3971106</v>
      </c>
    </row>
    <row r="12" spans="1:86" x14ac:dyDescent="0.2">
      <c r="A12" s="838">
        <v>4</v>
      </c>
      <c r="B12" s="838" t="s">
        <v>82</v>
      </c>
      <c r="C12" s="838" t="s">
        <v>114</v>
      </c>
      <c r="D12" s="1103">
        <v>43906</v>
      </c>
      <c r="E12" s="1103"/>
      <c r="F12" s="1103">
        <v>43906</v>
      </c>
      <c r="G12" s="1103"/>
      <c r="H12" s="1103"/>
      <c r="I12" s="953"/>
      <c r="K12" s="1104">
        <v>43906</v>
      </c>
      <c r="L12" s="1104"/>
      <c r="M12" s="1104">
        <v>43927</v>
      </c>
      <c r="N12" s="1104"/>
      <c r="O12" s="1104"/>
      <c r="P12" s="1105"/>
      <c r="R12" s="1116"/>
      <c r="S12" s="1116"/>
      <c r="T12" s="1104">
        <v>43941</v>
      </c>
      <c r="U12" s="1104"/>
      <c r="V12" s="1104"/>
      <c r="W12" s="1106"/>
      <c r="Y12" s="1104">
        <v>43955</v>
      </c>
      <c r="Z12" s="1104"/>
      <c r="AA12" s="1104">
        <v>43978</v>
      </c>
      <c r="AB12" s="1104"/>
      <c r="AC12" s="1104"/>
      <c r="AD12" s="953"/>
      <c r="AF12" s="1104">
        <v>43990</v>
      </c>
      <c r="AG12" s="1104"/>
      <c r="AH12" s="679">
        <v>44004</v>
      </c>
      <c r="AI12" s="1104"/>
      <c r="AJ12" s="1104"/>
      <c r="AK12" s="953"/>
      <c r="AM12" s="837">
        <v>44018</v>
      </c>
      <c r="AN12" s="838"/>
      <c r="AO12" s="837">
        <v>44032</v>
      </c>
      <c r="AP12" s="838"/>
      <c r="AQ12" s="838"/>
      <c r="AR12" s="953"/>
      <c r="AT12" s="837">
        <v>44046</v>
      </c>
      <c r="AU12" s="838"/>
      <c r="AV12" s="837">
        <v>44067</v>
      </c>
      <c r="AW12" s="838"/>
      <c r="AX12" s="838"/>
      <c r="AY12" s="838"/>
      <c r="BA12" s="837">
        <v>44081</v>
      </c>
      <c r="BB12" s="838"/>
      <c r="BC12" s="837">
        <v>44095</v>
      </c>
      <c r="BD12" s="838"/>
      <c r="BE12" s="838"/>
      <c r="BF12" s="838"/>
      <c r="BH12" s="837">
        <v>44109</v>
      </c>
      <c r="BI12" s="838"/>
      <c r="BJ12" s="838"/>
      <c r="BK12" s="838"/>
      <c r="BL12" s="838"/>
      <c r="BM12" s="838"/>
      <c r="BO12" s="837">
        <v>44137</v>
      </c>
      <c r="BP12" s="838"/>
      <c r="BQ12" s="837">
        <v>44158</v>
      </c>
      <c r="BR12" s="838"/>
      <c r="BS12" s="838"/>
      <c r="BT12" s="838"/>
      <c r="BV12" s="837">
        <v>44172</v>
      </c>
      <c r="BW12" s="838"/>
      <c r="BX12" s="837">
        <v>44186</v>
      </c>
      <c r="BY12" s="838"/>
      <c r="BZ12" s="838"/>
      <c r="CA12" s="838"/>
      <c r="CC12" s="837">
        <v>44207</v>
      </c>
      <c r="CD12" s="838"/>
      <c r="CE12" s="837">
        <v>44221</v>
      </c>
      <c r="CF12" s="838"/>
      <c r="CG12" s="838"/>
      <c r="CH12" s="953"/>
    </row>
    <row r="13" spans="1:86" x14ac:dyDescent="0.2">
      <c r="A13" s="838"/>
      <c r="B13" s="838"/>
      <c r="C13" s="838" t="s">
        <v>3480</v>
      </c>
      <c r="D13" s="1107">
        <v>1482000</v>
      </c>
      <c r="E13" s="1107"/>
      <c r="F13" s="1108">
        <v>1920000</v>
      </c>
      <c r="G13" s="1108"/>
      <c r="H13" s="1105"/>
      <c r="I13" s="953">
        <f>SUM(D13:H13)</f>
        <v>3402000</v>
      </c>
      <c r="K13" s="1107">
        <v>1680000</v>
      </c>
      <c r="L13" s="1107"/>
      <c r="M13" s="1108">
        <v>1566000</v>
      </c>
      <c r="N13" s="1108"/>
      <c r="O13" s="1105"/>
      <c r="P13" s="1105">
        <f>SUM(K13:O13)</f>
        <v>3246000</v>
      </c>
      <c r="R13" s="1117"/>
      <c r="S13" s="1117"/>
      <c r="T13" s="1109">
        <v>1633772</v>
      </c>
      <c r="U13" s="1111"/>
      <c r="V13" s="838"/>
      <c r="W13" s="1106">
        <f>SUM(R13:V13)</f>
        <v>1633772</v>
      </c>
      <c r="Y13" s="839">
        <v>1596000</v>
      </c>
      <c r="Z13" s="1110"/>
      <c r="AA13" s="1109">
        <v>1692000</v>
      </c>
      <c r="AB13" s="1111"/>
      <c r="AC13" s="838"/>
      <c r="AD13" s="953">
        <f>SUM(Y13:AC13)</f>
        <v>3288000</v>
      </c>
      <c r="AF13" s="839">
        <v>1647000</v>
      </c>
      <c r="AG13" s="1110"/>
      <c r="AH13" s="1109">
        <v>861000</v>
      </c>
      <c r="AI13" s="1109"/>
      <c r="AJ13" s="838"/>
      <c r="AK13" s="953">
        <f>SUM(AF13:AJ13)</f>
        <v>2508000</v>
      </c>
      <c r="AM13" s="839">
        <v>1620667</v>
      </c>
      <c r="AN13" s="1110"/>
      <c r="AO13" s="1109">
        <v>1692000</v>
      </c>
      <c r="AP13" s="1111"/>
      <c r="AQ13" s="838"/>
      <c r="AR13" s="953">
        <f>SUM(AM13:AQ13)</f>
        <v>3312667</v>
      </c>
      <c r="AT13" s="839">
        <v>1518000</v>
      </c>
      <c r="AU13" s="839"/>
      <c r="AV13" s="1109">
        <v>1866000</v>
      </c>
      <c r="AW13" s="1109"/>
      <c r="AX13" s="953"/>
      <c r="AY13" s="953">
        <f>SUM(AT13:AX13)</f>
        <v>3384000</v>
      </c>
      <c r="BA13" s="839">
        <v>1668000</v>
      </c>
      <c r="BB13" s="839"/>
      <c r="BC13" s="1109">
        <v>1692000</v>
      </c>
      <c r="BD13" s="1109"/>
      <c r="BE13" s="953"/>
      <c r="BF13" s="953">
        <f>SUM(BA13:BE13)</f>
        <v>3360000</v>
      </c>
      <c r="BH13" s="953">
        <v>1751333</v>
      </c>
      <c r="BI13" s="953"/>
      <c r="BJ13" s="953"/>
      <c r="BK13" s="953"/>
      <c r="BL13" s="953"/>
      <c r="BM13" s="953">
        <f>SUM(BH13:BL13)</f>
        <v>1751333</v>
      </c>
      <c r="BO13" s="953">
        <v>1594500</v>
      </c>
      <c r="BP13" s="953"/>
      <c r="BQ13" s="953">
        <v>1734000</v>
      </c>
      <c r="BR13" s="953"/>
      <c r="BS13" s="953"/>
      <c r="BT13" s="953">
        <f>SUM(BO13:BS13)</f>
        <v>3328500</v>
      </c>
      <c r="BV13" s="953">
        <v>1505350</v>
      </c>
      <c r="BW13" s="953"/>
      <c r="BX13" s="953">
        <v>1740000</v>
      </c>
      <c r="BY13" s="953"/>
      <c r="BZ13" s="953"/>
      <c r="CA13" s="953">
        <f>SUM(BV13:BZ13)</f>
        <v>3245350</v>
      </c>
      <c r="CB13" s="719"/>
      <c r="CC13" s="953">
        <v>1692167</v>
      </c>
      <c r="CD13" s="953"/>
      <c r="CE13" s="953">
        <v>1902000</v>
      </c>
      <c r="CF13" s="953"/>
      <c r="CG13" s="838"/>
      <c r="CH13" s="953">
        <f>SUM(CC13:CG13)</f>
        <v>3594167</v>
      </c>
    </row>
    <row r="14" spans="1:86" x14ac:dyDescent="0.2">
      <c r="A14" s="838">
        <v>5</v>
      </c>
      <c r="B14" s="838" t="s">
        <v>86</v>
      </c>
      <c r="C14" s="838" t="s">
        <v>114</v>
      </c>
      <c r="D14" s="1103">
        <v>43864</v>
      </c>
      <c r="E14" s="1103"/>
      <c r="F14" s="1103">
        <v>43892</v>
      </c>
      <c r="G14" s="1103"/>
      <c r="H14" s="1103"/>
      <c r="I14" s="953"/>
      <c r="K14" s="1104">
        <v>43920</v>
      </c>
      <c r="L14" s="1104"/>
      <c r="M14" s="1104">
        <v>43927</v>
      </c>
      <c r="N14" s="1104"/>
      <c r="O14" s="1104"/>
      <c r="P14" s="1105"/>
      <c r="R14" s="1104">
        <v>43927</v>
      </c>
      <c r="S14" s="838"/>
      <c r="T14" s="1114" t="s">
        <v>5180</v>
      </c>
      <c r="U14" s="1114"/>
      <c r="V14" s="838"/>
      <c r="W14" s="1106"/>
      <c r="Y14" s="1104">
        <v>43955</v>
      </c>
      <c r="Z14" s="1104"/>
      <c r="AA14" s="1104">
        <v>43978</v>
      </c>
      <c r="AB14" s="1104"/>
      <c r="AC14" s="1104"/>
      <c r="AD14" s="953"/>
      <c r="AF14" s="837">
        <v>44004</v>
      </c>
      <c r="AG14" s="838"/>
      <c r="AH14" s="837">
        <v>44004</v>
      </c>
      <c r="AI14" s="838"/>
      <c r="AJ14" s="838"/>
      <c r="AK14" s="953"/>
      <c r="AM14" s="837">
        <v>44018</v>
      </c>
      <c r="AN14" s="838"/>
      <c r="AO14" s="837">
        <v>44032</v>
      </c>
      <c r="AP14" s="838"/>
      <c r="AQ14" s="838"/>
      <c r="AR14" s="953"/>
      <c r="AT14" s="837">
        <v>44046</v>
      </c>
      <c r="AU14" s="838"/>
      <c r="AV14" s="837">
        <v>44067</v>
      </c>
      <c r="AW14" s="838"/>
      <c r="AX14" s="838"/>
      <c r="AY14" s="838"/>
      <c r="BA14" s="837">
        <v>44081</v>
      </c>
      <c r="BB14" s="838"/>
      <c r="BC14" s="837">
        <v>44095</v>
      </c>
      <c r="BD14" s="838"/>
      <c r="BE14" s="838"/>
      <c r="BF14" s="838"/>
      <c r="BH14" s="837">
        <v>44109</v>
      </c>
      <c r="BI14" s="838"/>
      <c r="BJ14" s="837">
        <v>44123</v>
      </c>
      <c r="BK14" s="838"/>
      <c r="BL14" s="838"/>
      <c r="BM14" s="838"/>
      <c r="BO14" s="837">
        <v>44137</v>
      </c>
      <c r="BP14" s="838"/>
      <c r="BQ14" s="837">
        <v>44158</v>
      </c>
      <c r="BR14" s="838"/>
      <c r="BS14" s="838"/>
      <c r="BT14" s="838"/>
      <c r="BV14" s="837">
        <v>44172</v>
      </c>
      <c r="BW14" s="838"/>
      <c r="BX14" s="837">
        <v>44186</v>
      </c>
      <c r="BY14" s="838"/>
      <c r="BZ14" s="838"/>
      <c r="CA14" s="838"/>
      <c r="CC14" s="837">
        <v>44207</v>
      </c>
      <c r="CD14" s="838"/>
      <c r="CE14" s="837">
        <v>44221</v>
      </c>
      <c r="CF14" s="838"/>
      <c r="CG14" s="838"/>
      <c r="CH14" s="953"/>
    </row>
    <row r="15" spans="1:86" x14ac:dyDescent="0.2">
      <c r="A15" s="838"/>
      <c r="B15" s="838"/>
      <c r="C15" s="838" t="s">
        <v>3480</v>
      </c>
      <c r="D15" s="1107">
        <v>865800</v>
      </c>
      <c r="E15" s="1107"/>
      <c r="F15" s="1108">
        <v>1153319</v>
      </c>
      <c r="G15" s="1108"/>
      <c r="H15" s="1108"/>
      <c r="I15" s="953">
        <f>SUM(D15:H15)</f>
        <v>2019119</v>
      </c>
      <c r="K15" s="1107">
        <v>1234500</v>
      </c>
      <c r="L15" s="1107"/>
      <c r="M15" s="1108">
        <v>1176000</v>
      </c>
      <c r="N15" s="1108"/>
      <c r="O15" s="1105"/>
      <c r="P15" s="1105">
        <f>SUM(K15:O15)</f>
        <v>2410500</v>
      </c>
      <c r="R15" s="1107">
        <v>1248875</v>
      </c>
      <c r="S15" s="1107"/>
      <c r="T15" s="1114"/>
      <c r="U15" s="1114"/>
      <c r="V15" s="838"/>
      <c r="W15" s="1106">
        <f>SUM(R15:V15)</f>
        <v>1248875</v>
      </c>
      <c r="Y15" s="839">
        <v>1458000</v>
      </c>
      <c r="Z15" s="1110"/>
      <c r="AA15" s="1109">
        <v>1324383</v>
      </c>
      <c r="AB15" s="1111"/>
      <c r="AC15" s="1111"/>
      <c r="AD15" s="953">
        <f>SUM(Y15:AC15)</f>
        <v>2782383</v>
      </c>
      <c r="AF15" s="839">
        <v>1036938</v>
      </c>
      <c r="AG15" s="839"/>
      <c r="AH15" s="1109">
        <v>1188688</v>
      </c>
      <c r="AI15" s="1109"/>
      <c r="AJ15" s="953"/>
      <c r="AK15" s="953">
        <f>SUM(AF15:AJ15)</f>
        <v>2225626</v>
      </c>
      <c r="AM15" s="839">
        <v>1264656</v>
      </c>
      <c r="AN15" s="1110"/>
      <c r="AO15" s="1109">
        <v>1275042</v>
      </c>
      <c r="AP15" s="1111"/>
      <c r="AQ15" s="838"/>
      <c r="AR15" s="953">
        <f>SUM(AM15:AQ15)</f>
        <v>2539698</v>
      </c>
      <c r="AT15" s="839">
        <v>1074713</v>
      </c>
      <c r="AU15" s="839"/>
      <c r="AV15" s="1109">
        <v>1480689</v>
      </c>
      <c r="AW15" s="1109"/>
      <c r="AX15" s="953"/>
      <c r="AY15" s="953">
        <f>SUM(AT15:AX15)</f>
        <v>2555402</v>
      </c>
      <c r="BA15" s="839">
        <v>1322951</v>
      </c>
      <c r="BB15" s="839"/>
      <c r="BC15" s="1109">
        <v>1523456</v>
      </c>
      <c r="BD15" s="1109"/>
      <c r="BE15" s="953"/>
      <c r="BF15" s="953">
        <f>SUM(BA15:BE15)</f>
        <v>2846407</v>
      </c>
      <c r="BH15" s="839">
        <v>1476416</v>
      </c>
      <c r="BI15" s="839"/>
      <c r="BJ15" s="1109">
        <v>1617750</v>
      </c>
      <c r="BK15" s="1109"/>
      <c r="BL15" s="953"/>
      <c r="BM15" s="953">
        <f>SUM(BH15:BL15)</f>
        <v>3094166</v>
      </c>
      <c r="BO15" s="953">
        <v>1374146</v>
      </c>
      <c r="BP15" s="953"/>
      <c r="BQ15" s="953">
        <v>1608900</v>
      </c>
      <c r="BR15" s="953"/>
      <c r="BS15" s="953"/>
      <c r="BT15" s="953">
        <f>SUM(BO15:BS15)</f>
        <v>2983046</v>
      </c>
      <c r="BV15" s="953">
        <v>1097156</v>
      </c>
      <c r="BW15" s="953"/>
      <c r="BX15" s="953">
        <v>1523542</v>
      </c>
      <c r="BY15" s="953"/>
      <c r="BZ15" s="953"/>
      <c r="CA15" s="953">
        <f>SUM(BV15:BZ15)</f>
        <v>2620698</v>
      </c>
      <c r="CB15" s="719"/>
      <c r="CC15" s="953">
        <v>1350021</v>
      </c>
      <c r="CD15" s="953"/>
      <c r="CE15" s="953">
        <v>1362083</v>
      </c>
      <c r="CF15" s="838"/>
      <c r="CG15" s="838"/>
      <c r="CH15" s="953">
        <f>SUM(CC15:CG15)</f>
        <v>2712104</v>
      </c>
    </row>
    <row r="16" spans="1:86" x14ac:dyDescent="0.2">
      <c r="A16" s="838">
        <v>6</v>
      </c>
      <c r="B16" s="838" t="s">
        <v>87</v>
      </c>
      <c r="C16" s="838" t="s">
        <v>114</v>
      </c>
      <c r="D16" s="1103">
        <v>43871</v>
      </c>
      <c r="E16" s="1103"/>
      <c r="F16" s="1103">
        <v>43920</v>
      </c>
      <c r="G16" s="1103"/>
      <c r="H16" s="1103"/>
      <c r="I16" s="953"/>
      <c r="K16" s="1104">
        <v>43927</v>
      </c>
      <c r="L16" s="1104"/>
      <c r="M16" s="1112" t="s">
        <v>5179</v>
      </c>
      <c r="N16" s="1112"/>
      <c r="O16" s="1104"/>
      <c r="P16" s="1105"/>
      <c r="R16" s="1118">
        <v>44004</v>
      </c>
      <c r="S16" s="1119"/>
      <c r="T16" s="1118">
        <v>44004</v>
      </c>
      <c r="U16" s="1119"/>
      <c r="V16" s="838"/>
      <c r="W16" s="1106"/>
      <c r="Y16" s="1104">
        <v>43978</v>
      </c>
      <c r="Z16" s="1104"/>
      <c r="AA16" s="1104">
        <v>43990</v>
      </c>
      <c r="AB16" s="1104"/>
      <c r="AC16" s="1104"/>
      <c r="AD16" s="953"/>
      <c r="AF16" s="837">
        <v>44004</v>
      </c>
      <c r="AG16" s="838"/>
      <c r="AH16" s="837">
        <v>44004</v>
      </c>
      <c r="AI16" s="838"/>
      <c r="AJ16" s="838"/>
      <c r="AK16" s="953"/>
      <c r="AM16" s="837">
        <v>44018</v>
      </c>
      <c r="AN16" s="838"/>
      <c r="AO16" s="837">
        <v>44039</v>
      </c>
      <c r="AP16" s="838"/>
      <c r="AQ16" s="838"/>
      <c r="AR16" s="953"/>
      <c r="AT16" s="1120">
        <v>44067</v>
      </c>
      <c r="AU16" s="1110"/>
      <c r="AV16" s="1121">
        <v>44067</v>
      </c>
      <c r="AW16" s="1122"/>
      <c r="AX16" s="838"/>
      <c r="AY16" s="838"/>
      <c r="BA16" s="837">
        <v>44081</v>
      </c>
      <c r="BB16" s="838"/>
      <c r="BC16" s="837">
        <v>44095</v>
      </c>
      <c r="BD16" s="838"/>
      <c r="BE16" s="838"/>
      <c r="BF16" s="838"/>
      <c r="BH16" s="837">
        <v>44109</v>
      </c>
      <c r="BI16" s="838"/>
      <c r="BJ16" s="838"/>
      <c r="BK16" s="838"/>
      <c r="BL16" s="838"/>
      <c r="BM16" s="838"/>
      <c r="BO16" s="837">
        <v>44137</v>
      </c>
      <c r="BP16" s="838"/>
      <c r="BQ16" s="837">
        <v>44158</v>
      </c>
      <c r="BR16" s="838"/>
      <c r="BS16" s="838"/>
      <c r="BT16" s="838"/>
      <c r="BV16" s="837">
        <v>44172</v>
      </c>
      <c r="BW16" s="838"/>
      <c r="BX16" s="837">
        <v>44186</v>
      </c>
      <c r="BY16" s="838"/>
      <c r="BZ16" s="838"/>
      <c r="CA16" s="838"/>
      <c r="CC16" s="837">
        <v>44207</v>
      </c>
      <c r="CD16" s="838"/>
      <c r="CE16" s="837">
        <v>44221</v>
      </c>
      <c r="CF16" s="838"/>
      <c r="CG16" s="838"/>
      <c r="CH16" s="953"/>
    </row>
    <row r="17" spans="1:86" x14ac:dyDescent="0.2">
      <c r="A17" s="838"/>
      <c r="B17" s="838"/>
      <c r="C17" s="838" t="s">
        <v>3480</v>
      </c>
      <c r="D17" s="1107">
        <v>2220000</v>
      </c>
      <c r="E17" s="1107"/>
      <c r="F17" s="1108">
        <v>2538000</v>
      </c>
      <c r="G17" s="1108"/>
      <c r="H17" s="1108"/>
      <c r="I17" s="953">
        <f>SUM(D17:H17)</f>
        <v>4758000</v>
      </c>
      <c r="K17" s="1107">
        <v>2139679</v>
      </c>
      <c r="L17" s="1107"/>
      <c r="M17" s="1114"/>
      <c r="N17" s="1114"/>
      <c r="O17" s="838"/>
      <c r="P17" s="1105">
        <f>SUM(K17:O17)</f>
        <v>2139679</v>
      </c>
      <c r="R17" s="839">
        <v>2675893</v>
      </c>
      <c r="S17" s="839"/>
      <c r="T17" s="1109">
        <v>2685000</v>
      </c>
      <c r="U17" s="1109"/>
      <c r="V17" s="953"/>
      <c r="W17" s="1106">
        <f>SUM(R17:V17)</f>
        <v>5360893</v>
      </c>
      <c r="Y17" s="839">
        <v>2686911</v>
      </c>
      <c r="Z17" s="1110"/>
      <c r="AA17" s="1109">
        <v>2844000</v>
      </c>
      <c r="AB17" s="1111"/>
      <c r="AC17" s="1111"/>
      <c r="AD17" s="953">
        <f>SUM(Y17:AC17)</f>
        <v>5530911</v>
      </c>
      <c r="AF17" s="839">
        <v>3162893</v>
      </c>
      <c r="AG17" s="839"/>
      <c r="AH17" s="1109">
        <v>2466161</v>
      </c>
      <c r="AI17" s="1109"/>
      <c r="AJ17" s="953"/>
      <c r="AK17" s="953">
        <f>SUM(AF17:AJ17)</f>
        <v>5629054</v>
      </c>
      <c r="AM17" s="839">
        <v>2681250</v>
      </c>
      <c r="AN17" s="1110"/>
      <c r="AO17" s="1109">
        <v>2849196</v>
      </c>
      <c r="AP17" s="1109"/>
      <c r="AQ17" s="838"/>
      <c r="AR17" s="953">
        <f>SUM(AM17:AQ17)</f>
        <v>5530446</v>
      </c>
      <c r="AT17" s="953">
        <v>2875357</v>
      </c>
      <c r="AU17" s="953"/>
      <c r="AV17" s="953">
        <v>2944346</v>
      </c>
      <c r="AW17" s="953"/>
      <c r="AX17" s="838"/>
      <c r="AY17" s="838">
        <f>SUM(AT17:AX17)</f>
        <v>5819703</v>
      </c>
      <c r="BA17" s="839">
        <v>2877768</v>
      </c>
      <c r="BB17" s="839"/>
      <c r="BC17" s="1109">
        <v>3119321</v>
      </c>
      <c r="BD17" s="1109"/>
      <c r="BE17" s="953"/>
      <c r="BF17" s="953">
        <f>SUM(BA17:BE17)</f>
        <v>5997089</v>
      </c>
      <c r="BH17" s="953">
        <v>2789393</v>
      </c>
      <c r="BI17" s="953"/>
      <c r="BJ17" s="953"/>
      <c r="BK17" s="953"/>
      <c r="BL17" s="953"/>
      <c r="BM17" s="953">
        <f>SUM(BH17:BL17)</f>
        <v>2789393</v>
      </c>
      <c r="BO17" s="953">
        <v>2729866</v>
      </c>
      <c r="BP17" s="953"/>
      <c r="BQ17" s="953">
        <v>2564339</v>
      </c>
      <c r="BR17" s="953"/>
      <c r="BS17" s="953"/>
      <c r="BT17" s="953">
        <f>SUM(BO17:BS17)</f>
        <v>5294205</v>
      </c>
      <c r="BV17" s="953">
        <v>2419875</v>
      </c>
      <c r="BW17" s="953"/>
      <c r="BX17" s="953">
        <v>2261000</v>
      </c>
      <c r="BY17" s="953"/>
      <c r="BZ17" s="953"/>
      <c r="CA17" s="953">
        <f>SUM(BV17:BZ17)</f>
        <v>4680875</v>
      </c>
      <c r="CB17" s="719"/>
      <c r="CC17" s="953">
        <v>2555525</v>
      </c>
      <c r="CD17" s="953"/>
      <c r="CE17" s="953">
        <v>3053838</v>
      </c>
      <c r="CF17" s="838"/>
      <c r="CG17" s="838"/>
      <c r="CH17" s="953">
        <f>SUM(CC17:CG17)</f>
        <v>5609363</v>
      </c>
    </row>
    <row r="18" spans="1:86" x14ac:dyDescent="0.2">
      <c r="A18" s="838">
        <v>7</v>
      </c>
      <c r="B18" s="838" t="s">
        <v>77</v>
      </c>
      <c r="C18" s="838" t="s">
        <v>114</v>
      </c>
      <c r="D18" s="1103">
        <v>43872</v>
      </c>
      <c r="E18" s="1103"/>
      <c r="F18" s="1103"/>
      <c r="G18" s="1103">
        <v>43879</v>
      </c>
      <c r="H18" s="1103"/>
      <c r="I18" s="953"/>
      <c r="K18" s="1104">
        <v>43921</v>
      </c>
      <c r="L18" s="1104"/>
      <c r="M18" s="1104">
        <v>43928</v>
      </c>
      <c r="N18" s="1104"/>
      <c r="O18" s="1104"/>
      <c r="P18" s="1105"/>
      <c r="R18" s="1104"/>
      <c r="S18" s="1104"/>
      <c r="T18" s="1123"/>
      <c r="U18" s="1123"/>
      <c r="V18" s="1104"/>
      <c r="W18" s="1106"/>
      <c r="Y18" s="1104"/>
      <c r="Z18" s="1104"/>
      <c r="AA18" s="952">
        <v>43970</v>
      </c>
      <c r="AB18" s="952"/>
      <c r="AC18" s="952"/>
      <c r="AD18" s="953"/>
      <c r="AF18" s="837">
        <v>43998</v>
      </c>
      <c r="AG18" s="838"/>
      <c r="AH18" s="837">
        <v>43998</v>
      </c>
      <c r="AI18" s="838"/>
      <c r="AJ18" s="838"/>
      <c r="AK18" s="953"/>
      <c r="AM18" s="837">
        <v>44019</v>
      </c>
      <c r="AN18" s="838"/>
      <c r="AO18" s="837">
        <v>44033</v>
      </c>
      <c r="AP18" s="838"/>
      <c r="AQ18" s="838"/>
      <c r="AR18" s="953"/>
      <c r="AT18" s="837">
        <v>44040</v>
      </c>
      <c r="AU18" s="838"/>
      <c r="AV18" s="837">
        <v>44068</v>
      </c>
      <c r="AW18" s="838"/>
      <c r="AX18" s="838"/>
      <c r="AY18" s="838"/>
      <c r="BA18" s="837">
        <v>44082</v>
      </c>
      <c r="BB18" s="838"/>
      <c r="BC18" s="837">
        <v>44096</v>
      </c>
      <c r="BD18" s="838"/>
      <c r="BE18" s="838"/>
      <c r="BF18" s="838"/>
      <c r="BH18" s="837">
        <v>44110</v>
      </c>
      <c r="BI18" s="838"/>
      <c r="BJ18" s="837">
        <v>44124</v>
      </c>
      <c r="BK18" s="838"/>
      <c r="BL18" s="838"/>
      <c r="BM18" s="838"/>
      <c r="BO18" s="837">
        <v>44138</v>
      </c>
      <c r="BP18" s="838"/>
      <c r="BQ18" s="837">
        <v>44159</v>
      </c>
      <c r="BR18" s="838"/>
      <c r="BS18" s="838"/>
      <c r="BT18" s="838"/>
      <c r="BV18" s="837">
        <v>44173</v>
      </c>
      <c r="BW18" s="838"/>
      <c r="BX18" s="837">
        <v>44187</v>
      </c>
      <c r="BY18" s="838"/>
      <c r="BZ18" s="838"/>
      <c r="CA18" s="838"/>
      <c r="CC18" s="837">
        <v>44208</v>
      </c>
      <c r="CD18" s="838"/>
      <c r="CE18" s="837">
        <v>44222</v>
      </c>
      <c r="CF18" s="838"/>
      <c r="CG18" s="838"/>
      <c r="CH18" s="953"/>
    </row>
    <row r="19" spans="1:86" x14ac:dyDescent="0.2">
      <c r="A19" s="838"/>
      <c r="B19" s="838"/>
      <c r="C19" s="838" t="s">
        <v>3480</v>
      </c>
      <c r="D19" s="1107">
        <v>3434188</v>
      </c>
      <c r="E19" s="1107"/>
      <c r="F19" s="1107"/>
      <c r="G19" s="1108">
        <v>3626016</v>
      </c>
      <c r="H19" s="1108"/>
      <c r="I19" s="953">
        <f>SUM(D19:H19)</f>
        <v>7060204</v>
      </c>
      <c r="K19" s="1107">
        <v>3542321</v>
      </c>
      <c r="L19" s="1107"/>
      <c r="M19" s="1108">
        <v>4395000</v>
      </c>
      <c r="N19" s="1108"/>
      <c r="O19" s="1105"/>
      <c r="P19" s="1105">
        <f>SUM(K19:O19)</f>
        <v>7937321</v>
      </c>
      <c r="R19" s="838"/>
      <c r="S19" s="838"/>
      <c r="T19" s="1119"/>
      <c r="U19" s="1119"/>
      <c r="V19" s="838"/>
      <c r="W19" s="1106">
        <f>SUM(R19:V19)</f>
        <v>0</v>
      </c>
      <c r="Y19" s="838"/>
      <c r="Z19" s="838"/>
      <c r="AA19" s="1109">
        <v>3630000</v>
      </c>
      <c r="AB19" s="1111"/>
      <c r="AC19" s="1111"/>
      <c r="AD19" s="953">
        <f>SUM(Y19:AC19)</f>
        <v>3630000</v>
      </c>
      <c r="AF19" s="839">
        <v>4080000</v>
      </c>
      <c r="AG19" s="839"/>
      <c r="AH19" s="1109">
        <v>3844881</v>
      </c>
      <c r="AI19" s="1109"/>
      <c r="AJ19" s="838"/>
      <c r="AK19" s="953">
        <f>SUM(AF19:AJ19)</f>
        <v>7924881</v>
      </c>
      <c r="AM19" s="839">
        <v>3495000</v>
      </c>
      <c r="AN19" s="839"/>
      <c r="AO19" s="1109">
        <v>3798000</v>
      </c>
      <c r="AP19" s="1109"/>
      <c r="AQ19" s="953"/>
      <c r="AR19" s="953">
        <f>SUM(AM19:AQ19)</f>
        <v>7293000</v>
      </c>
      <c r="AT19" s="839">
        <v>3872264</v>
      </c>
      <c r="AU19" s="839"/>
      <c r="AV19" s="1109">
        <v>3498000</v>
      </c>
      <c r="AW19" s="1109"/>
      <c r="AX19" s="838"/>
      <c r="AY19" s="838">
        <f>SUM(AT19:AX19)</f>
        <v>7370264</v>
      </c>
      <c r="BA19" s="839">
        <v>3325500</v>
      </c>
      <c r="BB19" s="839"/>
      <c r="BC19" s="1109">
        <v>3564000</v>
      </c>
      <c r="BD19" s="1109"/>
      <c r="BE19" s="953"/>
      <c r="BF19" s="953">
        <f>SUM(BA19:BE19)</f>
        <v>6889500</v>
      </c>
      <c r="BH19" s="839">
        <v>3105000</v>
      </c>
      <c r="BI19" s="839"/>
      <c r="BJ19" s="1109">
        <v>3423000</v>
      </c>
      <c r="BK19" s="1109"/>
      <c r="BL19" s="953"/>
      <c r="BM19" s="953">
        <f>SUM(BH19:BL19)</f>
        <v>6528000</v>
      </c>
      <c r="BO19" s="953">
        <v>3099000</v>
      </c>
      <c r="BP19" s="953"/>
      <c r="BQ19" s="953">
        <v>3075000</v>
      </c>
      <c r="BR19" s="953"/>
      <c r="BS19" s="953"/>
      <c r="BT19" s="953">
        <f>SUM(BO19:BS19)</f>
        <v>6174000</v>
      </c>
      <c r="BV19" s="953">
        <v>3153000</v>
      </c>
      <c r="BW19" s="953"/>
      <c r="BX19" s="953">
        <v>3349500</v>
      </c>
      <c r="BY19" s="953"/>
      <c r="BZ19" s="953"/>
      <c r="CA19" s="953">
        <f>SUM(BV19:BZ19)</f>
        <v>6502500</v>
      </c>
      <c r="CB19" s="719"/>
      <c r="CC19" s="953">
        <v>3474750</v>
      </c>
      <c r="CD19" s="953"/>
      <c r="CE19" s="953">
        <v>3442500</v>
      </c>
      <c r="CF19" s="838"/>
      <c r="CG19" s="838"/>
      <c r="CH19" s="953">
        <f>SUM(CC19:CG19)</f>
        <v>6917250</v>
      </c>
    </row>
    <row r="20" spans="1:86" x14ac:dyDescent="0.2">
      <c r="A20" s="838">
        <v>8</v>
      </c>
      <c r="B20" s="838" t="s">
        <v>84</v>
      </c>
      <c r="C20" s="838" t="s">
        <v>114</v>
      </c>
      <c r="D20" s="1103">
        <v>43872</v>
      </c>
      <c r="E20" s="1103"/>
      <c r="F20" s="1103">
        <v>43900</v>
      </c>
      <c r="G20" s="1103"/>
      <c r="H20" s="1103"/>
      <c r="I20" s="953"/>
      <c r="K20" s="1104">
        <v>43921</v>
      </c>
      <c r="L20" s="1104"/>
      <c r="M20" s="1104">
        <v>43921</v>
      </c>
      <c r="N20" s="1104"/>
      <c r="O20" s="1104"/>
      <c r="P20" s="1105"/>
      <c r="R20" s="1104">
        <v>43942</v>
      </c>
      <c r="S20" s="1104"/>
      <c r="T20" s="1104">
        <v>43949</v>
      </c>
      <c r="U20" s="1104"/>
      <c r="V20" s="1104"/>
      <c r="W20" s="1106"/>
      <c r="Y20" s="1104">
        <v>43991</v>
      </c>
      <c r="Z20" s="1104"/>
      <c r="AA20" s="1104">
        <v>43991</v>
      </c>
      <c r="AB20" s="1104"/>
      <c r="AC20" s="1104"/>
      <c r="AD20" s="953"/>
      <c r="AF20" s="837">
        <v>43998</v>
      </c>
      <c r="AG20" s="838"/>
      <c r="AH20" s="837">
        <v>43998</v>
      </c>
      <c r="AI20" s="838"/>
      <c r="AJ20" s="838"/>
      <c r="AK20" s="953"/>
      <c r="AM20" s="837">
        <v>44027</v>
      </c>
      <c r="AN20" s="838"/>
      <c r="AO20" s="837">
        <v>44068</v>
      </c>
      <c r="AP20" s="838"/>
      <c r="AQ20" s="838"/>
      <c r="AR20" s="953"/>
      <c r="AT20" s="837">
        <v>44068</v>
      </c>
      <c r="AU20" s="838"/>
      <c r="AV20" s="837">
        <v>44096</v>
      </c>
      <c r="AW20" s="838"/>
      <c r="AX20" s="838"/>
      <c r="AY20" s="838"/>
      <c r="BA20" s="837">
        <v>44082</v>
      </c>
      <c r="BB20" s="838"/>
      <c r="BC20" s="837">
        <v>44096</v>
      </c>
      <c r="BD20" s="838"/>
      <c r="BE20" s="838"/>
      <c r="BF20" s="838"/>
      <c r="BH20" s="837">
        <v>44110</v>
      </c>
      <c r="BI20" s="838"/>
      <c r="BJ20" s="837">
        <v>44124</v>
      </c>
      <c r="BK20" s="838"/>
      <c r="BL20" s="838"/>
      <c r="BM20" s="838"/>
      <c r="BO20" s="837">
        <v>44138</v>
      </c>
      <c r="BP20" s="838"/>
      <c r="BQ20" s="837">
        <v>44159</v>
      </c>
      <c r="BR20" s="838"/>
      <c r="BS20" s="838"/>
      <c r="BT20" s="838"/>
      <c r="BV20" s="837">
        <v>44173</v>
      </c>
      <c r="BW20" s="838"/>
      <c r="BX20" s="837">
        <v>44187</v>
      </c>
      <c r="BY20" s="838"/>
      <c r="BZ20" s="838"/>
      <c r="CA20" s="838"/>
      <c r="CC20" s="837">
        <v>44208</v>
      </c>
      <c r="CD20" s="838"/>
      <c r="CE20" s="837">
        <v>44222</v>
      </c>
      <c r="CF20" s="838"/>
      <c r="CG20" s="838"/>
      <c r="CH20" s="953"/>
    </row>
    <row r="21" spans="1:86" x14ac:dyDescent="0.2">
      <c r="A21" s="838"/>
      <c r="B21" s="838"/>
      <c r="C21" s="838" t="s">
        <v>3480</v>
      </c>
      <c r="D21" s="1107">
        <v>4100759</v>
      </c>
      <c r="E21" s="1107"/>
      <c r="F21" s="1108">
        <v>3681814</v>
      </c>
      <c r="G21" s="1108"/>
      <c r="H21" s="1108"/>
      <c r="I21" s="953">
        <f>SUM(D21:H21)</f>
        <v>7782573</v>
      </c>
      <c r="K21" s="1107">
        <v>4146000</v>
      </c>
      <c r="L21" s="1107"/>
      <c r="M21" s="1108">
        <v>4405975</v>
      </c>
      <c r="N21" s="1108"/>
      <c r="O21" s="1105"/>
      <c r="P21" s="1105">
        <f>SUM(K21:O21)</f>
        <v>8551975</v>
      </c>
      <c r="R21" s="839">
        <v>4618688</v>
      </c>
      <c r="S21" s="1110"/>
      <c r="T21" s="1109">
        <v>4486500</v>
      </c>
      <c r="U21" s="1111"/>
      <c r="V21" s="838"/>
      <c r="W21" s="1106">
        <f>SUM(R21:V21)</f>
        <v>9105188</v>
      </c>
      <c r="Y21" s="839">
        <v>4626000</v>
      </c>
      <c r="Z21" s="1110"/>
      <c r="AA21" s="1109">
        <v>4716000</v>
      </c>
      <c r="AB21" s="1109"/>
      <c r="AC21" s="1109"/>
      <c r="AD21" s="953">
        <f>SUM(Y21:AC21)</f>
        <v>9342000</v>
      </c>
      <c r="AF21" s="839">
        <v>4618500</v>
      </c>
      <c r="AG21" s="839"/>
      <c r="AH21" s="1109">
        <v>4528500</v>
      </c>
      <c r="AI21" s="1109"/>
      <c r="AJ21" s="953"/>
      <c r="AK21" s="953">
        <f>SUM(AF21:AJ21)</f>
        <v>9147000</v>
      </c>
      <c r="AM21" s="839">
        <v>4203000</v>
      </c>
      <c r="AN21" s="1110"/>
      <c r="AO21" s="1109">
        <v>4117500</v>
      </c>
      <c r="AP21" s="1109"/>
      <c r="AQ21" s="953"/>
      <c r="AR21" s="953">
        <f>SUM(AM21:AQ21)</f>
        <v>8320500</v>
      </c>
      <c r="AT21" s="839">
        <v>4613955</v>
      </c>
      <c r="AU21" s="839"/>
      <c r="AV21" s="1109">
        <v>5089625</v>
      </c>
      <c r="AW21" s="1109"/>
      <c r="AX21" s="953"/>
      <c r="AY21" s="953">
        <f>SUM(AT21:AX21)</f>
        <v>9703580</v>
      </c>
      <c r="BA21" s="839">
        <v>4305000</v>
      </c>
      <c r="BB21" s="839"/>
      <c r="BC21" s="1109">
        <v>4221750</v>
      </c>
      <c r="BD21" s="1109"/>
      <c r="BE21" s="953"/>
      <c r="BF21" s="953">
        <f>SUM(BA21:BE21)</f>
        <v>8526750</v>
      </c>
      <c r="BH21" s="839">
        <v>4285488</v>
      </c>
      <c r="BI21" s="839"/>
      <c r="BJ21" s="1109">
        <v>4380000</v>
      </c>
      <c r="BK21" s="1109"/>
      <c r="BL21" s="953"/>
      <c r="BM21" s="953">
        <f>SUM(BH21:BL21)</f>
        <v>8665488</v>
      </c>
      <c r="BO21" s="953">
        <v>4503000</v>
      </c>
      <c r="BP21" s="953"/>
      <c r="BQ21" s="953">
        <v>4281719</v>
      </c>
      <c r="BR21" s="953"/>
      <c r="BS21" s="953"/>
      <c r="BT21" s="953">
        <f>SUM(BO21:BS21)</f>
        <v>8784719</v>
      </c>
      <c r="BV21" s="953">
        <v>3870000</v>
      </c>
      <c r="BW21" s="953"/>
      <c r="BX21" s="953">
        <v>3900000</v>
      </c>
      <c r="BY21" s="953"/>
      <c r="BZ21" s="953"/>
      <c r="CA21" s="953">
        <f>SUM(BV21:BZ21)</f>
        <v>7770000</v>
      </c>
      <c r="CB21" s="719"/>
      <c r="CC21" s="953">
        <v>3795000</v>
      </c>
      <c r="CD21" s="953"/>
      <c r="CE21" s="953">
        <v>3309741</v>
      </c>
      <c r="CF21" s="838"/>
      <c r="CG21" s="838"/>
      <c r="CH21" s="953">
        <f>SUM(CC21:CG21)</f>
        <v>7104741</v>
      </c>
    </row>
    <row r="22" spans="1:86" x14ac:dyDescent="0.2">
      <c r="A22" s="838">
        <v>9</v>
      </c>
      <c r="B22" s="838" t="s">
        <v>85</v>
      </c>
      <c r="C22" s="838" t="s">
        <v>114</v>
      </c>
      <c r="D22" s="1103">
        <v>43900</v>
      </c>
      <c r="E22" s="1103"/>
      <c r="F22" s="1103"/>
      <c r="G22" s="1103">
        <v>43900</v>
      </c>
      <c r="H22" s="1103"/>
      <c r="I22" s="953"/>
      <c r="K22" s="920">
        <v>44040</v>
      </c>
      <c r="L22" s="921"/>
      <c r="M22" s="920">
        <v>44040</v>
      </c>
      <c r="N22" s="921"/>
      <c r="O22" s="838"/>
      <c r="P22" s="1105"/>
      <c r="R22" s="952">
        <v>44040</v>
      </c>
      <c r="S22" s="952"/>
      <c r="T22" s="952">
        <v>44040</v>
      </c>
      <c r="U22" s="952"/>
      <c r="V22" s="1104"/>
      <c r="W22" s="1106"/>
      <c r="Y22" s="1104">
        <v>44019</v>
      </c>
      <c r="Z22" s="1104"/>
      <c r="AA22" s="1104">
        <v>44019</v>
      </c>
      <c r="AB22" s="1104"/>
      <c r="AC22" s="1104"/>
      <c r="AD22" s="953"/>
      <c r="AF22" s="837">
        <v>44019</v>
      </c>
      <c r="AG22" s="838"/>
      <c r="AH22" s="837">
        <v>44019</v>
      </c>
      <c r="AI22" s="838"/>
      <c r="AJ22" s="838"/>
      <c r="AK22" s="953"/>
      <c r="AM22" s="837">
        <v>44019</v>
      </c>
      <c r="AN22" s="838"/>
      <c r="AO22" s="837">
        <v>44019</v>
      </c>
      <c r="AP22" s="838"/>
      <c r="AQ22" s="838"/>
      <c r="AR22" s="953"/>
      <c r="AT22" s="838"/>
      <c r="AU22" s="838"/>
      <c r="AV22" s="838"/>
      <c r="AW22" s="838"/>
      <c r="AX22" s="838"/>
      <c r="AY22" s="838"/>
      <c r="BA22" s="838"/>
      <c r="BB22" s="838"/>
      <c r="BC22" s="838"/>
      <c r="BD22" s="838"/>
      <c r="BE22" s="838"/>
      <c r="BF22" s="838"/>
      <c r="BH22" s="838"/>
      <c r="BI22" s="838"/>
      <c r="BJ22" s="838"/>
      <c r="BK22" s="838"/>
      <c r="BL22" s="838"/>
      <c r="BM22" s="838"/>
      <c r="BO22" s="838"/>
      <c r="BP22" s="838"/>
      <c r="BQ22" s="838"/>
      <c r="BR22" s="838"/>
      <c r="BS22" s="838"/>
      <c r="BT22" s="838"/>
      <c r="BV22" s="838"/>
      <c r="BW22" s="838"/>
      <c r="BX22" s="838"/>
      <c r="BY22" s="838"/>
      <c r="BZ22" s="838"/>
      <c r="CA22" s="838"/>
      <c r="CC22" s="838"/>
      <c r="CD22" s="838"/>
      <c r="CE22" s="838"/>
      <c r="CF22" s="838"/>
      <c r="CG22" s="838"/>
      <c r="CH22" s="953"/>
    </row>
    <row r="23" spans="1:86" x14ac:dyDescent="0.2">
      <c r="A23" s="838"/>
      <c r="B23" s="838"/>
      <c r="C23" s="838" t="s">
        <v>3480</v>
      </c>
      <c r="D23" s="1107">
        <v>1133600</v>
      </c>
      <c r="E23" s="1107"/>
      <c r="F23" s="1124"/>
      <c r="G23" s="1108">
        <v>934125</v>
      </c>
      <c r="H23" s="1108"/>
      <c r="I23" s="953">
        <f>SUM(D23:H23)</f>
        <v>2067725</v>
      </c>
      <c r="K23" s="839">
        <v>846000</v>
      </c>
      <c r="L23" s="839"/>
      <c r="M23" s="1109">
        <v>1063000</v>
      </c>
      <c r="N23" s="1111"/>
      <c r="O23" s="838"/>
      <c r="P23" s="1105">
        <f>SUM(K23:O23)</f>
        <v>1909000</v>
      </c>
      <c r="R23" s="1125">
        <v>1024500</v>
      </c>
      <c r="S23" s="1125"/>
      <c r="T23" s="1109">
        <v>720000</v>
      </c>
      <c r="U23" s="1109"/>
      <c r="V23" s="838"/>
      <c r="W23" s="1106">
        <f>SUM(R23:V23)</f>
        <v>1744500</v>
      </c>
      <c r="Y23" s="839">
        <v>672000</v>
      </c>
      <c r="Z23" s="839"/>
      <c r="AA23" s="1109">
        <v>1152000</v>
      </c>
      <c r="AB23" s="1109"/>
      <c r="AC23" s="953"/>
      <c r="AD23" s="953">
        <f>SUM(Y23:AC23)</f>
        <v>1824000</v>
      </c>
      <c r="AF23" s="839">
        <v>1008000</v>
      </c>
      <c r="AG23" s="839"/>
      <c r="AH23" s="1109">
        <v>891000</v>
      </c>
      <c r="AI23" s="1109"/>
      <c r="AJ23" s="953"/>
      <c r="AK23" s="953">
        <f>SUM(AF23:AJ23)</f>
        <v>1899000</v>
      </c>
      <c r="AM23" s="839">
        <v>1152000</v>
      </c>
      <c r="AN23" s="839"/>
      <c r="AO23" s="1109">
        <v>1146000</v>
      </c>
      <c r="AP23" s="1109"/>
      <c r="AQ23" s="953"/>
      <c r="AR23" s="953">
        <f>SUM(AM23:AQ23)</f>
        <v>2298000</v>
      </c>
      <c r="AT23" s="838"/>
      <c r="AU23" s="838"/>
      <c r="AV23" s="838"/>
      <c r="AW23" s="838"/>
      <c r="AX23" s="838"/>
      <c r="AY23" s="838">
        <f>SUM(AT23:AX23)</f>
        <v>0</v>
      </c>
      <c r="BA23" s="838"/>
      <c r="BB23" s="838"/>
      <c r="BC23" s="838"/>
      <c r="BD23" s="838"/>
      <c r="BE23" s="838"/>
      <c r="BF23" s="838">
        <f>SUM(BA23:BE23)</f>
        <v>0</v>
      </c>
      <c r="BH23" s="838"/>
      <c r="BI23" s="838"/>
      <c r="BJ23" s="838"/>
      <c r="BK23" s="838"/>
      <c r="BL23" s="838"/>
      <c r="BM23" s="838">
        <f>SUM(BH23:BL23)</f>
        <v>0</v>
      </c>
      <c r="BO23" s="838"/>
      <c r="BP23" s="838"/>
      <c r="BQ23" s="838"/>
      <c r="BR23" s="838"/>
      <c r="BS23" s="838"/>
      <c r="BT23" s="838">
        <f>SUM(BO23:BS23)</f>
        <v>0</v>
      </c>
      <c r="BV23" s="838"/>
      <c r="BW23" s="838"/>
      <c r="BX23" s="838"/>
      <c r="BY23" s="838"/>
      <c r="BZ23" s="838"/>
      <c r="CA23" s="838">
        <f>SUM(BV23:BZ23)</f>
        <v>0</v>
      </c>
      <c r="CC23" s="838"/>
      <c r="CD23" s="838"/>
      <c r="CE23" s="838"/>
      <c r="CF23" s="838"/>
      <c r="CG23" s="838"/>
      <c r="CH23" s="953">
        <f>SUM(CC23:CG23)</f>
        <v>0</v>
      </c>
    </row>
    <row r="24" spans="1:86" x14ac:dyDescent="0.2">
      <c r="A24" s="838">
        <v>10</v>
      </c>
      <c r="B24" s="838" t="s">
        <v>89</v>
      </c>
      <c r="C24" s="838" t="s">
        <v>114</v>
      </c>
      <c r="D24" s="1126" t="s">
        <v>5178</v>
      </c>
      <c r="E24" s="1126"/>
      <c r="F24" s="1126"/>
      <c r="G24" s="1126"/>
      <c r="H24" s="1126"/>
      <c r="I24" s="953"/>
      <c r="K24" s="1114" t="s">
        <v>5178</v>
      </c>
      <c r="L24" s="1114"/>
      <c r="M24" s="1114"/>
      <c r="N24" s="1114"/>
      <c r="O24" s="838"/>
      <c r="P24" s="1105"/>
      <c r="R24" s="1114" t="s">
        <v>5178</v>
      </c>
      <c r="S24" s="1114"/>
      <c r="T24" s="1104">
        <v>43956</v>
      </c>
      <c r="U24" s="1104"/>
      <c r="V24" s="1104"/>
      <c r="W24" s="1106"/>
      <c r="Y24" s="1104">
        <v>43949</v>
      </c>
      <c r="Z24" s="1104"/>
      <c r="AA24" s="1104"/>
      <c r="AB24" s="1104"/>
      <c r="AC24" s="1104"/>
      <c r="AD24" s="953"/>
      <c r="AF24" s="1104">
        <v>44005</v>
      </c>
      <c r="AG24" s="1104"/>
      <c r="AH24" s="1104">
        <v>44005</v>
      </c>
      <c r="AI24" s="1104"/>
      <c r="AJ24" s="1104"/>
      <c r="AK24" s="953"/>
      <c r="AM24" s="837">
        <v>44033</v>
      </c>
      <c r="AN24" s="838"/>
      <c r="AO24" s="837">
        <v>44026</v>
      </c>
      <c r="AP24" s="838"/>
      <c r="AQ24" s="838"/>
      <c r="AR24" s="953"/>
      <c r="AT24" s="837">
        <v>44047</v>
      </c>
      <c r="AU24" s="838"/>
      <c r="AV24" s="837">
        <v>44082</v>
      </c>
      <c r="AW24" s="838"/>
      <c r="AX24" s="838"/>
      <c r="AY24" s="838"/>
      <c r="BA24" s="837">
        <v>44082</v>
      </c>
      <c r="BB24" s="838"/>
      <c r="BC24" s="837">
        <v>44096</v>
      </c>
      <c r="BD24" s="838"/>
      <c r="BE24" s="838"/>
      <c r="BF24" s="838"/>
      <c r="BH24" s="837">
        <v>44110</v>
      </c>
      <c r="BI24" s="838"/>
      <c r="BJ24" s="837">
        <v>44124</v>
      </c>
      <c r="BK24" s="838"/>
      <c r="BL24" s="838"/>
      <c r="BM24" s="838"/>
      <c r="BO24" s="837">
        <v>44138</v>
      </c>
      <c r="BP24" s="838"/>
      <c r="BQ24" s="837">
        <v>44159</v>
      </c>
      <c r="BR24" s="838"/>
      <c r="BS24" s="838"/>
      <c r="BT24" s="838"/>
      <c r="BV24" s="837">
        <v>44173</v>
      </c>
      <c r="BW24" s="838"/>
      <c r="BX24" s="837">
        <v>44187</v>
      </c>
      <c r="BY24" s="838"/>
      <c r="BZ24" s="838"/>
      <c r="CA24" s="838"/>
      <c r="CC24" s="838"/>
      <c r="CD24" s="838"/>
      <c r="CE24" s="837">
        <v>44222</v>
      </c>
      <c r="CF24" s="838"/>
      <c r="CG24" s="838"/>
      <c r="CH24" s="953"/>
    </row>
    <row r="25" spans="1:86" x14ac:dyDescent="0.2">
      <c r="A25" s="838"/>
      <c r="B25" s="838"/>
      <c r="C25" s="838" t="s">
        <v>3480</v>
      </c>
      <c r="D25" s="1114"/>
      <c r="E25" s="1114"/>
      <c r="F25" s="1114"/>
      <c r="G25" s="1114"/>
      <c r="H25" s="1114"/>
      <c r="I25" s="953">
        <f>SUM(D25:H25)</f>
        <v>0</v>
      </c>
      <c r="K25" s="1114"/>
      <c r="L25" s="1114"/>
      <c r="M25" s="1114"/>
      <c r="N25" s="1114"/>
      <c r="O25" s="838"/>
      <c r="P25" s="1105">
        <f>SUM(K25:O25)</f>
        <v>0</v>
      </c>
      <c r="R25" s="1114"/>
      <c r="S25" s="1114"/>
      <c r="T25" s="1109">
        <v>1416000</v>
      </c>
      <c r="U25" s="1111"/>
      <c r="V25" s="838"/>
      <c r="W25" s="1106">
        <f>SUM(R25:V25)</f>
        <v>1416000</v>
      </c>
      <c r="Y25" s="839">
        <v>1244513</v>
      </c>
      <c r="Z25" s="1110"/>
      <c r="AA25" s="838"/>
      <c r="AB25" s="838"/>
      <c r="AC25" s="838"/>
      <c r="AD25" s="953">
        <f>SUM(Y25:AC25)</f>
        <v>1244513</v>
      </c>
      <c r="AF25" s="953">
        <v>2115150</v>
      </c>
      <c r="AG25" s="953"/>
      <c r="AH25" s="953">
        <v>826000</v>
      </c>
      <c r="AI25" s="953"/>
      <c r="AJ25" s="953"/>
      <c r="AK25" s="953">
        <f>SUM(AF25:AJ25)</f>
        <v>2941150</v>
      </c>
      <c r="AM25" s="839">
        <v>2008575</v>
      </c>
      <c r="AN25" s="1110"/>
      <c r="AO25" s="1109">
        <v>2079300</v>
      </c>
      <c r="AP25" s="1111"/>
      <c r="AQ25" s="838"/>
      <c r="AR25" s="953">
        <f>SUM(AM25:AQ25)</f>
        <v>4087875</v>
      </c>
      <c r="AT25" s="839">
        <v>2005088</v>
      </c>
      <c r="AU25" s="839"/>
      <c r="AV25" s="1109">
        <v>2127075</v>
      </c>
      <c r="AW25" s="1109"/>
      <c r="AX25" s="953"/>
      <c r="AY25" s="953">
        <f>SUM(AT25:AX25)</f>
        <v>4132163</v>
      </c>
      <c r="BA25" s="839">
        <v>2047281</v>
      </c>
      <c r="BB25" s="839"/>
      <c r="BC25" s="1109">
        <v>2280000</v>
      </c>
      <c r="BD25" s="1109"/>
      <c r="BE25" s="953"/>
      <c r="BF25" s="953">
        <f>SUM(BA25:BE25)</f>
        <v>4327281</v>
      </c>
      <c r="BG25" s="719"/>
      <c r="BH25" s="839">
        <v>2076000</v>
      </c>
      <c r="BI25" s="839"/>
      <c r="BJ25" s="1109">
        <v>1980133</v>
      </c>
      <c r="BK25" s="1109"/>
      <c r="BL25" s="953"/>
      <c r="BM25" s="953">
        <f>SUM(BH25:BL25)</f>
        <v>4056133</v>
      </c>
      <c r="BO25" s="953">
        <v>1908000</v>
      </c>
      <c r="BP25" s="953"/>
      <c r="BQ25" s="953">
        <v>1768375</v>
      </c>
      <c r="BR25" s="953"/>
      <c r="BS25" s="953"/>
      <c r="BT25" s="953">
        <f>SUM(BO25:BS25)</f>
        <v>3676375</v>
      </c>
      <c r="BV25" s="953">
        <v>2002650</v>
      </c>
      <c r="BW25" s="953"/>
      <c r="BX25" s="953">
        <v>1834361</v>
      </c>
      <c r="BY25" s="953"/>
      <c r="BZ25" s="953"/>
      <c r="CA25" s="953">
        <f>SUM(BV25:BZ25)</f>
        <v>3837011</v>
      </c>
      <c r="CB25" s="719"/>
      <c r="CC25" s="953"/>
      <c r="CD25" s="953"/>
      <c r="CE25" s="953">
        <v>1920188</v>
      </c>
      <c r="CF25" s="838"/>
      <c r="CG25" s="838"/>
      <c r="CH25" s="953">
        <f>SUM(CC25:CG25)</f>
        <v>1920188</v>
      </c>
    </row>
    <row r="26" spans="1:86" x14ac:dyDescent="0.2">
      <c r="A26" s="838">
        <v>11</v>
      </c>
      <c r="B26" s="838" t="s">
        <v>81</v>
      </c>
      <c r="C26" s="838" t="s">
        <v>114</v>
      </c>
      <c r="D26" s="1103">
        <v>43858</v>
      </c>
      <c r="E26" s="1103"/>
      <c r="F26" s="1103">
        <v>43879</v>
      </c>
      <c r="G26" s="1103"/>
      <c r="H26" s="1103"/>
      <c r="I26" s="953"/>
      <c r="K26" s="1104">
        <v>43907</v>
      </c>
      <c r="L26" s="1104"/>
      <c r="M26" s="1104">
        <v>43907</v>
      </c>
      <c r="N26" s="1104"/>
      <c r="O26" s="1104"/>
      <c r="P26" s="1105"/>
      <c r="R26" s="1104">
        <v>43921</v>
      </c>
      <c r="S26" s="1104"/>
      <c r="T26" s="1112" t="s">
        <v>5180</v>
      </c>
      <c r="U26" s="1112"/>
      <c r="V26" s="1104"/>
      <c r="W26" s="1106"/>
      <c r="Y26" s="1104">
        <v>43949</v>
      </c>
      <c r="Z26" s="1104"/>
      <c r="AA26" s="1104"/>
      <c r="AB26" s="1104"/>
      <c r="AC26" s="1104"/>
      <c r="AD26" s="953"/>
      <c r="AF26" s="1127">
        <v>43987</v>
      </c>
      <c r="AG26" s="1127"/>
      <c r="AH26" s="1115">
        <v>43998</v>
      </c>
      <c r="AI26" s="1115"/>
      <c r="AJ26" s="1104"/>
      <c r="AK26" s="953"/>
      <c r="AM26" s="837">
        <v>44019</v>
      </c>
      <c r="AN26" s="838"/>
      <c r="AO26" s="837">
        <v>44033</v>
      </c>
      <c r="AP26" s="838"/>
      <c r="AQ26" s="838"/>
      <c r="AR26" s="953"/>
      <c r="AT26" s="837">
        <v>44040</v>
      </c>
      <c r="AU26" s="838"/>
      <c r="AV26" s="837">
        <v>44068</v>
      </c>
      <c r="AW26" s="838"/>
      <c r="AX26" s="838"/>
      <c r="AY26" s="838"/>
      <c r="BA26" s="837">
        <v>44082</v>
      </c>
      <c r="BB26" s="838"/>
      <c r="BC26" s="837">
        <v>44096</v>
      </c>
      <c r="BD26" s="838"/>
      <c r="BE26" s="838"/>
      <c r="BF26" s="838"/>
      <c r="BH26" s="837">
        <v>44110</v>
      </c>
      <c r="BI26" s="838"/>
      <c r="BJ26" s="837">
        <v>44124</v>
      </c>
      <c r="BK26" s="838"/>
      <c r="BL26" s="838"/>
      <c r="BM26" s="838"/>
      <c r="BO26" s="837">
        <v>44138</v>
      </c>
      <c r="BP26" s="838"/>
      <c r="BQ26" s="837">
        <v>44159</v>
      </c>
      <c r="BR26" s="838"/>
      <c r="BS26" s="838"/>
      <c r="BT26" s="838"/>
      <c r="BV26" s="837">
        <v>44173</v>
      </c>
      <c r="BW26" s="838"/>
      <c r="BX26" s="837">
        <v>44187</v>
      </c>
      <c r="BY26" s="838"/>
      <c r="BZ26" s="838"/>
      <c r="CA26" s="838"/>
      <c r="CC26" s="837">
        <v>44208</v>
      </c>
      <c r="CD26" s="838"/>
      <c r="CE26" s="838"/>
      <c r="CF26" s="838"/>
      <c r="CG26" s="838"/>
      <c r="CH26" s="953"/>
    </row>
    <row r="27" spans="1:86" x14ac:dyDescent="0.2">
      <c r="A27" s="838"/>
      <c r="B27" s="838"/>
      <c r="C27" s="838" t="s">
        <v>3480</v>
      </c>
      <c r="D27" s="1107">
        <v>2292863</v>
      </c>
      <c r="E27" s="1107"/>
      <c r="F27" s="1108">
        <v>2359631</v>
      </c>
      <c r="G27" s="1108"/>
      <c r="H27" s="1108"/>
      <c r="I27" s="922">
        <f>SUM(D27:H27)</f>
        <v>4652494</v>
      </c>
      <c r="K27" s="1107">
        <v>2666348</v>
      </c>
      <c r="L27" s="1107"/>
      <c r="M27" s="1108">
        <v>2446500</v>
      </c>
      <c r="N27" s="1108"/>
      <c r="O27" s="1113"/>
      <c r="P27" s="1105">
        <f>SUM(K27:O27)</f>
        <v>5112848</v>
      </c>
      <c r="R27" s="1107">
        <v>2353188</v>
      </c>
      <c r="S27" s="1107"/>
      <c r="T27" s="1128"/>
      <c r="U27" s="1128"/>
      <c r="V27" s="1105"/>
      <c r="W27" s="1106">
        <f>SUM(R27:V27)</f>
        <v>2353188</v>
      </c>
      <c r="Y27" s="839">
        <v>2317463</v>
      </c>
      <c r="Z27" s="1110"/>
      <c r="AA27" s="838"/>
      <c r="AB27" s="838"/>
      <c r="AC27" s="838"/>
      <c r="AD27" s="953">
        <f>SUM(Y27:AC27)</f>
        <v>2317463</v>
      </c>
      <c r="AF27" s="839">
        <v>2136000</v>
      </c>
      <c r="AG27" s="1110"/>
      <c r="AH27" s="1109">
        <v>2641800</v>
      </c>
      <c r="AI27" s="1109"/>
      <c r="AJ27" s="838"/>
      <c r="AK27" s="953">
        <f>SUM(AF27:AJ27)</f>
        <v>4777800</v>
      </c>
      <c r="AM27" s="839">
        <v>2410913</v>
      </c>
      <c r="AN27" s="839"/>
      <c r="AO27" s="1109">
        <v>2545350</v>
      </c>
      <c r="AP27" s="1109"/>
      <c r="AQ27" s="953"/>
      <c r="AR27" s="953">
        <f>SUM(AM27:AQ27)</f>
        <v>4956263</v>
      </c>
      <c r="AT27" s="839">
        <v>2048906</v>
      </c>
      <c r="AU27" s="839"/>
      <c r="AV27" s="1109">
        <v>2319406</v>
      </c>
      <c r="AW27" s="1109"/>
      <c r="AX27" s="953"/>
      <c r="AY27" s="953">
        <f>SUM(AT27:AX27)</f>
        <v>4368312</v>
      </c>
      <c r="BA27" s="839">
        <v>2066531</v>
      </c>
      <c r="BB27" s="839"/>
      <c r="BC27" s="953">
        <v>2329469</v>
      </c>
      <c r="BD27" s="953"/>
      <c r="BE27" s="953"/>
      <c r="BF27" s="953">
        <f>SUM(BA27:BE27)</f>
        <v>4396000</v>
      </c>
      <c r="BH27" s="839">
        <v>1858992</v>
      </c>
      <c r="BI27" s="839"/>
      <c r="BJ27" s="1109">
        <v>2130391</v>
      </c>
      <c r="BK27" s="1109"/>
      <c r="BL27" s="953"/>
      <c r="BM27" s="953">
        <f>SUM(BH27:BL27)</f>
        <v>3989383</v>
      </c>
      <c r="BO27" s="953">
        <v>2163672</v>
      </c>
      <c r="BP27" s="953"/>
      <c r="BQ27" s="953">
        <v>2238469</v>
      </c>
      <c r="BR27" s="953"/>
      <c r="BS27" s="953"/>
      <c r="BT27" s="953">
        <f>SUM(BO27:BS27)</f>
        <v>4402141</v>
      </c>
      <c r="BV27" s="953">
        <v>1909375</v>
      </c>
      <c r="BW27" s="953"/>
      <c r="BX27" s="953">
        <v>2028344</v>
      </c>
      <c r="BY27" s="953"/>
      <c r="BZ27" s="953"/>
      <c r="CA27" s="953">
        <f>SUM(BV27:BZ27)</f>
        <v>3937719</v>
      </c>
      <c r="CB27" s="719"/>
      <c r="CC27" s="953">
        <v>1835938</v>
      </c>
      <c r="CD27" s="953"/>
      <c r="CE27" s="838"/>
      <c r="CF27" s="838"/>
      <c r="CG27" s="838"/>
      <c r="CH27" s="953">
        <f>SUM(CC27:CG27)</f>
        <v>1835938</v>
      </c>
    </row>
    <row r="28" spans="1:86" x14ac:dyDescent="0.2">
      <c r="A28" s="838">
        <v>12</v>
      </c>
      <c r="B28" s="838" t="s">
        <v>78</v>
      </c>
      <c r="C28" s="838" t="s">
        <v>114</v>
      </c>
      <c r="D28" s="1103">
        <v>43879</v>
      </c>
      <c r="E28" s="1103"/>
      <c r="F28" s="1103">
        <v>43886</v>
      </c>
      <c r="G28" s="1103"/>
      <c r="H28" s="1103"/>
      <c r="I28" s="953"/>
      <c r="K28" s="1104">
        <v>43900</v>
      </c>
      <c r="L28" s="1104"/>
      <c r="M28" s="1104">
        <v>43921</v>
      </c>
      <c r="N28" s="1104"/>
      <c r="O28" s="1104"/>
      <c r="P28" s="1105"/>
      <c r="R28" s="1104">
        <v>43928</v>
      </c>
      <c r="S28" s="1104"/>
      <c r="T28" s="1104">
        <v>43942</v>
      </c>
      <c r="U28" s="1104"/>
      <c r="V28" s="1104"/>
      <c r="W28" s="1106"/>
      <c r="Y28" s="1104">
        <v>43949</v>
      </c>
      <c r="Z28" s="1104"/>
      <c r="AA28" s="1104"/>
      <c r="AB28" s="1104"/>
      <c r="AC28" s="1104"/>
      <c r="AD28" s="953"/>
      <c r="AF28" s="1104">
        <v>43987</v>
      </c>
      <c r="AG28" s="1104"/>
      <c r="AH28" s="1104">
        <v>43998</v>
      </c>
      <c r="AI28" s="1104"/>
      <c r="AJ28" s="1104"/>
      <c r="AK28" s="953"/>
      <c r="AM28" s="837">
        <v>44019</v>
      </c>
      <c r="AN28" s="838"/>
      <c r="AO28" s="837">
        <v>44033</v>
      </c>
      <c r="AP28" s="838"/>
      <c r="AQ28" s="838"/>
      <c r="AR28" s="953"/>
      <c r="AT28" s="837">
        <v>44048</v>
      </c>
      <c r="AU28" s="838"/>
      <c r="AV28" s="837">
        <v>44068</v>
      </c>
      <c r="AW28" s="838"/>
      <c r="AX28" s="838"/>
      <c r="AY28" s="838"/>
      <c r="BA28" s="837">
        <v>44082</v>
      </c>
      <c r="BB28" s="838"/>
      <c r="BC28" s="837">
        <v>44096</v>
      </c>
      <c r="BD28" s="838"/>
      <c r="BE28" s="838"/>
      <c r="BF28" s="838"/>
      <c r="BH28" s="837">
        <v>44110</v>
      </c>
      <c r="BI28" s="838"/>
      <c r="BJ28" s="837">
        <v>44124</v>
      </c>
      <c r="BK28" s="838"/>
      <c r="BL28" s="838"/>
      <c r="BM28" s="838"/>
      <c r="BO28" s="837">
        <v>44138</v>
      </c>
      <c r="BP28" s="838"/>
      <c r="BQ28" s="837">
        <v>44159</v>
      </c>
      <c r="BR28" s="838"/>
      <c r="BS28" s="838"/>
      <c r="BT28" s="838"/>
      <c r="BV28" s="837">
        <v>44173</v>
      </c>
      <c r="BW28" s="838"/>
      <c r="BX28" s="837">
        <v>44187</v>
      </c>
      <c r="BY28" s="838"/>
      <c r="BZ28" s="838"/>
      <c r="CA28" s="838"/>
      <c r="CC28" s="837">
        <v>44208</v>
      </c>
      <c r="CD28" s="838"/>
      <c r="CE28" s="837">
        <v>44222</v>
      </c>
      <c r="CF28" s="838"/>
      <c r="CG28" s="838"/>
      <c r="CH28" s="953"/>
    </row>
    <row r="29" spans="1:86" x14ac:dyDescent="0.2">
      <c r="A29" s="838"/>
      <c r="B29" s="838"/>
      <c r="C29" s="838" t="s">
        <v>3480</v>
      </c>
      <c r="D29" s="1107">
        <v>2639912</v>
      </c>
      <c r="E29" s="1107"/>
      <c r="F29" s="1108">
        <v>2693910</v>
      </c>
      <c r="G29" s="1108"/>
      <c r="H29" s="1108"/>
      <c r="I29" s="953">
        <f>SUM(D29:H29)</f>
        <v>5333822</v>
      </c>
      <c r="K29" s="1107">
        <v>2087930</v>
      </c>
      <c r="L29" s="1107"/>
      <c r="M29" s="1108">
        <v>2579914</v>
      </c>
      <c r="N29" s="1108"/>
      <c r="O29" s="1105"/>
      <c r="P29" s="1105">
        <f>SUM(K29:O29)</f>
        <v>4667844</v>
      </c>
      <c r="R29" s="1107">
        <v>2675911</v>
      </c>
      <c r="S29" s="1110"/>
      <c r="T29" s="1109">
        <v>2249250</v>
      </c>
      <c r="U29" s="1111"/>
      <c r="V29" s="838"/>
      <c r="W29" s="1106">
        <f>SUM(R29:V29)</f>
        <v>4925161</v>
      </c>
      <c r="Y29" s="839">
        <v>2159928</v>
      </c>
      <c r="Z29" s="1110"/>
      <c r="AA29" s="838"/>
      <c r="AB29" s="838"/>
      <c r="AC29" s="838"/>
      <c r="AD29" s="953">
        <f>SUM(Y29:AC29)</f>
        <v>2159928</v>
      </c>
      <c r="AF29" s="839">
        <v>2399920</v>
      </c>
      <c r="AG29" s="1110"/>
      <c r="AH29" s="1109">
        <v>2303923</v>
      </c>
      <c r="AI29" s="1109"/>
      <c r="AJ29" s="838"/>
      <c r="AK29" s="953">
        <f>SUM(AF29:AJ29)</f>
        <v>4703843</v>
      </c>
      <c r="AM29" s="839">
        <v>2207926</v>
      </c>
      <c r="AN29" s="839"/>
      <c r="AO29" s="1109">
        <v>2447918</v>
      </c>
      <c r="AP29" s="1109"/>
      <c r="AQ29" s="953"/>
      <c r="AR29" s="953">
        <f>SUM(AM29:AQ29)</f>
        <v>4655844</v>
      </c>
      <c r="AT29" s="839">
        <v>2248167</v>
      </c>
      <c r="AU29" s="839"/>
      <c r="AV29" s="1109">
        <v>2544000</v>
      </c>
      <c r="AW29" s="1109"/>
      <c r="AX29" s="953"/>
      <c r="AY29" s="953">
        <f>SUM(AT29:AX29)</f>
        <v>4792167</v>
      </c>
      <c r="BA29" s="839">
        <v>2592000</v>
      </c>
      <c r="BB29" s="839"/>
      <c r="BC29" s="953">
        <v>2592000</v>
      </c>
      <c r="BD29" s="953"/>
      <c r="BE29" s="953"/>
      <c r="BF29" s="953">
        <f>SUM(BA29:BE29)</f>
        <v>5184000</v>
      </c>
      <c r="BH29" s="839">
        <v>2352000</v>
      </c>
      <c r="BI29" s="839"/>
      <c r="BJ29" s="1109">
        <v>1998000</v>
      </c>
      <c r="BK29" s="1109"/>
      <c r="BL29" s="953"/>
      <c r="BM29" s="953">
        <f>SUM(BH29:BL29)</f>
        <v>4350000</v>
      </c>
      <c r="BO29" s="953">
        <v>1902000</v>
      </c>
      <c r="BP29" s="953"/>
      <c r="BQ29" s="953">
        <v>2058000</v>
      </c>
      <c r="BR29" s="953"/>
      <c r="BS29" s="953"/>
      <c r="BT29" s="953">
        <f>SUM(BO29:BS29)</f>
        <v>3960000</v>
      </c>
      <c r="BV29" s="953">
        <v>2124000</v>
      </c>
      <c r="BW29" s="953"/>
      <c r="BX29" s="953">
        <v>2124000</v>
      </c>
      <c r="BY29" s="953"/>
      <c r="BZ29" s="953"/>
      <c r="CA29" s="953">
        <f>SUM(BV29:BZ29)</f>
        <v>4248000</v>
      </c>
      <c r="CB29" s="719"/>
      <c r="CC29" s="953">
        <v>2184000</v>
      </c>
      <c r="CD29" s="953"/>
      <c r="CE29" s="953">
        <v>2502000</v>
      </c>
      <c r="CF29" s="838"/>
      <c r="CG29" s="838"/>
      <c r="CH29" s="953">
        <f>SUM(CC29:CG29)</f>
        <v>4686000</v>
      </c>
    </row>
    <row r="30" spans="1:86" x14ac:dyDescent="0.2">
      <c r="A30" s="838">
        <v>13</v>
      </c>
      <c r="B30" s="838" t="s">
        <v>79</v>
      </c>
      <c r="C30" s="838" t="s">
        <v>114</v>
      </c>
      <c r="D30" s="1103">
        <v>43858</v>
      </c>
      <c r="E30" s="1103"/>
      <c r="F30" s="1103">
        <v>43879</v>
      </c>
      <c r="G30" s="1103"/>
      <c r="H30" s="1103"/>
      <c r="I30" s="953"/>
      <c r="K30" s="1104">
        <v>43893</v>
      </c>
      <c r="L30" s="1104"/>
      <c r="M30" s="1104">
        <v>43907</v>
      </c>
      <c r="N30" s="1104"/>
      <c r="O30" s="1104"/>
      <c r="P30" s="1105"/>
      <c r="R30" s="1104">
        <v>43921</v>
      </c>
      <c r="S30" s="1104"/>
      <c r="T30" s="1123"/>
      <c r="U30" s="1123"/>
      <c r="V30" s="1104"/>
      <c r="W30" s="1106"/>
      <c r="Y30" s="1104">
        <v>43949</v>
      </c>
      <c r="Z30" s="1104"/>
      <c r="AA30" s="1104"/>
      <c r="AB30" s="1104"/>
      <c r="AC30" s="1104"/>
      <c r="AD30" s="953"/>
      <c r="AF30" s="1104">
        <v>43991</v>
      </c>
      <c r="AG30" s="1104"/>
      <c r="AH30" s="1104">
        <v>43991</v>
      </c>
      <c r="AI30" s="1104"/>
      <c r="AJ30" s="1104"/>
      <c r="AK30" s="953"/>
      <c r="AM30" s="1104">
        <v>44005</v>
      </c>
      <c r="AN30" s="838"/>
      <c r="AO30" s="838"/>
      <c r="AP30" s="838"/>
      <c r="AQ30" s="838"/>
      <c r="AR30" s="953"/>
      <c r="AT30" s="837">
        <v>44047</v>
      </c>
      <c r="AU30" s="838"/>
      <c r="AV30" s="837">
        <v>44068</v>
      </c>
      <c r="AW30" s="838"/>
      <c r="AX30" s="838"/>
      <c r="AY30" s="838"/>
      <c r="BA30" s="837">
        <v>44082</v>
      </c>
      <c r="BB30" s="838"/>
      <c r="BC30" s="837">
        <v>44096</v>
      </c>
      <c r="BD30" s="838"/>
      <c r="BE30" s="838"/>
      <c r="BF30" s="838"/>
      <c r="BH30" s="837">
        <v>44110</v>
      </c>
      <c r="BI30" s="838"/>
      <c r="BJ30" s="837">
        <v>44124</v>
      </c>
      <c r="BK30" s="838"/>
      <c r="BL30" s="838"/>
      <c r="BM30" s="838"/>
      <c r="BO30" s="837">
        <v>44138</v>
      </c>
      <c r="BP30" s="838"/>
      <c r="BQ30" s="837">
        <v>44159</v>
      </c>
      <c r="BR30" s="838"/>
      <c r="BS30" s="838"/>
      <c r="BT30" s="838"/>
      <c r="BV30" s="837">
        <v>44173</v>
      </c>
      <c r="BW30" s="838"/>
      <c r="BX30" s="837">
        <v>44187</v>
      </c>
      <c r="BY30" s="838"/>
      <c r="BZ30" s="838"/>
      <c r="CA30" s="838"/>
      <c r="CC30" s="837">
        <v>44208</v>
      </c>
      <c r="CD30" s="838"/>
      <c r="CE30" s="837">
        <v>44222</v>
      </c>
      <c r="CF30" s="838"/>
      <c r="CG30" s="838"/>
      <c r="CH30" s="953"/>
    </row>
    <row r="31" spans="1:86" x14ac:dyDescent="0.2">
      <c r="A31" s="838"/>
      <c r="B31" s="838"/>
      <c r="C31" s="838" t="s">
        <v>3480</v>
      </c>
      <c r="D31" s="1107">
        <v>919716</v>
      </c>
      <c r="E31" s="1107"/>
      <c r="F31" s="1108">
        <v>836025</v>
      </c>
      <c r="G31" s="1108"/>
      <c r="H31" s="1108"/>
      <c r="I31" s="953">
        <f>SUM(D31:H31)</f>
        <v>1755741</v>
      </c>
      <c r="K31" s="1107">
        <v>1047909</v>
      </c>
      <c r="L31" s="1107"/>
      <c r="M31" s="1108">
        <v>816000</v>
      </c>
      <c r="N31" s="1108"/>
      <c r="O31" s="1113"/>
      <c r="P31" s="1105">
        <f>SUM(K31:O31)</f>
        <v>1863909</v>
      </c>
      <c r="R31" s="1107">
        <v>599006</v>
      </c>
      <c r="S31" s="1107"/>
      <c r="T31" s="1129"/>
      <c r="U31" s="1129"/>
      <c r="V31" s="1105"/>
      <c r="W31" s="1106">
        <f>SUM(R31:V31)</f>
        <v>599006</v>
      </c>
      <c r="Y31" s="839">
        <v>888413</v>
      </c>
      <c r="Z31" s="1110"/>
      <c r="AA31" s="838"/>
      <c r="AB31" s="838"/>
      <c r="AC31" s="838"/>
      <c r="AD31" s="953">
        <f>SUM(Y31:AC31)</f>
        <v>888413</v>
      </c>
      <c r="AF31" s="839">
        <v>812475</v>
      </c>
      <c r="AG31" s="839"/>
      <c r="AH31" s="1111">
        <v>774000</v>
      </c>
      <c r="AI31" s="1111"/>
      <c r="AJ31" s="838"/>
      <c r="AK31" s="953">
        <f>SUM(AF31:AJ31)</f>
        <v>1586475</v>
      </c>
      <c r="AM31" s="839">
        <v>981338</v>
      </c>
      <c r="AN31" s="839"/>
      <c r="AO31" s="953"/>
      <c r="AP31" s="953"/>
      <c r="AQ31" s="953"/>
      <c r="AR31" s="953">
        <f>SUM(AM31:AQ31)</f>
        <v>981338</v>
      </c>
      <c r="AT31" s="839">
        <v>903304</v>
      </c>
      <c r="AU31" s="839"/>
      <c r="AV31" s="1109">
        <v>1180000</v>
      </c>
      <c r="AW31" s="1109"/>
      <c r="AX31" s="953"/>
      <c r="AY31" s="953">
        <f>SUM(AT31:AX31)</f>
        <v>2083304</v>
      </c>
      <c r="BA31" s="839">
        <v>762000</v>
      </c>
      <c r="BB31" s="839"/>
      <c r="BC31" s="953">
        <v>1044000</v>
      </c>
      <c r="BD31" s="953"/>
      <c r="BE31" s="953"/>
      <c r="BF31" s="953">
        <f>SUM(BA31:BE31)</f>
        <v>1806000</v>
      </c>
      <c r="BH31" s="839">
        <v>1014000</v>
      </c>
      <c r="BI31" s="839"/>
      <c r="BJ31" s="1109">
        <v>913500</v>
      </c>
      <c r="BK31" s="1109"/>
      <c r="BL31" s="953"/>
      <c r="BM31" s="953">
        <f>SUM(BH31:BL31)</f>
        <v>1927500</v>
      </c>
      <c r="BO31" s="953">
        <v>819000</v>
      </c>
      <c r="BP31" s="953"/>
      <c r="BQ31" s="953">
        <v>969000</v>
      </c>
      <c r="BR31" s="953"/>
      <c r="BS31" s="953"/>
      <c r="BT31" s="953">
        <f>SUM(BO31:BS31)</f>
        <v>1788000</v>
      </c>
      <c r="BV31" s="953">
        <v>718438</v>
      </c>
      <c r="BW31" s="953"/>
      <c r="BX31" s="953">
        <v>808500</v>
      </c>
      <c r="BY31" s="953"/>
      <c r="BZ31" s="953"/>
      <c r="CA31" s="953">
        <f>SUM(BV31:BZ31)</f>
        <v>1526938</v>
      </c>
      <c r="CB31" s="719"/>
      <c r="CC31" s="953">
        <v>790500</v>
      </c>
      <c r="CD31" s="953"/>
      <c r="CE31" s="953">
        <v>851906</v>
      </c>
      <c r="CF31" s="838"/>
      <c r="CG31" s="838"/>
      <c r="CH31" s="953">
        <f>SUM(CC31:CG31)</f>
        <v>1642406</v>
      </c>
    </row>
    <row r="32" spans="1:86" x14ac:dyDescent="0.2">
      <c r="AR32" s="719"/>
      <c r="CH32" s="719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600" t="s">
        <v>131</v>
      </c>
      <c r="B37" s="1600" t="s">
        <v>139</v>
      </c>
      <c r="C37" s="1600" t="s">
        <v>3479</v>
      </c>
      <c r="D37" s="1600" t="s">
        <v>3443</v>
      </c>
      <c r="E37" s="1600"/>
      <c r="F37" s="1600"/>
      <c r="G37" s="1600"/>
      <c r="H37" s="1600"/>
      <c r="I37" s="1600" t="s">
        <v>24</v>
      </c>
      <c r="K37" s="1600" t="s">
        <v>3443</v>
      </c>
      <c r="L37" s="1600"/>
      <c r="M37" s="1600"/>
      <c r="N37" s="1600"/>
      <c r="O37" s="1600"/>
      <c r="P37" s="1600" t="s">
        <v>24</v>
      </c>
      <c r="R37" s="1600" t="s">
        <v>3443</v>
      </c>
      <c r="S37" s="1600"/>
      <c r="T37" s="1600"/>
      <c r="U37" s="1600"/>
      <c r="V37" s="1600"/>
      <c r="W37" s="1601" t="s">
        <v>24</v>
      </c>
      <c r="Y37" s="1600" t="s">
        <v>3443</v>
      </c>
      <c r="Z37" s="1600"/>
      <c r="AA37" s="1600"/>
      <c r="AB37" s="1600"/>
      <c r="AC37" s="1600"/>
      <c r="AD37" s="1600" t="s">
        <v>24</v>
      </c>
      <c r="AF37" s="1600" t="s">
        <v>3443</v>
      </c>
      <c r="AG37" s="1600"/>
      <c r="AH37" s="1600"/>
      <c r="AI37" s="1600"/>
      <c r="AJ37" s="1600"/>
      <c r="AK37" s="1600" t="s">
        <v>24</v>
      </c>
      <c r="AM37" s="1600" t="s">
        <v>3443</v>
      </c>
      <c r="AN37" s="1600"/>
      <c r="AO37" s="1600"/>
      <c r="AP37" s="1600"/>
      <c r="AQ37" s="1600"/>
      <c r="AR37" s="1600" t="s">
        <v>24</v>
      </c>
      <c r="AT37" s="1600" t="s">
        <v>3443</v>
      </c>
      <c r="AU37" s="1600"/>
      <c r="AV37" s="1600"/>
      <c r="AW37" s="1600"/>
      <c r="AX37" s="1600"/>
      <c r="AY37" s="1600" t="s">
        <v>24</v>
      </c>
      <c r="BA37" s="1600" t="s">
        <v>3443</v>
      </c>
      <c r="BB37" s="1600"/>
      <c r="BC37" s="1600"/>
      <c r="BD37" s="1600"/>
      <c r="BE37" s="1600"/>
      <c r="BF37" s="1600" t="s">
        <v>24</v>
      </c>
      <c r="BH37" s="1600" t="s">
        <v>3443</v>
      </c>
      <c r="BI37" s="1600"/>
      <c r="BJ37" s="1600"/>
      <c r="BK37" s="1600"/>
      <c r="BL37" s="1600"/>
      <c r="BM37" s="1600" t="s">
        <v>24</v>
      </c>
      <c r="BO37" s="1600" t="s">
        <v>3443</v>
      </c>
      <c r="BP37" s="1600"/>
      <c r="BQ37" s="1600"/>
      <c r="BR37" s="1600"/>
      <c r="BS37" s="1600"/>
      <c r="BT37" s="1600" t="s">
        <v>24</v>
      </c>
      <c r="BV37" s="1600" t="s">
        <v>3443</v>
      </c>
      <c r="BW37" s="1600"/>
      <c r="BX37" s="1600"/>
      <c r="BY37" s="1600"/>
      <c r="BZ37" s="1600"/>
      <c r="CA37" s="1600" t="s">
        <v>24</v>
      </c>
      <c r="CC37" s="1600" t="s">
        <v>3443</v>
      </c>
      <c r="CD37" s="1600"/>
      <c r="CE37" s="1600"/>
      <c r="CF37" s="1600"/>
      <c r="CG37" s="1600"/>
      <c r="CH37" s="1600" t="s">
        <v>24</v>
      </c>
    </row>
    <row r="38" spans="1:86" x14ac:dyDescent="0.2">
      <c r="A38" s="1600"/>
      <c r="B38" s="1600"/>
      <c r="C38" s="1600"/>
      <c r="D38" s="1600" t="s">
        <v>3473</v>
      </c>
      <c r="E38" s="1600"/>
      <c r="F38" s="1600"/>
      <c r="G38" s="1600"/>
      <c r="H38" s="1600"/>
      <c r="I38" s="1600"/>
      <c r="K38" s="1600" t="s">
        <v>3482</v>
      </c>
      <c r="L38" s="1600"/>
      <c r="M38" s="1600"/>
      <c r="N38" s="1600"/>
      <c r="O38" s="1600"/>
      <c r="P38" s="1600"/>
      <c r="R38" s="1600" t="s">
        <v>3483</v>
      </c>
      <c r="S38" s="1600"/>
      <c r="T38" s="1600"/>
      <c r="U38" s="1600"/>
      <c r="V38" s="1600"/>
      <c r="W38" s="1601"/>
      <c r="Y38" s="1600" t="s">
        <v>3485</v>
      </c>
      <c r="Z38" s="1600"/>
      <c r="AA38" s="1600"/>
      <c r="AB38" s="1600"/>
      <c r="AC38" s="1600"/>
      <c r="AD38" s="1600"/>
      <c r="AF38" s="1600" t="s">
        <v>3448</v>
      </c>
      <c r="AG38" s="1600"/>
      <c r="AH38" s="1600"/>
      <c r="AI38" s="1600"/>
      <c r="AJ38" s="1600"/>
      <c r="AK38" s="1600"/>
      <c r="AM38" s="1600" t="s">
        <v>3449</v>
      </c>
      <c r="AN38" s="1600"/>
      <c r="AO38" s="1600"/>
      <c r="AP38" s="1600"/>
      <c r="AQ38" s="1600"/>
      <c r="AR38" s="1600"/>
      <c r="AT38" s="1600" t="s">
        <v>3450</v>
      </c>
      <c r="AU38" s="1600"/>
      <c r="AV38" s="1600"/>
      <c r="AW38" s="1600"/>
      <c r="AX38" s="1600"/>
      <c r="AY38" s="1600"/>
      <c r="BA38" s="1600" t="s">
        <v>3488</v>
      </c>
      <c r="BB38" s="1600"/>
      <c r="BC38" s="1600"/>
      <c r="BD38" s="1600"/>
      <c r="BE38" s="1600"/>
      <c r="BF38" s="1600"/>
      <c r="BH38" s="1600" t="s">
        <v>3487</v>
      </c>
      <c r="BI38" s="1600"/>
      <c r="BJ38" s="1600"/>
      <c r="BK38" s="1600"/>
      <c r="BL38" s="1600"/>
      <c r="BM38" s="1600"/>
      <c r="BO38" s="1600" t="s">
        <v>3486</v>
      </c>
      <c r="BP38" s="1600"/>
      <c r="BQ38" s="1600"/>
      <c r="BR38" s="1600"/>
      <c r="BS38" s="1600"/>
      <c r="BT38" s="1600"/>
      <c r="BV38" s="1600" t="s">
        <v>135</v>
      </c>
      <c r="BW38" s="1600"/>
      <c r="BX38" s="1600"/>
      <c r="BY38" s="1600"/>
      <c r="BZ38" s="1600"/>
      <c r="CA38" s="1600"/>
      <c r="CC38" s="1600" t="s">
        <v>134</v>
      </c>
      <c r="CD38" s="1600"/>
      <c r="CE38" s="1600"/>
      <c r="CF38" s="1600"/>
      <c r="CG38" s="1600"/>
      <c r="CH38" s="1600"/>
    </row>
    <row r="39" spans="1:86" x14ac:dyDescent="0.2">
      <c r="A39" s="1600"/>
      <c r="B39" s="1600"/>
      <c r="C39" s="1600"/>
      <c r="D39" s="1415" t="s">
        <v>3474</v>
      </c>
      <c r="E39" s="1415" t="s">
        <v>3475</v>
      </c>
      <c r="F39" s="1415" t="s">
        <v>3476</v>
      </c>
      <c r="G39" s="1415" t="s">
        <v>3477</v>
      </c>
      <c r="H39" s="1415" t="s">
        <v>3478</v>
      </c>
      <c r="I39" s="1600"/>
      <c r="K39" s="1415" t="s">
        <v>3474</v>
      </c>
      <c r="L39" s="1415" t="s">
        <v>3475</v>
      </c>
      <c r="M39" s="1415" t="s">
        <v>3476</v>
      </c>
      <c r="N39" s="1415" t="s">
        <v>3477</v>
      </c>
      <c r="O39" s="1415" t="s">
        <v>3478</v>
      </c>
      <c r="P39" s="1600"/>
      <c r="R39" s="1415" t="s">
        <v>3474</v>
      </c>
      <c r="S39" s="1415" t="s">
        <v>3475</v>
      </c>
      <c r="T39" s="1415" t="s">
        <v>3476</v>
      </c>
      <c r="U39" s="1415" t="s">
        <v>3477</v>
      </c>
      <c r="V39" s="1415" t="s">
        <v>3478</v>
      </c>
      <c r="W39" s="1601"/>
      <c r="Y39" s="1415" t="s">
        <v>3474</v>
      </c>
      <c r="Z39" s="1415" t="s">
        <v>3475</v>
      </c>
      <c r="AA39" s="1415" t="s">
        <v>3476</v>
      </c>
      <c r="AB39" s="1415" t="s">
        <v>3477</v>
      </c>
      <c r="AC39" s="1415" t="s">
        <v>3478</v>
      </c>
      <c r="AD39" s="1600"/>
      <c r="AF39" s="1415" t="s">
        <v>3474</v>
      </c>
      <c r="AG39" s="1415" t="s">
        <v>3475</v>
      </c>
      <c r="AH39" s="1415" t="s">
        <v>3476</v>
      </c>
      <c r="AI39" s="1415" t="s">
        <v>3477</v>
      </c>
      <c r="AJ39" s="1415" t="s">
        <v>3478</v>
      </c>
      <c r="AK39" s="1600"/>
      <c r="AM39" s="1415" t="s">
        <v>3474</v>
      </c>
      <c r="AN39" s="1415" t="s">
        <v>3475</v>
      </c>
      <c r="AO39" s="1415" t="s">
        <v>3476</v>
      </c>
      <c r="AP39" s="1415" t="s">
        <v>3477</v>
      </c>
      <c r="AQ39" s="1415" t="s">
        <v>3478</v>
      </c>
      <c r="AR39" s="1600"/>
      <c r="AT39" s="1415" t="s">
        <v>3474</v>
      </c>
      <c r="AU39" s="1415" t="s">
        <v>3475</v>
      </c>
      <c r="AV39" s="1415" t="s">
        <v>3476</v>
      </c>
      <c r="AW39" s="1415" t="s">
        <v>3477</v>
      </c>
      <c r="AX39" s="1415" t="s">
        <v>3478</v>
      </c>
      <c r="AY39" s="1600"/>
      <c r="BA39" s="1415" t="s">
        <v>3474</v>
      </c>
      <c r="BB39" s="1415" t="s">
        <v>3475</v>
      </c>
      <c r="BC39" s="1415" t="s">
        <v>3476</v>
      </c>
      <c r="BD39" s="1415" t="s">
        <v>3477</v>
      </c>
      <c r="BE39" s="1415" t="s">
        <v>3478</v>
      </c>
      <c r="BF39" s="1600"/>
      <c r="BH39" s="1415" t="s">
        <v>3474</v>
      </c>
      <c r="BI39" s="1415" t="s">
        <v>3475</v>
      </c>
      <c r="BJ39" s="1415" t="s">
        <v>3476</v>
      </c>
      <c r="BK39" s="1415" t="s">
        <v>3477</v>
      </c>
      <c r="BL39" s="1415" t="s">
        <v>3478</v>
      </c>
      <c r="BM39" s="1600"/>
      <c r="BO39" s="1415" t="s">
        <v>3474</v>
      </c>
      <c r="BP39" s="1415" t="s">
        <v>3475</v>
      </c>
      <c r="BQ39" s="1415" t="s">
        <v>3476</v>
      </c>
      <c r="BR39" s="1415" t="s">
        <v>3477</v>
      </c>
      <c r="BS39" s="1415" t="s">
        <v>3478</v>
      </c>
      <c r="BT39" s="1600"/>
      <c r="BV39" s="1415" t="s">
        <v>3474</v>
      </c>
      <c r="BW39" s="1415" t="s">
        <v>3475</v>
      </c>
      <c r="BX39" s="1415" t="s">
        <v>3476</v>
      </c>
      <c r="BY39" s="1415" t="s">
        <v>3477</v>
      </c>
      <c r="BZ39" s="1415" t="s">
        <v>3478</v>
      </c>
      <c r="CA39" s="1600"/>
      <c r="CC39" s="1415" t="s">
        <v>3474</v>
      </c>
      <c r="CD39" s="1415" t="s">
        <v>3475</v>
      </c>
      <c r="CE39" s="1415" t="s">
        <v>3476</v>
      </c>
      <c r="CF39" s="1415" t="s">
        <v>3477</v>
      </c>
      <c r="CG39" s="1415" t="s">
        <v>3478</v>
      </c>
      <c r="CH39" s="1600"/>
    </row>
    <row r="40" spans="1:86" x14ac:dyDescent="0.2">
      <c r="A40" s="838">
        <v>1</v>
      </c>
      <c r="B40" s="838" t="s">
        <v>80</v>
      </c>
      <c r="C40" s="838" t="s">
        <v>114</v>
      </c>
      <c r="D40" s="1130">
        <v>44235</v>
      </c>
      <c r="E40" s="1130"/>
      <c r="F40" s="1130">
        <v>44249</v>
      </c>
      <c r="G40" s="1130"/>
      <c r="H40" s="1130"/>
      <c r="I40" s="838"/>
      <c r="K40" s="922">
        <v>44263</v>
      </c>
      <c r="L40" s="922"/>
      <c r="M40" s="1131">
        <v>44277</v>
      </c>
      <c r="N40" s="922"/>
      <c r="O40" s="953"/>
      <c r="P40" s="953"/>
      <c r="R40" s="952">
        <v>44305</v>
      </c>
      <c r="S40" s="952"/>
      <c r="T40" s="952">
        <v>44312</v>
      </c>
      <c r="U40" s="952"/>
      <c r="V40" s="952"/>
      <c r="W40" s="1106"/>
      <c r="Y40" s="952"/>
      <c r="Z40" s="952"/>
      <c r="AA40" s="920">
        <v>44347</v>
      </c>
      <c r="AB40" s="952"/>
      <c r="AC40" s="952"/>
      <c r="AD40" s="953"/>
      <c r="AF40" s="920">
        <v>44361</v>
      </c>
      <c r="AG40" s="921"/>
      <c r="AH40" s="837">
        <v>44375</v>
      </c>
      <c r="AI40" s="921"/>
      <c r="AJ40" s="921"/>
      <c r="AK40" s="838"/>
      <c r="AM40" s="920">
        <v>44396</v>
      </c>
      <c r="AN40" s="922">
        <v>3066000</v>
      </c>
      <c r="AO40" s="920">
        <v>44407</v>
      </c>
      <c r="AP40" s="921"/>
      <c r="AQ40" s="921"/>
      <c r="AR40" s="838"/>
      <c r="AT40" s="920">
        <v>44431</v>
      </c>
      <c r="AU40" s="921"/>
      <c r="AV40" s="920">
        <v>44438</v>
      </c>
      <c r="AW40" s="921"/>
      <c r="AX40" s="921"/>
      <c r="AY40" s="838"/>
      <c r="BA40" s="920"/>
      <c r="BB40" s="921"/>
      <c r="BC40" s="920">
        <v>44473</v>
      </c>
      <c r="BD40" s="921"/>
      <c r="BE40" s="921"/>
      <c r="BF40" s="838"/>
      <c r="BH40" s="920">
        <v>44497</v>
      </c>
      <c r="BI40" s="921"/>
      <c r="BJ40" s="921"/>
      <c r="BK40" s="921"/>
      <c r="BL40" s="921"/>
      <c r="BM40" s="838"/>
      <c r="BO40" s="837">
        <v>44515</v>
      </c>
      <c r="BP40" s="838"/>
      <c r="BQ40" s="837">
        <v>44522</v>
      </c>
      <c r="BR40" s="838"/>
      <c r="BS40" s="838"/>
      <c r="BT40" s="838"/>
      <c r="BV40" s="837">
        <v>44543</v>
      </c>
      <c r="BW40" s="838"/>
      <c r="BX40" s="837"/>
      <c r="BY40" s="838"/>
      <c r="BZ40" s="838"/>
      <c r="CA40" s="838"/>
      <c r="CC40" s="837"/>
      <c r="CD40" s="838"/>
      <c r="CE40" s="837"/>
      <c r="CF40" s="838"/>
      <c r="CG40" s="838"/>
      <c r="CH40" s="953"/>
    </row>
    <row r="41" spans="1:86" x14ac:dyDescent="0.2">
      <c r="A41" s="838"/>
      <c r="B41" s="838"/>
      <c r="C41" s="838" t="s">
        <v>3480</v>
      </c>
      <c r="D41" s="922">
        <v>3107000</v>
      </c>
      <c r="E41" s="922"/>
      <c r="F41" s="922">
        <v>2932500</v>
      </c>
      <c r="G41" s="922"/>
      <c r="H41" s="922"/>
      <c r="I41" s="953">
        <f>SUM(D41:H41)</f>
        <v>6039500</v>
      </c>
      <c r="K41" s="922">
        <v>3002438</v>
      </c>
      <c r="L41" s="922"/>
      <c r="M41" s="922">
        <v>3007500</v>
      </c>
      <c r="N41" s="922"/>
      <c r="O41" s="953"/>
      <c r="P41" s="953">
        <f>SUM(K41:O41)</f>
        <v>6009938</v>
      </c>
      <c r="R41" s="922">
        <v>2918063</v>
      </c>
      <c r="S41" s="922"/>
      <c r="T41" s="922">
        <v>3192144</v>
      </c>
      <c r="U41" s="922"/>
      <c r="V41" s="922"/>
      <c r="W41" s="1106">
        <f>SUM(R41:V41)</f>
        <v>6110207</v>
      </c>
      <c r="Y41" s="922"/>
      <c r="Z41" s="921"/>
      <c r="AA41" s="922">
        <v>3128438</v>
      </c>
      <c r="AB41" s="921"/>
      <c r="AC41" s="921"/>
      <c r="AD41" s="953">
        <f>SUM(Y41:AC41)</f>
        <v>3128438</v>
      </c>
      <c r="AF41" s="922">
        <v>1687500</v>
      </c>
      <c r="AG41" s="922"/>
      <c r="AH41" s="953">
        <v>3269525</v>
      </c>
      <c r="AI41" s="922"/>
      <c r="AJ41" s="922"/>
      <c r="AK41" s="838">
        <f>SUM(AF41:AJ41)</f>
        <v>4957025</v>
      </c>
      <c r="AM41" s="922"/>
      <c r="AN41" s="921"/>
      <c r="AO41" s="922">
        <v>2832150</v>
      </c>
      <c r="AP41" s="921"/>
      <c r="AQ41" s="921"/>
      <c r="AR41" s="953">
        <f>SUM(AM41:AQ41)</f>
        <v>2832150</v>
      </c>
      <c r="AT41" s="922">
        <v>2844563</v>
      </c>
      <c r="AU41" s="922"/>
      <c r="AV41" s="922">
        <v>3058464</v>
      </c>
      <c r="AW41" s="922"/>
      <c r="AX41" s="922"/>
      <c r="AY41" s="953">
        <f>SUM(AT41:AX41)</f>
        <v>5903027</v>
      </c>
      <c r="BA41" s="922"/>
      <c r="BB41" s="922"/>
      <c r="BC41" s="922">
        <v>3845512</v>
      </c>
      <c r="BD41" s="922"/>
      <c r="BE41" s="922"/>
      <c r="BF41" s="953">
        <f>SUM(BA41:BE41)</f>
        <v>3845512</v>
      </c>
      <c r="BH41" s="922">
        <v>3434134</v>
      </c>
      <c r="BI41" s="922"/>
      <c r="BJ41" s="922"/>
      <c r="BK41" s="922"/>
      <c r="BL41" s="922"/>
      <c r="BM41" s="953">
        <f>SUM(BH41:BL41)</f>
        <v>3434134</v>
      </c>
      <c r="BO41" s="953">
        <v>3678675</v>
      </c>
      <c r="BP41" s="838"/>
      <c r="BQ41" s="953">
        <v>1709641</v>
      </c>
      <c r="BR41" s="953"/>
      <c r="BS41" s="953"/>
      <c r="BT41" s="953">
        <f>SUM(BO41:BS41)</f>
        <v>5388316</v>
      </c>
      <c r="BV41" s="953">
        <v>2216920</v>
      </c>
      <c r="BW41" s="953"/>
      <c r="BX41" s="953"/>
      <c r="BY41" s="953"/>
      <c r="BZ41" s="953"/>
      <c r="CA41" s="953">
        <f>SUM(BV41:BZ41)</f>
        <v>2216920</v>
      </c>
      <c r="CB41" s="719"/>
      <c r="CC41" s="953"/>
      <c r="CD41" s="953"/>
      <c r="CE41" s="953"/>
      <c r="CF41" s="838"/>
      <c r="CG41" s="838"/>
      <c r="CH41" s="953">
        <f>SUM(CC41:CG41)</f>
        <v>0</v>
      </c>
    </row>
    <row r="42" spans="1:86" x14ac:dyDescent="0.2">
      <c r="A42" s="838">
        <v>2</v>
      </c>
      <c r="B42" s="838" t="s">
        <v>83</v>
      </c>
      <c r="C42" s="838" t="s">
        <v>114</v>
      </c>
      <c r="D42" s="1130">
        <v>44235</v>
      </c>
      <c r="E42" s="1130"/>
      <c r="F42" s="1130">
        <v>44249</v>
      </c>
      <c r="G42" s="1130"/>
      <c r="H42" s="1130"/>
      <c r="I42" s="953"/>
      <c r="K42" s="1131">
        <v>44263</v>
      </c>
      <c r="L42" s="1131"/>
      <c r="M42" s="1131">
        <v>44277</v>
      </c>
      <c r="N42" s="1131"/>
      <c r="O42" s="1132"/>
      <c r="P42" s="1132"/>
      <c r="R42" s="952">
        <v>44312</v>
      </c>
      <c r="S42" s="952"/>
      <c r="T42" s="952">
        <v>44312</v>
      </c>
      <c r="U42" s="952"/>
      <c r="V42" s="952"/>
      <c r="W42" s="1106"/>
      <c r="Y42" s="952"/>
      <c r="Z42" s="952"/>
      <c r="AA42" s="952">
        <v>44347</v>
      </c>
      <c r="AB42" s="952"/>
      <c r="AC42" s="952"/>
      <c r="AD42" s="953"/>
      <c r="AF42" s="952">
        <v>44361</v>
      </c>
      <c r="AG42" s="952"/>
      <c r="AH42" s="837">
        <v>44375</v>
      </c>
      <c r="AI42" s="952"/>
      <c r="AJ42" s="952"/>
      <c r="AK42" s="838"/>
      <c r="AM42" s="920">
        <v>44396</v>
      </c>
      <c r="AN42" s="922">
        <v>3312000</v>
      </c>
      <c r="AO42" s="920">
        <v>44407</v>
      </c>
      <c r="AP42" s="921"/>
      <c r="AQ42" s="921"/>
      <c r="AR42" s="953"/>
      <c r="AT42" s="920">
        <v>44431</v>
      </c>
      <c r="AU42" s="921"/>
      <c r="AV42" s="920">
        <v>44438</v>
      </c>
      <c r="AW42" s="921"/>
      <c r="AX42" s="921"/>
      <c r="AY42" s="838"/>
      <c r="BA42" s="920"/>
      <c r="BB42" s="921"/>
      <c r="BC42" s="920">
        <v>44473</v>
      </c>
      <c r="BD42" s="921"/>
      <c r="BE42" s="921"/>
      <c r="BF42" s="838"/>
      <c r="BH42" s="920">
        <v>44497</v>
      </c>
      <c r="BI42" s="921"/>
      <c r="BJ42" s="920">
        <v>44508</v>
      </c>
      <c r="BK42" s="921"/>
      <c r="BL42" s="921"/>
      <c r="BM42" s="838"/>
      <c r="BO42" s="837">
        <v>44515</v>
      </c>
      <c r="BP42" s="838"/>
      <c r="BQ42" s="837">
        <v>44522</v>
      </c>
      <c r="BR42" s="838"/>
      <c r="BS42" s="838"/>
      <c r="BT42" s="838"/>
      <c r="BV42" s="837">
        <v>44543</v>
      </c>
      <c r="BW42" s="838"/>
      <c r="BX42" s="837">
        <v>44550</v>
      </c>
      <c r="BY42" s="838"/>
      <c r="BZ42" s="838"/>
      <c r="CA42" s="838"/>
      <c r="CC42" s="837"/>
      <c r="CD42" s="838"/>
      <c r="CE42" s="837"/>
      <c r="CF42" s="838"/>
      <c r="CG42" s="838"/>
      <c r="CH42" s="953"/>
    </row>
    <row r="43" spans="1:86" x14ac:dyDescent="0.2">
      <c r="A43" s="838"/>
      <c r="B43" s="838"/>
      <c r="C43" s="838" t="s">
        <v>3480</v>
      </c>
      <c r="D43" s="922">
        <v>3654000</v>
      </c>
      <c r="E43" s="922"/>
      <c r="F43" s="922">
        <v>3558000</v>
      </c>
      <c r="G43" s="922"/>
      <c r="H43" s="922"/>
      <c r="I43" s="953">
        <f>SUM(D43:H43)</f>
        <v>7212000</v>
      </c>
      <c r="K43" s="922">
        <v>3504000</v>
      </c>
      <c r="L43" s="922"/>
      <c r="M43" s="922">
        <v>3618000</v>
      </c>
      <c r="N43" s="922"/>
      <c r="O43" s="922"/>
      <c r="P43" s="953">
        <f>SUM(K43:O43)</f>
        <v>7122000</v>
      </c>
      <c r="R43" s="1133">
        <v>1800000</v>
      </c>
      <c r="S43" s="1113"/>
      <c r="T43" s="922">
        <v>2136000</v>
      </c>
      <c r="U43" s="921"/>
      <c r="V43" s="921"/>
      <c r="W43" s="1106">
        <f>SUM(R43:V43)</f>
        <v>3936000</v>
      </c>
      <c r="Y43" s="922"/>
      <c r="Z43" s="921"/>
      <c r="AA43" s="922">
        <v>2142000</v>
      </c>
      <c r="AB43" s="921"/>
      <c r="AC43" s="921"/>
      <c r="AD43" s="953">
        <f>SUM(Y43:AC43)</f>
        <v>2142000</v>
      </c>
      <c r="AF43" s="922">
        <v>948000</v>
      </c>
      <c r="AG43" s="921"/>
      <c r="AH43" s="953">
        <v>1906500</v>
      </c>
      <c r="AI43" s="921"/>
      <c r="AJ43" s="921"/>
      <c r="AK43" s="953">
        <f>SUM(AF43:AJ43)</f>
        <v>2854500</v>
      </c>
      <c r="AM43" s="922"/>
      <c r="AN43" s="921"/>
      <c r="AO43" s="922">
        <v>3306000</v>
      </c>
      <c r="AP43" s="921"/>
      <c r="AQ43" s="921"/>
      <c r="AR43" s="953">
        <f>SUM(AM43:AQ43)</f>
        <v>3306000</v>
      </c>
      <c r="AT43" s="922">
        <v>3244500</v>
      </c>
      <c r="AU43" s="922"/>
      <c r="AV43" s="922">
        <v>3516000</v>
      </c>
      <c r="AW43" s="922"/>
      <c r="AX43" s="922"/>
      <c r="AY43" s="953">
        <f>SUM(AT43:AX43)</f>
        <v>6760500</v>
      </c>
      <c r="BA43" s="922"/>
      <c r="BB43" s="922"/>
      <c r="BC43" s="922">
        <v>3433500</v>
      </c>
      <c r="BD43" s="922"/>
      <c r="BE43" s="922"/>
      <c r="BF43" s="953">
        <f>SUM(BA43:BE43)</f>
        <v>3433500</v>
      </c>
      <c r="BH43" s="922">
        <v>3282000</v>
      </c>
      <c r="BI43" s="922"/>
      <c r="BJ43" s="922">
        <v>3570000</v>
      </c>
      <c r="BK43" s="922"/>
      <c r="BL43" s="922"/>
      <c r="BM43" s="953">
        <f>SUM(BH43:BL43)</f>
        <v>6852000</v>
      </c>
      <c r="BO43" s="953">
        <v>3174000</v>
      </c>
      <c r="BP43" s="953"/>
      <c r="BQ43" s="953">
        <v>3612000</v>
      </c>
      <c r="BR43" s="953"/>
      <c r="BS43" s="953"/>
      <c r="BT43" s="953">
        <f>SUM(BO43:BS43)</f>
        <v>6786000</v>
      </c>
      <c r="BV43" s="953">
        <v>3312000</v>
      </c>
      <c r="BW43" s="953"/>
      <c r="BX43" s="953">
        <v>3402000</v>
      </c>
      <c r="BY43" s="953"/>
      <c r="BZ43" s="953"/>
      <c r="CA43" s="953">
        <f>SUM(BV43:BZ43)</f>
        <v>6714000</v>
      </c>
      <c r="CB43" s="719"/>
      <c r="CC43" s="953"/>
      <c r="CD43" s="838"/>
      <c r="CE43" s="953"/>
      <c r="CF43" s="838"/>
      <c r="CG43" s="838"/>
      <c r="CH43" s="953">
        <f>SUM(CC43:CG43)</f>
        <v>0</v>
      </c>
    </row>
    <row r="44" spans="1:86" x14ac:dyDescent="0.2">
      <c r="A44" s="838">
        <v>3</v>
      </c>
      <c r="B44" s="838" t="s">
        <v>88</v>
      </c>
      <c r="C44" s="838" t="s">
        <v>114</v>
      </c>
      <c r="D44" s="1130">
        <v>44235</v>
      </c>
      <c r="E44" s="1130"/>
      <c r="F44" s="1130">
        <v>44249</v>
      </c>
      <c r="G44" s="1130"/>
      <c r="H44" s="1130"/>
      <c r="I44" s="953"/>
      <c r="K44" s="922">
        <v>44263</v>
      </c>
      <c r="L44" s="922"/>
      <c r="M44" s="1131">
        <v>44277</v>
      </c>
      <c r="N44" s="922"/>
      <c r="O44" s="953"/>
      <c r="P44" s="953"/>
      <c r="R44" s="952">
        <v>44305</v>
      </c>
      <c r="S44" s="952"/>
      <c r="T44" s="952">
        <v>44312</v>
      </c>
      <c r="U44" s="952"/>
      <c r="V44" s="952"/>
      <c r="W44" s="1106"/>
      <c r="Y44" s="952">
        <v>44326</v>
      </c>
      <c r="Z44" s="952"/>
      <c r="AA44" s="920">
        <v>44347</v>
      </c>
      <c r="AB44" s="952"/>
      <c r="AC44" s="952"/>
      <c r="AD44" s="953"/>
      <c r="AF44" s="920">
        <v>44361</v>
      </c>
      <c r="AG44" s="921"/>
      <c r="AH44" s="837">
        <v>44375</v>
      </c>
      <c r="AI44" s="921"/>
      <c r="AJ44" s="921"/>
      <c r="AK44" s="953"/>
      <c r="AM44" s="920">
        <v>44396</v>
      </c>
      <c r="AN44" s="922">
        <v>1896000</v>
      </c>
      <c r="AO44" s="920">
        <v>44407</v>
      </c>
      <c r="AP44" s="921"/>
      <c r="AQ44" s="921"/>
      <c r="AR44" s="953"/>
      <c r="AT44" s="920">
        <v>44431</v>
      </c>
      <c r="AU44" s="921"/>
      <c r="AV44" s="920">
        <v>44438</v>
      </c>
      <c r="AW44" s="921"/>
      <c r="AX44" s="921"/>
      <c r="AY44" s="838"/>
      <c r="BA44" s="920">
        <v>44459</v>
      </c>
      <c r="BB44" s="921"/>
      <c r="BC44" s="920">
        <v>44473</v>
      </c>
      <c r="BD44" s="921"/>
      <c r="BE44" s="921"/>
      <c r="BF44" s="838"/>
      <c r="BH44" s="920">
        <v>44497</v>
      </c>
      <c r="BI44" s="921"/>
      <c r="BJ44" s="920">
        <v>44508</v>
      </c>
      <c r="BK44" s="921"/>
      <c r="BL44" s="921"/>
      <c r="BM44" s="838"/>
      <c r="BO44" s="837">
        <v>44515</v>
      </c>
      <c r="BP44" s="838"/>
      <c r="BQ44" s="837">
        <v>44522</v>
      </c>
      <c r="BR44" s="838"/>
      <c r="BS44" s="838"/>
      <c r="BT44" s="838"/>
      <c r="BV44" s="837">
        <v>44543</v>
      </c>
      <c r="BW44" s="838"/>
      <c r="BX44" s="837">
        <v>44550</v>
      </c>
      <c r="BY44" s="838"/>
      <c r="BZ44" s="838"/>
      <c r="CA44" s="838"/>
      <c r="CC44" s="837"/>
      <c r="CD44" s="838"/>
      <c r="CE44" s="837"/>
      <c r="CF44" s="838"/>
      <c r="CG44" s="838"/>
      <c r="CH44" s="953"/>
    </row>
    <row r="45" spans="1:86" x14ac:dyDescent="0.2">
      <c r="A45" s="838"/>
      <c r="B45" s="838"/>
      <c r="C45" s="838" t="s">
        <v>3480</v>
      </c>
      <c r="D45" s="922">
        <v>1702875</v>
      </c>
      <c r="E45" s="922"/>
      <c r="F45" s="922">
        <v>1955250</v>
      </c>
      <c r="G45" s="922"/>
      <c r="H45" s="922"/>
      <c r="I45" s="953">
        <f>SUM(D45:H45)</f>
        <v>3658125</v>
      </c>
      <c r="K45" s="922">
        <v>1899179</v>
      </c>
      <c r="L45" s="922"/>
      <c r="M45" s="922">
        <v>1822500</v>
      </c>
      <c r="N45" s="922"/>
      <c r="O45" s="953"/>
      <c r="P45" s="953">
        <f>SUM(K45:O45)</f>
        <v>3721679</v>
      </c>
      <c r="R45" s="922">
        <v>2065856</v>
      </c>
      <c r="S45" s="922"/>
      <c r="T45" s="922">
        <v>1913494</v>
      </c>
      <c r="U45" s="922"/>
      <c r="V45" s="922"/>
      <c r="W45" s="953">
        <f>SUM(R45:V45)</f>
        <v>3979350</v>
      </c>
      <c r="Y45" s="922">
        <v>1795580</v>
      </c>
      <c r="Z45" s="921"/>
      <c r="AA45" s="922">
        <v>2055725</v>
      </c>
      <c r="AB45" s="921"/>
      <c r="AC45" s="921"/>
      <c r="AD45" s="953">
        <f>SUM(Y45:AC45)</f>
        <v>3851305</v>
      </c>
      <c r="AF45" s="922">
        <v>1116000</v>
      </c>
      <c r="AG45" s="922"/>
      <c r="AH45" s="953">
        <v>1695643</v>
      </c>
      <c r="AI45" s="952"/>
      <c r="AJ45" s="922"/>
      <c r="AK45" s="953">
        <f>SUM(AF45:AJ45)</f>
        <v>2811643</v>
      </c>
      <c r="AM45" s="922"/>
      <c r="AN45" s="921"/>
      <c r="AO45" s="922">
        <v>1723788</v>
      </c>
      <c r="AP45" s="921"/>
      <c r="AQ45" s="921"/>
      <c r="AR45" s="953">
        <f>SUM(AM45:AQ45)</f>
        <v>1723788</v>
      </c>
      <c r="AT45" s="922">
        <v>1504000</v>
      </c>
      <c r="AU45" s="922"/>
      <c r="AV45" s="922">
        <v>1920500</v>
      </c>
      <c r="AW45" s="922"/>
      <c r="AX45" s="922"/>
      <c r="AY45" s="953">
        <f>SUM(AT45:AX45)</f>
        <v>3424500</v>
      </c>
      <c r="BA45" s="922">
        <v>1780500</v>
      </c>
      <c r="BB45" s="922"/>
      <c r="BC45" s="922">
        <v>930000</v>
      </c>
      <c r="BD45" s="922"/>
      <c r="BE45" s="922"/>
      <c r="BF45" s="953">
        <f>SUM(BA45:BE45)</f>
        <v>2710500</v>
      </c>
      <c r="BH45" s="922">
        <v>1560696</v>
      </c>
      <c r="BI45" s="922"/>
      <c r="BJ45" s="922">
        <v>1970600</v>
      </c>
      <c r="BK45" s="922"/>
      <c r="BL45" s="922"/>
      <c r="BM45" s="953">
        <f>SUM(BH45:BL45)</f>
        <v>3531296</v>
      </c>
      <c r="BO45" s="953">
        <v>1608638</v>
      </c>
      <c r="BP45" s="953"/>
      <c r="BQ45" s="953">
        <v>1975469</v>
      </c>
      <c r="BR45" s="953"/>
      <c r="BS45" s="953"/>
      <c r="BT45" s="953">
        <f>SUM(BO45:BS45)</f>
        <v>3584107</v>
      </c>
      <c r="BV45" s="953">
        <v>1683000</v>
      </c>
      <c r="BW45" s="953"/>
      <c r="BX45" s="953">
        <v>1542000</v>
      </c>
      <c r="BY45" s="953"/>
      <c r="BZ45" s="953"/>
      <c r="CA45" s="953">
        <f>SUM(BV45:BZ45)</f>
        <v>3225000</v>
      </c>
      <c r="CB45" s="719"/>
      <c r="CC45" s="953"/>
      <c r="CD45" s="953"/>
      <c r="CE45" s="953"/>
      <c r="CF45" s="838"/>
      <c r="CG45" s="838"/>
      <c r="CH45" s="953">
        <f>SUM(CC45:CG45)</f>
        <v>0</v>
      </c>
    </row>
    <row r="46" spans="1:86" x14ac:dyDescent="0.2">
      <c r="A46" s="838">
        <v>4</v>
      </c>
      <c r="B46" s="838" t="s">
        <v>82</v>
      </c>
      <c r="C46" s="838" t="s">
        <v>114</v>
      </c>
      <c r="D46" s="1130">
        <v>44235</v>
      </c>
      <c r="E46" s="1130"/>
      <c r="F46" s="1130">
        <v>44249</v>
      </c>
      <c r="G46" s="1130"/>
      <c r="H46" s="1130"/>
      <c r="I46" s="953"/>
      <c r="K46" s="922"/>
      <c r="L46" s="922"/>
      <c r="M46" s="1131">
        <v>44277</v>
      </c>
      <c r="N46" s="922"/>
      <c r="O46" s="953"/>
      <c r="P46" s="953"/>
      <c r="R46" s="952">
        <v>44305</v>
      </c>
      <c r="S46" s="952"/>
      <c r="T46" s="952"/>
      <c r="U46" s="952"/>
      <c r="V46" s="952"/>
      <c r="W46" s="1106"/>
      <c r="Y46" s="952"/>
      <c r="Z46" s="952"/>
      <c r="AA46" s="919">
        <v>44347</v>
      </c>
      <c r="AB46" s="952"/>
      <c r="AC46" s="952"/>
      <c r="AD46" s="953"/>
      <c r="AF46" s="952">
        <v>44361</v>
      </c>
      <c r="AG46" s="952"/>
      <c r="AH46" s="837">
        <v>44375</v>
      </c>
      <c r="AI46" s="952"/>
      <c r="AJ46" s="952"/>
      <c r="AK46" s="953"/>
      <c r="AM46" s="920">
        <v>44396</v>
      </c>
      <c r="AN46" s="922">
        <v>1735500</v>
      </c>
      <c r="AO46" s="920">
        <v>44407</v>
      </c>
      <c r="AP46" s="921"/>
      <c r="AQ46" s="921"/>
      <c r="AR46" s="953"/>
      <c r="AT46" s="920">
        <v>44431</v>
      </c>
      <c r="AU46" s="921"/>
      <c r="AV46" s="920">
        <v>44438</v>
      </c>
      <c r="AW46" s="921"/>
      <c r="AX46" s="921"/>
      <c r="AY46" s="838"/>
      <c r="BA46" s="920"/>
      <c r="BB46" s="921"/>
      <c r="BC46" s="920">
        <v>44473</v>
      </c>
      <c r="BD46" s="921"/>
      <c r="BE46" s="921"/>
      <c r="BF46" s="838"/>
      <c r="BH46" s="920">
        <v>44497</v>
      </c>
      <c r="BI46" s="921"/>
      <c r="BJ46" s="920">
        <v>44508</v>
      </c>
      <c r="BK46" s="921"/>
      <c r="BL46" s="921"/>
      <c r="BM46" s="838"/>
      <c r="BO46" s="837">
        <v>44515</v>
      </c>
      <c r="BP46" s="838"/>
      <c r="BQ46" s="837">
        <v>44522</v>
      </c>
      <c r="BR46" s="838"/>
      <c r="BS46" s="838"/>
      <c r="BT46" s="838"/>
      <c r="BV46" s="837">
        <v>44543</v>
      </c>
      <c r="BW46" s="838"/>
      <c r="BX46" s="837">
        <v>44550</v>
      </c>
      <c r="BY46" s="838"/>
      <c r="BZ46" s="838"/>
      <c r="CA46" s="838"/>
      <c r="CC46" s="837">
        <v>44571</v>
      </c>
      <c r="CD46" s="838"/>
      <c r="CE46" s="837">
        <v>44585</v>
      </c>
      <c r="CF46" s="838"/>
      <c r="CG46" s="838"/>
      <c r="CH46" s="953"/>
    </row>
    <row r="47" spans="1:86" x14ac:dyDescent="0.2">
      <c r="A47" s="838"/>
      <c r="B47" s="838"/>
      <c r="C47" s="838" t="s">
        <v>3480</v>
      </c>
      <c r="D47" s="922">
        <v>1668000</v>
      </c>
      <c r="E47" s="922"/>
      <c r="F47" s="922">
        <v>1944000</v>
      </c>
      <c r="G47" s="922"/>
      <c r="H47" s="922"/>
      <c r="I47" s="953">
        <f>SUM(D47:H47)</f>
        <v>3612000</v>
      </c>
      <c r="J47" s="719"/>
      <c r="K47" s="922"/>
      <c r="L47" s="922"/>
      <c r="M47" s="922">
        <v>1722000</v>
      </c>
      <c r="N47" s="922"/>
      <c r="O47" s="953"/>
      <c r="P47" s="953">
        <f>SUM(K47:O47)</f>
        <v>1722000</v>
      </c>
      <c r="R47" s="922">
        <v>1440427</v>
      </c>
      <c r="S47" s="922"/>
      <c r="T47" s="922"/>
      <c r="U47" s="922"/>
      <c r="V47" s="922"/>
      <c r="W47" s="953">
        <f>SUM(R47:V47)</f>
        <v>1440427</v>
      </c>
      <c r="Y47" s="922"/>
      <c r="Z47" s="921"/>
      <c r="AA47" s="922">
        <v>1972500</v>
      </c>
      <c r="AB47" s="921"/>
      <c r="AC47" s="921"/>
      <c r="AD47" s="953">
        <f>SUM(Y47:AC47)</f>
        <v>1972500</v>
      </c>
      <c r="AF47" s="922">
        <v>1044000</v>
      </c>
      <c r="AG47" s="921"/>
      <c r="AH47" s="953">
        <v>1806000</v>
      </c>
      <c r="AI47" s="922"/>
      <c r="AJ47" s="921"/>
      <c r="AK47" s="953">
        <f>SUM(AF47:AJ47)</f>
        <v>2850000</v>
      </c>
      <c r="AM47" s="922"/>
      <c r="AN47" s="921"/>
      <c r="AO47" s="922">
        <v>1908463</v>
      </c>
      <c r="AP47" s="921"/>
      <c r="AQ47" s="921"/>
      <c r="AR47" s="953">
        <f>SUM(AM47:AQ47)</f>
        <v>1908463</v>
      </c>
      <c r="AT47" s="922">
        <v>1540500</v>
      </c>
      <c r="AU47" s="922"/>
      <c r="AV47" s="922">
        <v>1823250</v>
      </c>
      <c r="AW47" s="922"/>
      <c r="AX47" s="922"/>
      <c r="AY47" s="953">
        <f>SUM(AT47:AX47)</f>
        <v>3363750</v>
      </c>
      <c r="BA47" s="922"/>
      <c r="BB47" s="922"/>
      <c r="BC47" s="922">
        <v>1567500</v>
      </c>
      <c r="BD47" s="922"/>
      <c r="BE47" s="922"/>
      <c r="BF47" s="953">
        <f>SUM(BA47:BE47)</f>
        <v>1567500</v>
      </c>
      <c r="BH47" s="922">
        <v>1627500</v>
      </c>
      <c r="BI47" s="922"/>
      <c r="BJ47" s="922">
        <v>1908000</v>
      </c>
      <c r="BK47" s="922"/>
      <c r="BL47" s="922"/>
      <c r="BM47" s="953">
        <f>SUM(BH47:BL47)</f>
        <v>3535500</v>
      </c>
      <c r="BO47" s="953">
        <v>1578000</v>
      </c>
      <c r="BP47" s="953"/>
      <c r="BQ47" s="953">
        <v>1779000</v>
      </c>
      <c r="BR47" s="953"/>
      <c r="BS47" s="953"/>
      <c r="BT47" s="953">
        <f>SUM(BO47:BS47)</f>
        <v>3357000</v>
      </c>
      <c r="BV47" s="953">
        <v>503625</v>
      </c>
      <c r="BW47" s="953"/>
      <c r="BX47" s="953">
        <v>685367</v>
      </c>
      <c r="BY47" s="953"/>
      <c r="BZ47" s="953"/>
      <c r="CA47" s="953">
        <f>SUM(BV47:BZ47)</f>
        <v>1188992</v>
      </c>
      <c r="CB47" s="719"/>
      <c r="CC47" s="953">
        <v>555094</v>
      </c>
      <c r="CD47" s="953"/>
      <c r="CE47" s="953">
        <v>721000</v>
      </c>
      <c r="CF47" s="953"/>
      <c r="CG47" s="838"/>
      <c r="CH47" s="953">
        <f>SUM(CC47:CG47)</f>
        <v>1276094</v>
      </c>
    </row>
    <row r="48" spans="1:86" x14ac:dyDescent="0.2">
      <c r="A48" s="838">
        <v>5</v>
      </c>
      <c r="B48" s="838" t="s">
        <v>86</v>
      </c>
      <c r="C48" s="838" t="s">
        <v>114</v>
      </c>
      <c r="D48" s="1130">
        <v>44235</v>
      </c>
      <c r="E48" s="1130"/>
      <c r="F48" s="1130">
        <v>44249</v>
      </c>
      <c r="G48" s="1130"/>
      <c r="H48" s="1130"/>
      <c r="I48" s="953"/>
      <c r="K48" s="922"/>
      <c r="L48" s="922"/>
      <c r="M48" s="922"/>
      <c r="N48" s="922"/>
      <c r="O48" s="953"/>
      <c r="P48" s="953"/>
      <c r="R48" s="952">
        <v>44305</v>
      </c>
      <c r="S48" s="921"/>
      <c r="T48" s="921"/>
      <c r="U48" s="921"/>
      <c r="V48" s="921"/>
      <c r="W48" s="1106"/>
      <c r="Y48" s="952">
        <v>44326</v>
      </c>
      <c r="Z48" s="952"/>
      <c r="AA48" s="920">
        <v>44347</v>
      </c>
      <c r="AB48" s="952"/>
      <c r="AC48" s="952"/>
      <c r="AD48" s="953"/>
      <c r="AF48" s="920"/>
      <c r="AG48" s="921"/>
      <c r="AH48" s="837">
        <v>44375</v>
      </c>
      <c r="AI48" s="921"/>
      <c r="AJ48" s="921"/>
      <c r="AK48" s="953"/>
      <c r="AM48" s="920">
        <v>44396</v>
      </c>
      <c r="AN48" s="922">
        <v>1637038</v>
      </c>
      <c r="AO48" s="920"/>
      <c r="AP48" s="921"/>
      <c r="AQ48" s="921"/>
      <c r="AR48" s="953"/>
      <c r="AT48" s="920">
        <v>44431</v>
      </c>
      <c r="AU48" s="921"/>
      <c r="AV48" s="920">
        <v>44438</v>
      </c>
      <c r="AW48" s="921"/>
      <c r="AX48" s="921"/>
      <c r="AY48" s="838"/>
      <c r="BA48" s="920">
        <v>44459</v>
      </c>
      <c r="BB48" s="922"/>
      <c r="BC48" s="920">
        <v>44473</v>
      </c>
      <c r="BD48" s="921"/>
      <c r="BE48" s="921"/>
      <c r="BF48" s="838"/>
      <c r="BH48" s="920">
        <v>44497</v>
      </c>
      <c r="BI48" s="921"/>
      <c r="BJ48" s="920">
        <v>44508</v>
      </c>
      <c r="BK48" s="921"/>
      <c r="BL48" s="921"/>
      <c r="BM48" s="838"/>
      <c r="BO48" s="837">
        <v>44515</v>
      </c>
      <c r="BP48" s="838"/>
      <c r="BQ48" s="837">
        <v>44522</v>
      </c>
      <c r="BR48" s="838"/>
      <c r="BS48" s="838"/>
      <c r="BT48" s="838"/>
      <c r="BV48" s="837">
        <v>44543</v>
      </c>
      <c r="BW48" s="838"/>
      <c r="BX48" s="837"/>
      <c r="BY48" s="838"/>
      <c r="BZ48" s="838"/>
      <c r="CA48" s="838"/>
      <c r="CC48" s="837">
        <v>44571</v>
      </c>
      <c r="CD48" s="838"/>
      <c r="CE48" s="837">
        <v>44585</v>
      </c>
      <c r="CF48" s="838"/>
      <c r="CG48" s="838"/>
      <c r="CH48" s="953"/>
    </row>
    <row r="49" spans="1:86" x14ac:dyDescent="0.2">
      <c r="A49" s="838"/>
      <c r="B49" s="838"/>
      <c r="C49" s="838" t="s">
        <v>3480</v>
      </c>
      <c r="D49" s="922">
        <v>1483625</v>
      </c>
      <c r="E49" s="922"/>
      <c r="F49" s="922">
        <v>1680000</v>
      </c>
      <c r="G49" s="922"/>
      <c r="H49" s="922"/>
      <c r="I49" s="953">
        <f>SUM(D49:H49)</f>
        <v>3163625</v>
      </c>
      <c r="K49" s="922"/>
      <c r="L49" s="922"/>
      <c r="M49" s="922"/>
      <c r="N49" s="922"/>
      <c r="O49" s="953"/>
      <c r="P49" s="953">
        <f>SUM(K49:O49)</f>
        <v>0</v>
      </c>
      <c r="R49" s="922">
        <v>1596235</v>
      </c>
      <c r="S49" s="922"/>
      <c r="T49" s="922"/>
      <c r="U49" s="922"/>
      <c r="V49" s="922"/>
      <c r="W49" s="953">
        <f>SUM(R49:V49)</f>
        <v>1596235</v>
      </c>
      <c r="Y49" s="922">
        <v>1698000</v>
      </c>
      <c r="Z49" s="921"/>
      <c r="AA49" s="922">
        <v>1841563</v>
      </c>
      <c r="AB49" s="921"/>
      <c r="AC49" s="921"/>
      <c r="AD49" s="953">
        <f>SUM(Y49:AC49)</f>
        <v>3539563</v>
      </c>
      <c r="AF49" s="922"/>
      <c r="AG49" s="922"/>
      <c r="AH49" s="953">
        <v>773992</v>
      </c>
      <c r="AI49" s="922"/>
      <c r="AJ49" s="922"/>
      <c r="AK49" s="953">
        <f>SUM(AF49:AJ49)</f>
        <v>773992</v>
      </c>
      <c r="AM49" s="922"/>
      <c r="AN49" s="921"/>
      <c r="AO49" s="922"/>
      <c r="AP49" s="921"/>
      <c r="AQ49" s="921"/>
      <c r="AR49" s="953">
        <f>SUM(AM49:AQ49)</f>
        <v>0</v>
      </c>
      <c r="AT49" s="922">
        <v>1320000</v>
      </c>
      <c r="AU49" s="922"/>
      <c r="AV49" s="922">
        <v>1304875</v>
      </c>
      <c r="AW49" s="922"/>
      <c r="AX49" s="922"/>
      <c r="AY49" s="953">
        <f>SUM(AT49:AX49)</f>
        <v>2624875</v>
      </c>
      <c r="BA49" s="922">
        <v>1866708</v>
      </c>
      <c r="BB49" s="922"/>
      <c r="BC49" s="922">
        <v>1573500</v>
      </c>
      <c r="BD49" s="922"/>
      <c r="BE49" s="922"/>
      <c r="BF49" s="953">
        <f>SUM(BA49:BE49)</f>
        <v>3440208</v>
      </c>
      <c r="BH49" s="922">
        <v>1490781</v>
      </c>
      <c r="BI49" s="922"/>
      <c r="BJ49" s="922">
        <v>1395740</v>
      </c>
      <c r="BK49" s="922"/>
      <c r="BL49" s="922"/>
      <c r="BM49" s="953">
        <f>SUM(BH49:BL49)</f>
        <v>2886521</v>
      </c>
      <c r="BO49" s="953">
        <v>1313888</v>
      </c>
      <c r="BP49" s="953"/>
      <c r="BQ49" s="953">
        <v>1476177</v>
      </c>
      <c r="BR49" s="953"/>
      <c r="BS49" s="953"/>
      <c r="BT49" s="953">
        <f>SUM(BO49:BS49)</f>
        <v>2790065</v>
      </c>
      <c r="BV49" s="953">
        <v>1620219</v>
      </c>
      <c r="BW49" s="953"/>
      <c r="BX49" s="953"/>
      <c r="BY49" s="953"/>
      <c r="BZ49" s="953"/>
      <c r="CA49" s="953">
        <f>SUM(BV49:BZ49)</f>
        <v>1620219</v>
      </c>
      <c r="CB49" s="719"/>
      <c r="CC49" s="953">
        <v>1573000</v>
      </c>
      <c r="CD49" s="953"/>
      <c r="CE49" s="953">
        <v>1600250</v>
      </c>
      <c r="CF49" s="838"/>
      <c r="CG49" s="838"/>
      <c r="CH49" s="953">
        <f>SUM(CC49:CG49)</f>
        <v>3173250</v>
      </c>
    </row>
    <row r="50" spans="1:86" x14ac:dyDescent="0.2">
      <c r="A50" s="838">
        <v>6</v>
      </c>
      <c r="B50" s="838" t="s">
        <v>87</v>
      </c>
      <c r="C50" s="838" t="s">
        <v>114</v>
      </c>
      <c r="D50" s="1130">
        <v>44235</v>
      </c>
      <c r="E50" s="1130"/>
      <c r="F50" s="1130">
        <v>44249</v>
      </c>
      <c r="G50" s="1130"/>
      <c r="H50" s="1130"/>
      <c r="I50" s="953"/>
      <c r="K50" s="922">
        <v>44263</v>
      </c>
      <c r="L50" s="922"/>
      <c r="M50" s="1131">
        <v>44277</v>
      </c>
      <c r="N50" s="922"/>
      <c r="O50" s="953"/>
      <c r="P50" s="953"/>
      <c r="R50" s="920">
        <v>44305</v>
      </c>
      <c r="S50" s="921"/>
      <c r="T50" s="920"/>
      <c r="U50" s="921"/>
      <c r="V50" s="921"/>
      <c r="W50" s="1106"/>
      <c r="Y50" s="952"/>
      <c r="Z50" s="952"/>
      <c r="AA50" s="920">
        <v>44347</v>
      </c>
      <c r="AB50" s="952"/>
      <c r="AC50" s="952"/>
      <c r="AD50" s="953"/>
      <c r="AF50" s="920">
        <v>44361</v>
      </c>
      <c r="AG50" s="921"/>
      <c r="AH50" s="837">
        <v>44375</v>
      </c>
      <c r="AI50" s="921"/>
      <c r="AJ50" s="921"/>
      <c r="AK50" s="953"/>
      <c r="AM50" s="920">
        <v>44396</v>
      </c>
      <c r="AN50" s="922">
        <v>2122525</v>
      </c>
      <c r="AO50" s="920">
        <v>44407</v>
      </c>
      <c r="AP50" s="921"/>
      <c r="AQ50" s="921"/>
      <c r="AR50" s="953"/>
      <c r="AT50" s="920">
        <v>44431</v>
      </c>
      <c r="AU50" s="921"/>
      <c r="AV50" s="1134">
        <v>44438</v>
      </c>
      <c r="AW50" s="1135"/>
      <c r="AX50" s="921"/>
      <c r="AY50" s="838"/>
      <c r="BA50" s="920">
        <v>44459</v>
      </c>
      <c r="BB50" s="921"/>
      <c r="BC50" s="920">
        <v>44473</v>
      </c>
      <c r="BD50" s="921"/>
      <c r="BE50" s="921"/>
      <c r="BF50" s="838"/>
      <c r="BH50" s="920">
        <v>44497</v>
      </c>
      <c r="BI50" s="921"/>
      <c r="BJ50" s="920">
        <v>44508</v>
      </c>
      <c r="BK50" s="921"/>
      <c r="BL50" s="921"/>
      <c r="BM50" s="838"/>
      <c r="BO50" s="837">
        <v>44515</v>
      </c>
      <c r="BP50" s="838"/>
      <c r="BQ50" s="837">
        <v>44522</v>
      </c>
      <c r="BR50" s="838"/>
      <c r="BS50" s="838"/>
      <c r="BT50" s="838"/>
      <c r="BV50" s="837">
        <v>44543</v>
      </c>
      <c r="BW50" s="838"/>
      <c r="BX50" s="837">
        <v>44550</v>
      </c>
      <c r="BY50" s="838"/>
      <c r="BZ50" s="838"/>
      <c r="CA50" s="838"/>
      <c r="CC50" s="837">
        <v>44571</v>
      </c>
      <c r="CD50" s="838"/>
      <c r="CE50" s="837">
        <v>44585</v>
      </c>
      <c r="CF50" s="838"/>
      <c r="CG50" s="838"/>
      <c r="CH50" s="953"/>
    </row>
    <row r="51" spans="1:86" x14ac:dyDescent="0.2">
      <c r="A51" s="838"/>
      <c r="B51" s="838"/>
      <c r="C51" s="838" t="s">
        <v>3480</v>
      </c>
      <c r="D51" s="922">
        <v>2598000</v>
      </c>
      <c r="E51" s="922"/>
      <c r="F51" s="922">
        <v>2754475</v>
      </c>
      <c r="G51" s="922"/>
      <c r="H51" s="922"/>
      <c r="I51" s="953">
        <f>SUM(D51:H51)</f>
        <v>5352475</v>
      </c>
      <c r="K51" s="922"/>
      <c r="L51" s="922"/>
      <c r="M51" s="922">
        <v>3135650</v>
      </c>
      <c r="N51" s="922"/>
      <c r="O51" s="953"/>
      <c r="P51" s="953">
        <f>SUM(K51:O51)</f>
        <v>3135650</v>
      </c>
      <c r="R51" s="922">
        <v>2617050</v>
      </c>
      <c r="S51" s="922"/>
      <c r="T51" s="922"/>
      <c r="U51" s="922"/>
      <c r="V51" s="922"/>
      <c r="W51" s="1106">
        <f>SUM(R51:V51)</f>
        <v>2617050</v>
      </c>
      <c r="Y51" s="922"/>
      <c r="Z51" s="921"/>
      <c r="AA51" s="922">
        <v>3045450</v>
      </c>
      <c r="AB51" s="921"/>
      <c r="AC51" s="921"/>
      <c r="AD51" s="953">
        <f>SUM(Y51:AC51)</f>
        <v>3045450</v>
      </c>
      <c r="AF51" s="922">
        <v>1840300</v>
      </c>
      <c r="AG51" s="922"/>
      <c r="AH51" s="953">
        <v>2462550</v>
      </c>
      <c r="AI51" s="922"/>
      <c r="AJ51" s="922"/>
      <c r="AK51" s="953">
        <f>SUM(AF51:AJ51)</f>
        <v>4302850</v>
      </c>
      <c r="AM51" s="922"/>
      <c r="AN51" s="921"/>
      <c r="AO51" s="922">
        <v>1752800</v>
      </c>
      <c r="AP51" s="922"/>
      <c r="AQ51" s="921"/>
      <c r="AR51" s="953">
        <f>SUM(AM51:AQ51)</f>
        <v>1752800</v>
      </c>
      <c r="AT51" s="922">
        <v>3142850</v>
      </c>
      <c r="AU51" s="922"/>
      <c r="AV51" s="922">
        <v>3207050</v>
      </c>
      <c r="AW51" s="922"/>
      <c r="AX51" s="921"/>
      <c r="AY51" s="838">
        <f>SUM(AT51:AX51)</f>
        <v>6349900</v>
      </c>
      <c r="BA51" s="922">
        <v>2728075</v>
      </c>
      <c r="BB51" s="922"/>
      <c r="BC51" s="922">
        <v>3038288</v>
      </c>
      <c r="BD51" s="922"/>
      <c r="BE51" s="922"/>
      <c r="BF51" s="953">
        <f>SUM(BA51:BE51)</f>
        <v>5766363</v>
      </c>
      <c r="BH51" s="922">
        <v>2829000</v>
      </c>
      <c r="BI51" s="922"/>
      <c r="BJ51" s="922">
        <v>3227300</v>
      </c>
      <c r="BK51" s="922"/>
      <c r="BL51" s="922"/>
      <c r="BM51" s="953">
        <f>SUM(BH51:BL51)</f>
        <v>6056300</v>
      </c>
      <c r="BO51" s="953">
        <v>3105900</v>
      </c>
      <c r="BP51" s="953"/>
      <c r="BQ51" s="953">
        <v>3069000</v>
      </c>
      <c r="BR51" s="953"/>
      <c r="BS51" s="953"/>
      <c r="BT51" s="953">
        <f>SUM(BO51:BS51)</f>
        <v>6174900</v>
      </c>
      <c r="BV51" s="953">
        <v>2917550</v>
      </c>
      <c r="BW51" s="953"/>
      <c r="BX51" s="953">
        <v>3128400</v>
      </c>
      <c r="BY51" s="953"/>
      <c r="BZ51" s="953"/>
      <c r="CA51" s="953">
        <f>SUM(BV51:BZ51)</f>
        <v>6045950</v>
      </c>
      <c r="CB51" s="719"/>
      <c r="CC51" s="953">
        <v>2850050</v>
      </c>
      <c r="CD51" s="953"/>
      <c r="CE51" s="953">
        <v>3516450</v>
      </c>
      <c r="CF51" s="838"/>
      <c r="CG51" s="838"/>
      <c r="CH51" s="953">
        <f>SUM(CC51:CG51)</f>
        <v>6366500</v>
      </c>
    </row>
    <row r="52" spans="1:86" x14ac:dyDescent="0.2">
      <c r="A52" s="838">
        <v>7</v>
      </c>
      <c r="B52" s="838" t="s">
        <v>77</v>
      </c>
      <c r="C52" s="838" t="s">
        <v>114</v>
      </c>
      <c r="D52" s="1130">
        <v>44236</v>
      </c>
      <c r="E52" s="1130"/>
      <c r="F52" s="1130">
        <v>44250</v>
      </c>
      <c r="G52" s="1130"/>
      <c r="H52" s="1130"/>
      <c r="I52" s="953"/>
      <c r="K52" s="1136">
        <v>44264</v>
      </c>
      <c r="L52" s="1136"/>
      <c r="M52" s="1136">
        <v>44278</v>
      </c>
      <c r="N52" s="1136"/>
      <c r="O52" s="1137"/>
      <c r="P52" s="1137"/>
      <c r="R52" s="952"/>
      <c r="S52" s="952"/>
      <c r="T52" s="952"/>
      <c r="U52" s="952"/>
      <c r="V52" s="952"/>
      <c r="W52" s="1106"/>
      <c r="Y52" s="952"/>
      <c r="Z52" s="952"/>
      <c r="AA52" s="920">
        <v>44347</v>
      </c>
      <c r="AB52" s="952"/>
      <c r="AC52" s="952"/>
      <c r="AD52" s="953"/>
      <c r="AF52" s="920">
        <v>44361</v>
      </c>
      <c r="AG52" s="921"/>
      <c r="AH52" s="837">
        <v>44375</v>
      </c>
      <c r="AI52" s="921"/>
      <c r="AJ52" s="921"/>
      <c r="AK52" s="953"/>
      <c r="AM52" s="920">
        <v>44396</v>
      </c>
      <c r="AN52" s="922">
        <v>3300000</v>
      </c>
      <c r="AO52" s="920">
        <v>44407</v>
      </c>
      <c r="AP52" s="921"/>
      <c r="AQ52" s="921"/>
      <c r="AR52" s="953"/>
      <c r="AT52" s="920">
        <v>44431</v>
      </c>
      <c r="AU52" s="921"/>
      <c r="AV52" s="920">
        <v>44438</v>
      </c>
      <c r="AW52" s="921"/>
      <c r="AX52" s="921"/>
      <c r="AY52" s="838"/>
      <c r="BA52" s="920">
        <v>44459</v>
      </c>
      <c r="BB52" s="921"/>
      <c r="BC52" s="920">
        <v>44473</v>
      </c>
      <c r="BD52" s="921"/>
      <c r="BE52" s="921"/>
      <c r="BF52" s="838"/>
      <c r="BH52" s="920">
        <v>44497</v>
      </c>
      <c r="BI52" s="921"/>
      <c r="BJ52" s="920">
        <v>44508</v>
      </c>
      <c r="BK52" s="921"/>
      <c r="BL52" s="921"/>
      <c r="BM52" s="838"/>
      <c r="BO52" s="837">
        <v>44515</v>
      </c>
      <c r="BP52" s="838"/>
      <c r="BQ52" s="837">
        <v>44522</v>
      </c>
      <c r="BR52" s="838"/>
      <c r="BS52" s="838"/>
      <c r="BT52" s="838"/>
      <c r="BV52" s="837">
        <v>44543</v>
      </c>
      <c r="BW52" s="838"/>
      <c r="BX52" s="837">
        <v>44550</v>
      </c>
      <c r="BY52" s="838"/>
      <c r="BZ52" s="838"/>
      <c r="CA52" s="838"/>
      <c r="CC52" s="837"/>
      <c r="CD52" s="838"/>
      <c r="CE52" s="837"/>
      <c r="CF52" s="838"/>
      <c r="CG52" s="838"/>
      <c r="CH52" s="953"/>
    </row>
    <row r="53" spans="1:86" x14ac:dyDescent="0.2">
      <c r="A53" s="838"/>
      <c r="B53" s="838"/>
      <c r="C53" s="838" t="s">
        <v>3480</v>
      </c>
      <c r="D53" s="922">
        <v>3217500</v>
      </c>
      <c r="E53" s="922"/>
      <c r="F53" s="922">
        <v>3286500</v>
      </c>
      <c r="G53" s="922"/>
      <c r="H53" s="922"/>
      <c r="I53" s="953">
        <f>SUM(D53:H53)</f>
        <v>6504000</v>
      </c>
      <c r="K53" s="922">
        <v>3708000</v>
      </c>
      <c r="L53" s="922"/>
      <c r="M53" s="922">
        <v>2680400</v>
      </c>
      <c r="N53" s="922"/>
      <c r="O53" s="953"/>
      <c r="P53" s="953">
        <f>SUM(K53:O53)</f>
        <v>6388400</v>
      </c>
      <c r="R53" s="921"/>
      <c r="S53" s="921"/>
      <c r="T53" s="921"/>
      <c r="U53" s="921"/>
      <c r="V53" s="921"/>
      <c r="W53" s="1106">
        <f>SUM(R53:V53)</f>
        <v>0</v>
      </c>
      <c r="Y53" s="921"/>
      <c r="Z53" s="921"/>
      <c r="AA53" s="922">
        <v>2757000</v>
      </c>
      <c r="AB53" s="921"/>
      <c r="AC53" s="921"/>
      <c r="AD53" s="953">
        <f>SUM(Y53:AC53)</f>
        <v>2757000</v>
      </c>
      <c r="AF53" s="922">
        <v>3498000</v>
      </c>
      <c r="AG53" s="922"/>
      <c r="AH53" s="953">
        <v>3430500</v>
      </c>
      <c r="AI53" s="922"/>
      <c r="AJ53" s="921"/>
      <c r="AK53" s="953">
        <f>SUM(AF53:AJ53)</f>
        <v>6928500</v>
      </c>
      <c r="AM53" s="922"/>
      <c r="AN53" s="922"/>
      <c r="AO53" s="922">
        <v>2973513</v>
      </c>
      <c r="AP53" s="922"/>
      <c r="AQ53" s="922"/>
      <c r="AR53" s="953">
        <f>SUM(AM53:AQ53)</f>
        <v>2973513</v>
      </c>
      <c r="AT53" s="922">
        <v>3487500</v>
      </c>
      <c r="AU53" s="922"/>
      <c r="AV53" s="922">
        <v>2940000</v>
      </c>
      <c r="AW53" s="922"/>
      <c r="AX53" s="921"/>
      <c r="AY53" s="838">
        <f>SUM(AT53:AX53)</f>
        <v>6427500</v>
      </c>
      <c r="BA53" s="922">
        <v>3570000</v>
      </c>
      <c r="BB53" s="922"/>
      <c r="BC53" s="922">
        <v>3367500</v>
      </c>
      <c r="BD53" s="922"/>
      <c r="BE53" s="922"/>
      <c r="BF53" s="953">
        <f>SUM(BA53:BE53)</f>
        <v>6937500</v>
      </c>
      <c r="BH53" s="922">
        <v>3324000</v>
      </c>
      <c r="BI53" s="922"/>
      <c r="BJ53" s="922">
        <v>3325500</v>
      </c>
      <c r="BK53" s="922"/>
      <c r="BL53" s="922"/>
      <c r="BM53" s="953">
        <f>SUM(BH53:BL53)</f>
        <v>6649500</v>
      </c>
      <c r="BO53" s="953">
        <v>3501000</v>
      </c>
      <c r="BP53" s="953"/>
      <c r="BQ53" s="953">
        <v>4008000</v>
      </c>
      <c r="BR53" s="953"/>
      <c r="BS53" s="953"/>
      <c r="BT53" s="953">
        <f>SUM(BO53:BS53)</f>
        <v>7509000</v>
      </c>
      <c r="BV53" s="953">
        <v>3897000</v>
      </c>
      <c r="BW53" s="953"/>
      <c r="BX53" s="953">
        <v>3949500</v>
      </c>
      <c r="BY53" s="953"/>
      <c r="BZ53" s="953"/>
      <c r="CA53" s="953">
        <f>SUM(BV53:BZ53)</f>
        <v>7846500</v>
      </c>
      <c r="CB53" s="719"/>
      <c r="CC53" s="953"/>
      <c r="CD53" s="953"/>
      <c r="CE53" s="953"/>
      <c r="CF53" s="838"/>
      <c r="CG53" s="838"/>
      <c r="CH53" s="953">
        <f>SUM(CC53:CG53)</f>
        <v>0</v>
      </c>
    </row>
    <row r="54" spans="1:86" x14ac:dyDescent="0.2">
      <c r="A54" s="838">
        <v>8</v>
      </c>
      <c r="B54" s="838" t="s">
        <v>84</v>
      </c>
      <c r="C54" s="838" t="s">
        <v>114</v>
      </c>
      <c r="D54" s="1130">
        <v>44236</v>
      </c>
      <c r="E54" s="1130"/>
      <c r="F54" s="1130">
        <v>44250</v>
      </c>
      <c r="G54" s="1130"/>
      <c r="H54" s="1130"/>
      <c r="I54" s="953"/>
      <c r="K54" s="1136">
        <v>44264</v>
      </c>
      <c r="L54" s="1136"/>
      <c r="M54" s="1136">
        <v>44278</v>
      </c>
      <c r="N54" s="1136"/>
      <c r="O54" s="1137"/>
      <c r="P54" s="1137"/>
      <c r="R54" s="952"/>
      <c r="S54" s="952"/>
      <c r="T54" s="952"/>
      <c r="U54" s="952"/>
      <c r="V54" s="952"/>
      <c r="W54" s="1106"/>
      <c r="Y54" s="952"/>
      <c r="Z54" s="952"/>
      <c r="AA54" s="920">
        <v>44347</v>
      </c>
      <c r="AB54" s="952"/>
      <c r="AC54" s="952"/>
      <c r="AD54" s="953"/>
      <c r="AF54" s="920">
        <v>44361</v>
      </c>
      <c r="AG54" s="921"/>
      <c r="AH54" s="837">
        <v>44375</v>
      </c>
      <c r="AI54" s="921"/>
      <c r="AJ54" s="921"/>
      <c r="AK54" s="953"/>
      <c r="AM54" s="920">
        <v>44396</v>
      </c>
      <c r="AN54" s="922">
        <v>4514964</v>
      </c>
      <c r="AO54" s="920">
        <v>44407</v>
      </c>
      <c r="AP54" s="921"/>
      <c r="AQ54" s="921"/>
      <c r="AR54" s="953"/>
      <c r="AT54" s="920">
        <v>44431</v>
      </c>
      <c r="AU54" s="921"/>
      <c r="AV54" s="920">
        <v>44438</v>
      </c>
      <c r="AW54" s="921"/>
      <c r="AX54" s="921"/>
      <c r="AY54" s="838"/>
      <c r="BA54" s="920"/>
      <c r="BB54" s="921"/>
      <c r="BC54" s="920">
        <v>44473</v>
      </c>
      <c r="BD54" s="921"/>
      <c r="BE54" s="921"/>
      <c r="BF54" s="838"/>
      <c r="BH54" s="920">
        <v>44497</v>
      </c>
      <c r="BI54" s="921"/>
      <c r="BJ54" s="920">
        <v>44508</v>
      </c>
      <c r="BK54" s="921"/>
      <c r="BL54" s="921"/>
      <c r="BM54" s="838"/>
      <c r="BO54" s="837">
        <v>44515</v>
      </c>
      <c r="BP54" s="838"/>
      <c r="BQ54" s="837">
        <v>44522</v>
      </c>
      <c r="BR54" s="838"/>
      <c r="BS54" s="838"/>
      <c r="BT54" s="838"/>
      <c r="BV54" s="837"/>
      <c r="BW54" s="838"/>
      <c r="BX54" s="837">
        <v>44550</v>
      </c>
      <c r="BY54" s="838"/>
      <c r="BZ54" s="838"/>
      <c r="CA54" s="838"/>
      <c r="CC54" s="837"/>
      <c r="CD54" s="838"/>
      <c r="CE54" s="837"/>
      <c r="CF54" s="838"/>
      <c r="CG54" s="838"/>
      <c r="CH54" s="953"/>
    </row>
    <row r="55" spans="1:86" x14ac:dyDescent="0.2">
      <c r="A55" s="838"/>
      <c r="B55" s="838"/>
      <c r="C55" s="838" t="s">
        <v>3480</v>
      </c>
      <c r="D55" s="922">
        <v>4309196</v>
      </c>
      <c r="E55" s="922"/>
      <c r="F55" s="922">
        <v>4599563</v>
      </c>
      <c r="G55" s="922"/>
      <c r="H55" s="922"/>
      <c r="I55" s="953">
        <f>SUM(D55:H55)</f>
        <v>8908759</v>
      </c>
      <c r="K55" s="922">
        <v>4440411</v>
      </c>
      <c r="L55" s="922"/>
      <c r="M55" s="922">
        <v>4573500</v>
      </c>
      <c r="N55" s="922"/>
      <c r="O55" s="953"/>
      <c r="P55" s="953">
        <f>SUM(K55:O55)</f>
        <v>9013911</v>
      </c>
      <c r="R55" s="922"/>
      <c r="S55" s="921"/>
      <c r="T55" s="922"/>
      <c r="U55" s="921"/>
      <c r="V55" s="921"/>
      <c r="W55" s="1106">
        <f>SUM(R55:V55)</f>
        <v>0</v>
      </c>
      <c r="Y55" s="922"/>
      <c r="Z55" s="921"/>
      <c r="AA55" s="922">
        <v>4978638</v>
      </c>
      <c r="AB55" s="922"/>
      <c r="AC55" s="922"/>
      <c r="AD55" s="953">
        <f>SUM(Y55:AC55)</f>
        <v>4978638</v>
      </c>
      <c r="AF55" s="922">
        <v>4680000</v>
      </c>
      <c r="AG55" s="922"/>
      <c r="AH55" s="953">
        <v>4410000</v>
      </c>
      <c r="AI55" s="922"/>
      <c r="AJ55" s="922"/>
      <c r="AK55" s="953">
        <f>SUM(AF55:AJ55)</f>
        <v>9090000</v>
      </c>
      <c r="AM55" s="922"/>
      <c r="AN55" s="921"/>
      <c r="AO55" s="922">
        <v>4290804</v>
      </c>
      <c r="AP55" s="922"/>
      <c r="AQ55" s="922"/>
      <c r="AR55" s="953">
        <f>SUM(AM55:AQ55)</f>
        <v>4290804</v>
      </c>
      <c r="AT55" s="922">
        <v>4272518</v>
      </c>
      <c r="AU55" s="922"/>
      <c r="AV55" s="922">
        <v>4381214</v>
      </c>
      <c r="AW55" s="922"/>
      <c r="AX55" s="922"/>
      <c r="AY55" s="953">
        <f>SUM(AT55:AX55)</f>
        <v>8653732</v>
      </c>
      <c r="BA55" s="922"/>
      <c r="BB55" s="922"/>
      <c r="BC55" s="922">
        <v>4114500</v>
      </c>
      <c r="BD55" s="922"/>
      <c r="BE55" s="922"/>
      <c r="BF55" s="953">
        <f>SUM(BA55:BE55)</f>
        <v>4114500</v>
      </c>
      <c r="BH55" s="922">
        <v>4911000</v>
      </c>
      <c r="BI55" s="922"/>
      <c r="BJ55" s="922">
        <v>4282500</v>
      </c>
      <c r="BK55" s="922"/>
      <c r="BL55" s="922"/>
      <c r="BM55" s="953">
        <f>SUM(BH55:BL55)</f>
        <v>9193500</v>
      </c>
      <c r="BO55" s="953">
        <v>4800670</v>
      </c>
      <c r="BP55" s="953"/>
      <c r="BQ55" s="953">
        <v>5047277</v>
      </c>
      <c r="BR55" s="953"/>
      <c r="BS55" s="953"/>
      <c r="BT55" s="953">
        <f>SUM(BO55:BS55)</f>
        <v>9847947</v>
      </c>
      <c r="BV55" s="953"/>
      <c r="BW55" s="953"/>
      <c r="BX55" s="953">
        <v>5408406</v>
      </c>
      <c r="BY55" s="953"/>
      <c r="BZ55" s="953"/>
      <c r="CA55" s="953">
        <f>SUM(BV55:BZ55)</f>
        <v>5408406</v>
      </c>
      <c r="CB55" s="719"/>
      <c r="CC55" s="953"/>
      <c r="CD55" s="953"/>
      <c r="CE55" s="953"/>
      <c r="CF55" s="838"/>
      <c r="CG55" s="838"/>
      <c r="CH55" s="953">
        <f>SUM(CC55:CG55)</f>
        <v>0</v>
      </c>
    </row>
    <row r="56" spans="1:86" x14ac:dyDescent="0.2">
      <c r="A56" s="838">
        <v>9</v>
      </c>
      <c r="B56" s="838" t="s">
        <v>89</v>
      </c>
      <c r="C56" s="838" t="s">
        <v>114</v>
      </c>
      <c r="D56" s="1130">
        <v>44235</v>
      </c>
      <c r="E56" s="1130"/>
      <c r="F56" s="1130">
        <v>44250</v>
      </c>
      <c r="G56" s="1130"/>
      <c r="H56" s="1130"/>
      <c r="I56" s="953"/>
      <c r="K56" s="922"/>
      <c r="L56" s="922"/>
      <c r="M56" s="922">
        <v>44278</v>
      </c>
      <c r="N56" s="922"/>
      <c r="O56" s="953"/>
      <c r="P56" s="953"/>
      <c r="R56" s="920">
        <v>44306</v>
      </c>
      <c r="S56" s="921"/>
      <c r="T56" s="952"/>
      <c r="U56" s="952"/>
      <c r="V56" s="952"/>
      <c r="W56" s="1106"/>
      <c r="Y56" s="952"/>
      <c r="Z56" s="952"/>
      <c r="AA56" s="952">
        <v>44347</v>
      </c>
      <c r="AB56" s="952"/>
      <c r="AC56" s="952"/>
      <c r="AD56" s="953"/>
      <c r="AF56" s="952">
        <v>44361</v>
      </c>
      <c r="AG56" s="952"/>
      <c r="AH56" s="837">
        <v>44375</v>
      </c>
      <c r="AI56" s="952"/>
      <c r="AJ56" s="952"/>
      <c r="AK56" s="953"/>
      <c r="AM56" s="920">
        <v>44396</v>
      </c>
      <c r="AN56" s="922">
        <v>2144778</v>
      </c>
      <c r="AO56" s="920">
        <v>44407</v>
      </c>
      <c r="AP56" s="921"/>
      <c r="AQ56" s="921"/>
      <c r="AR56" s="953"/>
      <c r="AT56" s="920">
        <v>44431</v>
      </c>
      <c r="AU56" s="921"/>
      <c r="AV56" s="920">
        <v>44438</v>
      </c>
      <c r="AW56" s="921"/>
      <c r="AX56" s="921"/>
      <c r="AY56" s="838"/>
      <c r="BA56" s="920"/>
      <c r="BB56" s="921"/>
      <c r="BC56" s="920">
        <v>44473</v>
      </c>
      <c r="BD56" s="921"/>
      <c r="BE56" s="921"/>
      <c r="BF56" s="838"/>
      <c r="BH56" s="920">
        <v>44497</v>
      </c>
      <c r="BI56" s="921"/>
      <c r="BJ56" s="920">
        <v>44508</v>
      </c>
      <c r="BK56" s="921"/>
      <c r="BL56" s="921"/>
      <c r="BM56" s="838"/>
      <c r="BO56" s="837">
        <v>44515</v>
      </c>
      <c r="BP56" s="838"/>
      <c r="BQ56" s="837"/>
      <c r="BR56" s="838"/>
      <c r="BS56" s="838"/>
      <c r="BT56" s="838"/>
      <c r="BV56" s="837">
        <v>44543</v>
      </c>
      <c r="BW56" s="838"/>
      <c r="BX56" s="837">
        <v>44550</v>
      </c>
      <c r="BY56" s="838"/>
      <c r="BZ56" s="838"/>
      <c r="CA56" s="838"/>
      <c r="CC56" s="837">
        <v>44571</v>
      </c>
      <c r="CD56" s="838"/>
      <c r="CE56" s="837"/>
      <c r="CF56" s="838"/>
      <c r="CG56" s="838"/>
      <c r="CH56" s="953"/>
    </row>
    <row r="57" spans="1:86" x14ac:dyDescent="0.2">
      <c r="A57" s="838"/>
      <c r="B57" s="838"/>
      <c r="C57" s="838" t="s">
        <v>3480</v>
      </c>
      <c r="D57" s="922">
        <v>1865234</v>
      </c>
      <c r="E57" s="922"/>
      <c r="F57" s="922">
        <v>2047281</v>
      </c>
      <c r="G57" s="922"/>
      <c r="H57" s="922"/>
      <c r="I57" s="953">
        <f>SUM(D57:H57)</f>
        <v>3912515</v>
      </c>
      <c r="J57" s="719"/>
      <c r="K57" s="922"/>
      <c r="L57" s="922"/>
      <c r="M57" s="922">
        <v>2106969</v>
      </c>
      <c r="N57" s="922"/>
      <c r="O57" s="953"/>
      <c r="P57" s="953">
        <f>SUM(K57:O57)</f>
        <v>2106969</v>
      </c>
      <c r="R57" s="921"/>
      <c r="S57" s="921"/>
      <c r="T57" s="922"/>
      <c r="U57" s="921"/>
      <c r="V57" s="921"/>
      <c r="W57" s="1106">
        <f>SUM(R57:V57)</f>
        <v>0</v>
      </c>
      <c r="Y57" s="922"/>
      <c r="Z57" s="921"/>
      <c r="AA57" s="922">
        <v>2215312</v>
      </c>
      <c r="AB57" s="921"/>
      <c r="AC57" s="921"/>
      <c r="AD57" s="953">
        <f>SUM(Y57:AC57)</f>
        <v>2215312</v>
      </c>
      <c r="AF57" s="922">
        <v>1973153</v>
      </c>
      <c r="AG57" s="922"/>
      <c r="AH57" s="953">
        <v>1658160</v>
      </c>
      <c r="AI57" s="922"/>
      <c r="AJ57" s="922"/>
      <c r="AK57" s="953">
        <f>SUM(AF57:AJ57)</f>
        <v>3631313</v>
      </c>
      <c r="AM57" s="922"/>
      <c r="AN57" s="921"/>
      <c r="AO57" s="922">
        <v>1812159</v>
      </c>
      <c r="AP57" s="921"/>
      <c r="AQ57" s="921"/>
      <c r="AR57" s="953">
        <f>SUM(AM57:AQ57)</f>
        <v>1812159</v>
      </c>
      <c r="AT57" s="922">
        <v>2104575</v>
      </c>
      <c r="AU57" s="922"/>
      <c r="AV57" s="922">
        <v>1840300</v>
      </c>
      <c r="AW57" s="922"/>
      <c r="AX57" s="922"/>
      <c r="AY57" s="953">
        <f>SUM(AT57:AX57)</f>
        <v>3944875</v>
      </c>
      <c r="BA57" s="922"/>
      <c r="BB57" s="922"/>
      <c r="BC57" s="922">
        <v>1836000</v>
      </c>
      <c r="BD57" s="922"/>
      <c r="BE57" s="922"/>
      <c r="BF57" s="953">
        <f>SUM(BA57:BE57)</f>
        <v>1836000</v>
      </c>
      <c r="BG57" s="719"/>
      <c r="BH57" s="922">
        <v>1878531</v>
      </c>
      <c r="BI57" s="922"/>
      <c r="BJ57" s="922">
        <v>2192825</v>
      </c>
      <c r="BK57" s="922"/>
      <c r="BL57" s="922"/>
      <c r="BM57" s="953">
        <f>SUM(BH57:BL57)</f>
        <v>4071356</v>
      </c>
      <c r="BO57" s="953">
        <v>1899800</v>
      </c>
      <c r="BP57" s="953"/>
      <c r="BQ57" s="953"/>
      <c r="BR57" s="953"/>
      <c r="BS57" s="953"/>
      <c r="BT57" s="953">
        <f>SUM(BO57:BS57)</f>
        <v>1899800</v>
      </c>
      <c r="BV57" s="953">
        <v>2001626</v>
      </c>
      <c r="BW57" s="953"/>
      <c r="BX57" s="953">
        <v>1837313</v>
      </c>
      <c r="BY57" s="953"/>
      <c r="BZ57" s="953"/>
      <c r="CA57" s="953">
        <f>SUM(BV57:BZ57)</f>
        <v>3838939</v>
      </c>
      <c r="CB57" s="719"/>
      <c r="CC57" s="953">
        <v>1752300</v>
      </c>
      <c r="CD57" s="953"/>
      <c r="CE57" s="953"/>
      <c r="CF57" s="838"/>
      <c r="CG57" s="838"/>
      <c r="CH57" s="953">
        <f>SUM(CC57:CG57)</f>
        <v>1752300</v>
      </c>
    </row>
    <row r="58" spans="1:86" x14ac:dyDescent="0.2">
      <c r="A58" s="838">
        <v>10</v>
      </c>
      <c r="B58" s="838" t="s">
        <v>81</v>
      </c>
      <c r="C58" s="838" t="s">
        <v>114</v>
      </c>
      <c r="D58" s="1130">
        <v>44236</v>
      </c>
      <c r="E58" s="1130"/>
      <c r="F58" s="1130">
        <v>44250</v>
      </c>
      <c r="G58" s="1130"/>
      <c r="H58" s="1130"/>
      <c r="I58" s="953"/>
      <c r="K58" s="922"/>
      <c r="L58" s="922"/>
      <c r="M58" s="922"/>
      <c r="N58" s="922"/>
      <c r="O58" s="953"/>
      <c r="P58" s="953"/>
      <c r="R58" s="952">
        <v>44306</v>
      </c>
      <c r="S58" s="952"/>
      <c r="T58" s="952"/>
      <c r="U58" s="952"/>
      <c r="V58" s="952"/>
      <c r="W58" s="1106"/>
      <c r="Y58" s="952"/>
      <c r="Z58" s="952"/>
      <c r="AA58" s="952">
        <v>44347</v>
      </c>
      <c r="AB58" s="952"/>
      <c r="AC58" s="952"/>
      <c r="AD58" s="953"/>
      <c r="AF58" s="952">
        <v>44361</v>
      </c>
      <c r="AG58" s="952"/>
      <c r="AH58" s="837">
        <v>44375</v>
      </c>
      <c r="AI58" s="952"/>
      <c r="AJ58" s="952"/>
      <c r="AK58" s="953"/>
      <c r="AM58" s="920">
        <v>44396</v>
      </c>
      <c r="AN58" s="922">
        <v>2139000</v>
      </c>
      <c r="AO58" s="920">
        <v>44407</v>
      </c>
      <c r="AP58" s="921"/>
      <c r="AQ58" s="921"/>
      <c r="AR58" s="953"/>
      <c r="AT58" s="920">
        <v>44431</v>
      </c>
      <c r="AU58" s="921"/>
      <c r="AV58" s="920">
        <v>44438</v>
      </c>
      <c r="AW58" s="921"/>
      <c r="AX58" s="921"/>
      <c r="AY58" s="838"/>
      <c r="BA58" s="920">
        <v>44459</v>
      </c>
      <c r="BB58" s="921"/>
      <c r="BC58" s="920">
        <v>44473</v>
      </c>
      <c r="BD58" s="921"/>
      <c r="BE58" s="921"/>
      <c r="BF58" s="838"/>
      <c r="BH58" s="920">
        <v>44497</v>
      </c>
      <c r="BI58" s="921"/>
      <c r="BJ58" s="920">
        <v>44508</v>
      </c>
      <c r="BK58" s="921"/>
      <c r="BL58" s="921"/>
      <c r="BM58" s="838"/>
      <c r="BO58" s="837">
        <v>44515</v>
      </c>
      <c r="BP58" s="838"/>
      <c r="BQ58" s="837">
        <v>44522</v>
      </c>
      <c r="BR58" s="838"/>
      <c r="BS58" s="838"/>
      <c r="BT58" s="838"/>
      <c r="BV58" s="837">
        <v>44543</v>
      </c>
      <c r="BW58" s="838"/>
      <c r="BX58" s="837">
        <v>44550</v>
      </c>
      <c r="BY58" s="838"/>
      <c r="BZ58" s="838"/>
      <c r="CA58" s="838"/>
      <c r="CC58" s="837">
        <v>44571</v>
      </c>
      <c r="CD58" s="838"/>
      <c r="CE58" s="837">
        <v>44585</v>
      </c>
      <c r="CF58" s="838"/>
      <c r="CG58" s="838"/>
      <c r="CH58" s="953"/>
    </row>
    <row r="59" spans="1:86" x14ac:dyDescent="0.2">
      <c r="A59" s="838"/>
      <c r="B59" s="838"/>
      <c r="C59" s="838" t="s">
        <v>3480</v>
      </c>
      <c r="D59" s="922">
        <v>1870500</v>
      </c>
      <c r="E59" s="922"/>
      <c r="F59" s="922">
        <v>1947500</v>
      </c>
      <c r="G59" s="922"/>
      <c r="H59" s="922"/>
      <c r="I59" s="922">
        <f>SUM(D59:H59)</f>
        <v>3818000</v>
      </c>
      <c r="K59" s="922"/>
      <c r="L59" s="922"/>
      <c r="M59" s="922"/>
      <c r="N59" s="922"/>
      <c r="O59" s="922"/>
      <c r="P59" s="953">
        <f>SUM(K59:O59)</f>
        <v>0</v>
      </c>
      <c r="R59" s="922">
        <v>2078617</v>
      </c>
      <c r="S59" s="922"/>
      <c r="T59" s="922"/>
      <c r="U59" s="922"/>
      <c r="V59" s="922"/>
      <c r="W59" s="953">
        <f>SUM(R59:V59)</f>
        <v>2078617</v>
      </c>
      <c r="Y59" s="922"/>
      <c r="Z59" s="921"/>
      <c r="AA59" s="922">
        <v>6095000</v>
      </c>
      <c r="AB59" s="921"/>
      <c r="AC59" s="921"/>
      <c r="AD59" s="953">
        <f>SUM(Y59:AC59)</f>
        <v>6095000</v>
      </c>
      <c r="AF59" s="922">
        <v>2018063</v>
      </c>
      <c r="AG59" s="921"/>
      <c r="AH59" s="953">
        <v>2074500</v>
      </c>
      <c r="AI59" s="922"/>
      <c r="AJ59" s="921"/>
      <c r="AK59" s="953">
        <f>SUM(AF59:AJ59)</f>
        <v>4092563</v>
      </c>
      <c r="AM59" s="922"/>
      <c r="AN59" s="922"/>
      <c r="AO59" s="922">
        <v>1606314</v>
      </c>
      <c r="AP59" s="922"/>
      <c r="AQ59" s="922"/>
      <c r="AR59" s="953">
        <f>SUM(AM59:AQ59)</f>
        <v>1606314</v>
      </c>
      <c r="AT59" s="922">
        <v>1668500</v>
      </c>
      <c r="AU59" s="922"/>
      <c r="AV59" s="922">
        <v>1548398</v>
      </c>
      <c r="AW59" s="922"/>
      <c r="AX59" s="922"/>
      <c r="AY59" s="953">
        <f>SUM(AT59:AX59)</f>
        <v>3216898</v>
      </c>
      <c r="BA59" s="922">
        <v>1833844</v>
      </c>
      <c r="BB59" s="922"/>
      <c r="BC59" s="922">
        <v>1906242</v>
      </c>
      <c r="BD59" s="922"/>
      <c r="BE59" s="922"/>
      <c r="BF59" s="953">
        <f>SUM(BA59:BE59)</f>
        <v>3740086</v>
      </c>
      <c r="BH59" s="922">
        <v>1992830</v>
      </c>
      <c r="BI59" s="922"/>
      <c r="BJ59" s="922">
        <v>1623500</v>
      </c>
      <c r="BK59" s="922"/>
      <c r="BL59" s="922"/>
      <c r="BM59" s="953">
        <f>SUM(BH59:BL59)</f>
        <v>3616330</v>
      </c>
      <c r="BO59" s="953">
        <v>1977028</v>
      </c>
      <c r="BP59" s="953"/>
      <c r="BQ59" s="953">
        <v>1910391</v>
      </c>
      <c r="BR59" s="953"/>
      <c r="BS59" s="953"/>
      <c r="BT59" s="953">
        <f>SUM(BO59:BS59)</f>
        <v>3887419</v>
      </c>
      <c r="BV59" s="953">
        <v>1895547</v>
      </c>
      <c r="BW59" s="953"/>
      <c r="BX59" s="953">
        <v>2027653</v>
      </c>
      <c r="BY59" s="953"/>
      <c r="BZ59" s="953"/>
      <c r="CA59" s="953">
        <f>SUM(BV59:BZ59)</f>
        <v>3923200</v>
      </c>
      <c r="CB59" s="719"/>
      <c r="CC59" s="953">
        <v>1978714</v>
      </c>
      <c r="CD59" s="953"/>
      <c r="CE59" s="953">
        <v>1890708</v>
      </c>
      <c r="CF59" s="838"/>
      <c r="CG59" s="838"/>
      <c r="CH59" s="953">
        <f>SUM(CC59:CG59)</f>
        <v>3869422</v>
      </c>
    </row>
    <row r="60" spans="1:86" x14ac:dyDescent="0.2">
      <c r="A60" s="838">
        <v>11</v>
      </c>
      <c r="B60" s="838" t="s">
        <v>78</v>
      </c>
      <c r="C60" s="838" t="s">
        <v>114</v>
      </c>
      <c r="D60" s="1130">
        <v>44236</v>
      </c>
      <c r="E60" s="1130"/>
      <c r="F60" s="1130">
        <v>44250</v>
      </c>
      <c r="G60" s="1130"/>
      <c r="H60" s="1130"/>
      <c r="I60" s="953"/>
      <c r="K60" s="1136">
        <v>44264</v>
      </c>
      <c r="L60" s="1136"/>
      <c r="M60" s="1136">
        <v>44278</v>
      </c>
      <c r="N60" s="1136"/>
      <c r="O60" s="1137"/>
      <c r="P60" s="1137"/>
      <c r="R60" s="952">
        <v>44306</v>
      </c>
      <c r="S60" s="952"/>
      <c r="T60" s="952"/>
      <c r="U60" s="952"/>
      <c r="V60" s="952"/>
      <c r="W60" s="1106"/>
      <c r="Y60" s="952"/>
      <c r="Z60" s="952"/>
      <c r="AA60" s="952">
        <v>44347</v>
      </c>
      <c r="AB60" s="952"/>
      <c r="AC60" s="952"/>
      <c r="AD60" s="953"/>
      <c r="AF60" s="952">
        <v>44361</v>
      </c>
      <c r="AG60" s="952"/>
      <c r="AH60" s="837">
        <v>44375</v>
      </c>
      <c r="AI60" s="952"/>
      <c r="AJ60" s="952"/>
      <c r="AK60" s="953"/>
      <c r="AM60" s="920">
        <v>44396</v>
      </c>
      <c r="AN60" s="922">
        <v>2364000</v>
      </c>
      <c r="AO60" s="920">
        <v>44407</v>
      </c>
      <c r="AP60" s="921"/>
      <c r="AQ60" s="921"/>
      <c r="AR60" s="953"/>
      <c r="AT60" s="920">
        <v>44431</v>
      </c>
      <c r="AU60" s="921"/>
      <c r="AV60" s="920">
        <v>44438</v>
      </c>
      <c r="AW60" s="921"/>
      <c r="AX60" s="921"/>
      <c r="AY60" s="838"/>
      <c r="BA60" s="920">
        <v>44459</v>
      </c>
      <c r="BB60" s="921"/>
      <c r="BC60" s="920">
        <v>44473</v>
      </c>
      <c r="BD60" s="921"/>
      <c r="BE60" s="921"/>
      <c r="BF60" s="838"/>
      <c r="BH60" s="920">
        <v>44497</v>
      </c>
      <c r="BI60" s="921"/>
      <c r="BJ60" s="920">
        <v>44508</v>
      </c>
      <c r="BK60" s="921"/>
      <c r="BL60" s="921"/>
      <c r="BM60" s="838"/>
      <c r="BO60" s="837">
        <v>44515</v>
      </c>
      <c r="BP60" s="838"/>
      <c r="BQ60" s="837">
        <v>44522</v>
      </c>
      <c r="BR60" s="838"/>
      <c r="BS60" s="838"/>
      <c r="BT60" s="838"/>
      <c r="BV60" s="837">
        <v>44543</v>
      </c>
      <c r="BW60" s="838"/>
      <c r="BX60" s="837">
        <v>44550</v>
      </c>
      <c r="BY60" s="838"/>
      <c r="BZ60" s="838"/>
      <c r="CA60" s="838"/>
      <c r="CC60" s="837">
        <v>44571</v>
      </c>
      <c r="CD60" s="838"/>
      <c r="CE60" s="837">
        <v>44585</v>
      </c>
      <c r="CF60" s="838"/>
      <c r="CG60" s="838"/>
      <c r="CH60" s="953"/>
    </row>
    <row r="61" spans="1:86" x14ac:dyDescent="0.2">
      <c r="A61" s="838"/>
      <c r="B61" s="838"/>
      <c r="C61" s="838" t="s">
        <v>3480</v>
      </c>
      <c r="D61" s="922">
        <v>2232000</v>
      </c>
      <c r="E61" s="922"/>
      <c r="F61" s="922">
        <v>2412000</v>
      </c>
      <c r="G61" s="922"/>
      <c r="H61" s="922"/>
      <c r="I61" s="953">
        <f>SUM(D61:H61)</f>
        <v>4644000</v>
      </c>
      <c r="K61" s="922">
        <v>2238000</v>
      </c>
      <c r="L61" s="922"/>
      <c r="M61" s="922">
        <v>2550000</v>
      </c>
      <c r="N61" s="922"/>
      <c r="O61" s="953"/>
      <c r="P61" s="953">
        <f>SUM(K61:O61)</f>
        <v>4788000</v>
      </c>
      <c r="R61" s="922">
        <v>2346000</v>
      </c>
      <c r="S61" s="922"/>
      <c r="T61" s="922"/>
      <c r="U61" s="922"/>
      <c r="V61" s="922"/>
      <c r="W61" s="953">
        <f>SUM(R61:V61)</f>
        <v>2346000</v>
      </c>
      <c r="Y61" s="922"/>
      <c r="Z61" s="921"/>
      <c r="AA61" s="922">
        <v>2808000</v>
      </c>
      <c r="AB61" s="921"/>
      <c r="AC61" s="921"/>
      <c r="AD61" s="953">
        <f>SUM(Y61:AC61)</f>
        <v>2808000</v>
      </c>
      <c r="AF61" s="922">
        <v>2316000</v>
      </c>
      <c r="AG61" s="921"/>
      <c r="AH61" s="953">
        <v>2394000</v>
      </c>
      <c r="AI61" s="922"/>
      <c r="AJ61" s="921"/>
      <c r="AK61" s="953">
        <f>SUM(AF61:AJ61)</f>
        <v>4710000</v>
      </c>
      <c r="AM61" s="922"/>
      <c r="AN61" s="922"/>
      <c r="AO61" s="922">
        <v>2520375</v>
      </c>
      <c r="AP61" s="922"/>
      <c r="AQ61" s="922"/>
      <c r="AR61" s="953">
        <f>SUM(AM61:AQ61)</f>
        <v>2520375</v>
      </c>
      <c r="AT61" s="922">
        <v>1958800</v>
      </c>
      <c r="AU61" s="922"/>
      <c r="AV61" s="922">
        <v>1946467</v>
      </c>
      <c r="AW61" s="922"/>
      <c r="AX61" s="922"/>
      <c r="AY61" s="953">
        <f>SUM(AT61:AX61)</f>
        <v>3905267</v>
      </c>
      <c r="BA61" s="922">
        <v>2407500</v>
      </c>
      <c r="BB61" s="922"/>
      <c r="BC61" s="922">
        <v>2388000</v>
      </c>
      <c r="BD61" s="922"/>
      <c r="BE61" s="922"/>
      <c r="BF61" s="953">
        <f>SUM(BA61:BE61)</f>
        <v>4795500</v>
      </c>
      <c r="BH61" s="922">
        <v>2502000</v>
      </c>
      <c r="BI61" s="922"/>
      <c r="BJ61" s="922">
        <v>2842500</v>
      </c>
      <c r="BK61" s="922"/>
      <c r="BL61" s="922"/>
      <c r="BM61" s="953">
        <f>SUM(BH61:BL61)</f>
        <v>5344500</v>
      </c>
      <c r="BO61" s="953">
        <v>2190000</v>
      </c>
      <c r="BP61" s="953"/>
      <c r="BQ61" s="953">
        <v>2562000</v>
      </c>
      <c r="BR61" s="953"/>
      <c r="BS61" s="953"/>
      <c r="BT61" s="953">
        <f>SUM(BO61:BS61)</f>
        <v>4752000</v>
      </c>
      <c r="BV61" s="953">
        <v>2454000</v>
      </c>
      <c r="BW61" s="953"/>
      <c r="BX61" s="953">
        <v>2413125</v>
      </c>
      <c r="BY61" s="953"/>
      <c r="BZ61" s="953"/>
      <c r="CA61" s="953">
        <f>SUM(BV61:BZ61)</f>
        <v>4867125</v>
      </c>
      <c r="CB61" s="719"/>
      <c r="CC61" s="953">
        <v>2196000</v>
      </c>
      <c r="CD61" s="953"/>
      <c r="CE61" s="953">
        <v>2702700</v>
      </c>
      <c r="CF61" s="838"/>
      <c r="CG61" s="838"/>
      <c r="CH61" s="953">
        <f>SUM(CC61:CG61)</f>
        <v>4898700</v>
      </c>
    </row>
    <row r="62" spans="1:86" x14ac:dyDescent="0.2">
      <c r="A62" s="838">
        <v>12</v>
      </c>
      <c r="B62" s="838" t="s">
        <v>79</v>
      </c>
      <c r="C62" s="838" t="s">
        <v>114</v>
      </c>
      <c r="D62" s="1130">
        <v>44236</v>
      </c>
      <c r="E62" s="1130"/>
      <c r="F62" s="1130">
        <v>44250</v>
      </c>
      <c r="G62" s="1130"/>
      <c r="H62" s="1130"/>
      <c r="I62" s="953"/>
      <c r="K62" s="1136">
        <v>44264</v>
      </c>
      <c r="L62" s="1136"/>
      <c r="M62" s="1136">
        <v>44278</v>
      </c>
      <c r="N62" s="1136"/>
      <c r="O62" s="1137"/>
      <c r="P62" s="1137"/>
      <c r="R62" s="952"/>
      <c r="S62" s="952"/>
      <c r="T62" s="952"/>
      <c r="U62" s="952"/>
      <c r="V62" s="952"/>
      <c r="W62" s="1106"/>
      <c r="Y62" s="952"/>
      <c r="Z62" s="952"/>
      <c r="AA62" s="952">
        <v>44347</v>
      </c>
      <c r="AB62" s="952"/>
      <c r="AC62" s="952"/>
      <c r="AD62" s="953"/>
      <c r="AF62" s="952">
        <v>44361</v>
      </c>
      <c r="AG62" s="952"/>
      <c r="AH62" s="838"/>
      <c r="AI62" s="952"/>
      <c r="AJ62" s="952"/>
      <c r="AK62" s="953"/>
      <c r="AM62" s="952">
        <v>44396</v>
      </c>
      <c r="AN62" s="922">
        <v>1021500</v>
      </c>
      <c r="AO62" s="920">
        <v>44407</v>
      </c>
      <c r="AP62" s="921"/>
      <c r="AQ62" s="921"/>
      <c r="AR62" s="953"/>
      <c r="AT62" s="920">
        <v>44431</v>
      </c>
      <c r="AU62" s="921"/>
      <c r="AV62" s="920">
        <v>44438</v>
      </c>
      <c r="AW62" s="921"/>
      <c r="AX62" s="921"/>
      <c r="AY62" s="838"/>
      <c r="BA62" s="920"/>
      <c r="BB62" s="921"/>
      <c r="BC62" s="920">
        <v>44473</v>
      </c>
      <c r="BD62" s="921"/>
      <c r="BE62" s="921"/>
      <c r="BF62" s="838"/>
      <c r="BH62" s="920">
        <v>44497</v>
      </c>
      <c r="BI62" s="921"/>
      <c r="BJ62" s="920"/>
      <c r="BK62" s="921"/>
      <c r="BL62" s="921"/>
      <c r="BM62" s="838"/>
      <c r="BO62" s="837"/>
      <c r="BP62" s="838"/>
      <c r="BQ62" s="837">
        <v>44522</v>
      </c>
      <c r="BR62" s="838"/>
      <c r="BS62" s="838"/>
      <c r="BT62" s="838"/>
      <c r="BV62" s="837">
        <v>44543</v>
      </c>
      <c r="BW62" s="838"/>
      <c r="BX62" s="837">
        <v>44550</v>
      </c>
      <c r="BY62" s="838"/>
      <c r="BZ62" s="838"/>
      <c r="CA62" s="838"/>
      <c r="CC62" s="837">
        <v>44571</v>
      </c>
      <c r="CD62" s="838"/>
      <c r="CE62" s="837">
        <v>44585</v>
      </c>
      <c r="CF62" s="838"/>
      <c r="CG62" s="838"/>
      <c r="CH62" s="953"/>
    </row>
    <row r="63" spans="1:86" x14ac:dyDescent="0.2">
      <c r="A63" s="838"/>
      <c r="B63" s="838"/>
      <c r="C63" s="838" t="s">
        <v>3480</v>
      </c>
      <c r="D63" s="922">
        <v>631500</v>
      </c>
      <c r="E63" s="922"/>
      <c r="F63" s="922">
        <v>1141500</v>
      </c>
      <c r="G63" s="922"/>
      <c r="H63" s="922"/>
      <c r="I63" s="953">
        <f>SUM(D63:H63)</f>
        <v>1773000</v>
      </c>
      <c r="K63" s="922">
        <v>877266</v>
      </c>
      <c r="L63" s="922"/>
      <c r="M63" s="922">
        <v>984141</v>
      </c>
      <c r="N63" s="922"/>
      <c r="O63" s="922"/>
      <c r="P63" s="953">
        <f>SUM(K63:O63)</f>
        <v>1861407</v>
      </c>
      <c r="R63" s="1113"/>
      <c r="S63" s="1113"/>
      <c r="T63" s="1113"/>
      <c r="U63" s="1113"/>
      <c r="V63" s="1113"/>
      <c r="W63" s="1106">
        <f>SUM(R63:V63)</f>
        <v>0</v>
      </c>
      <c r="Y63" s="922"/>
      <c r="Z63" s="921"/>
      <c r="AA63" s="922">
        <v>676875</v>
      </c>
      <c r="AB63" s="921"/>
      <c r="AC63" s="921"/>
      <c r="AD63" s="953">
        <f>SUM(Y63:AC63)</f>
        <v>676875</v>
      </c>
      <c r="AF63" s="922">
        <v>858000</v>
      </c>
      <c r="AG63" s="922"/>
      <c r="AH63" s="838"/>
      <c r="AI63" s="921"/>
      <c r="AJ63" s="921"/>
      <c r="AK63" s="953">
        <f>SUM(AF63:AJ63)</f>
        <v>858000</v>
      </c>
      <c r="AM63" s="922"/>
      <c r="AN63" s="922"/>
      <c r="AO63" s="922">
        <v>819000</v>
      </c>
      <c r="AP63" s="922"/>
      <c r="AQ63" s="922"/>
      <c r="AR63" s="953">
        <f>SUM(AM63:AQ63)</f>
        <v>819000</v>
      </c>
      <c r="AT63" s="922">
        <v>967525</v>
      </c>
      <c r="AU63" s="922"/>
      <c r="AV63" s="922">
        <v>890900</v>
      </c>
      <c r="AW63" s="922"/>
      <c r="AX63" s="922"/>
      <c r="AY63" s="953">
        <f>SUM(AT63:AX63)</f>
        <v>1858425</v>
      </c>
      <c r="BA63" s="922"/>
      <c r="BB63" s="922"/>
      <c r="BC63" s="922">
        <v>990000</v>
      </c>
      <c r="BD63" s="922"/>
      <c r="BE63" s="922"/>
      <c r="BF63" s="953">
        <f>SUM(BA63:BE63)</f>
        <v>990000</v>
      </c>
      <c r="BH63" s="922">
        <v>1248000</v>
      </c>
      <c r="BI63" s="922"/>
      <c r="BJ63" s="922"/>
      <c r="BK63" s="922"/>
      <c r="BL63" s="922"/>
      <c r="BM63" s="953">
        <f>SUM(BH63:BL63)</f>
        <v>1248000</v>
      </c>
      <c r="BO63" s="953"/>
      <c r="BP63" s="953"/>
      <c r="BQ63" s="953">
        <v>924000</v>
      </c>
      <c r="BR63" s="953"/>
      <c r="BS63" s="953"/>
      <c r="BT63" s="953">
        <f>SUM(BO63:BS63)</f>
        <v>924000</v>
      </c>
      <c r="BV63" s="953">
        <v>1140000</v>
      </c>
      <c r="BW63" s="953"/>
      <c r="BX63" s="953">
        <v>930272</v>
      </c>
      <c r="BY63" s="953"/>
      <c r="BZ63" s="953"/>
      <c r="CA63" s="953">
        <f>SUM(BV63:BZ63)</f>
        <v>2070272</v>
      </c>
      <c r="CB63" s="719"/>
      <c r="CC63" s="953">
        <v>1138516</v>
      </c>
      <c r="CD63" s="953"/>
      <c r="CE63" s="953">
        <v>1300500</v>
      </c>
      <c r="CF63" s="838"/>
      <c r="CG63" s="838"/>
      <c r="CH63" s="953">
        <f>SUM(CC63:CG63)</f>
        <v>2439016</v>
      </c>
    </row>
    <row r="64" spans="1:86" x14ac:dyDescent="0.2">
      <c r="K64" s="719"/>
      <c r="L64" s="719"/>
      <c r="M64" s="719"/>
      <c r="N64" s="719"/>
      <c r="O64" s="719"/>
      <c r="P64" s="719"/>
      <c r="R64" s="918"/>
      <c r="S64" s="918"/>
      <c r="T64" s="918"/>
      <c r="U64" s="918"/>
      <c r="V64" s="918"/>
      <c r="Y64" s="918"/>
      <c r="Z64" s="918"/>
      <c r="AA64" s="918"/>
      <c r="AB64" s="918"/>
      <c r="AC64" s="918"/>
      <c r="AF64" s="918"/>
      <c r="AG64" s="918"/>
      <c r="AH64" s="918"/>
      <c r="AI64" s="918"/>
      <c r="AJ64" s="918"/>
      <c r="AM64" s="918"/>
      <c r="AN64" s="918"/>
      <c r="AO64" s="918"/>
      <c r="AP64" s="918"/>
      <c r="AQ64" s="918"/>
      <c r="AR64" s="719"/>
      <c r="BA64" s="918"/>
      <c r="BB64" s="918"/>
      <c r="BC64" s="918"/>
      <c r="BD64" s="918"/>
      <c r="BE64" s="918"/>
      <c r="BH64" s="918"/>
      <c r="BI64" s="918"/>
      <c r="BJ64" s="918"/>
      <c r="BK64" s="918"/>
      <c r="BL64" s="918"/>
      <c r="CH64" s="719"/>
    </row>
    <row r="65" spans="1:86" x14ac:dyDescent="0.2">
      <c r="A65" s="317" t="s">
        <v>3472</v>
      </c>
    </row>
    <row r="66" spans="1:86" x14ac:dyDescent="0.2">
      <c r="A66" s="317" t="s">
        <v>6262</v>
      </c>
    </row>
    <row r="67" spans="1:86" x14ac:dyDescent="0.2">
      <c r="A67" s="1600" t="s">
        <v>131</v>
      </c>
      <c r="B67" s="1600" t="s">
        <v>139</v>
      </c>
      <c r="C67" s="1600" t="s">
        <v>3479</v>
      </c>
      <c r="D67" s="1600" t="s">
        <v>3443</v>
      </c>
      <c r="E67" s="1600"/>
      <c r="F67" s="1600"/>
      <c r="G67" s="1600"/>
      <c r="H67" s="1600"/>
      <c r="I67" s="1600" t="s">
        <v>24</v>
      </c>
      <c r="K67" s="1600" t="s">
        <v>3443</v>
      </c>
      <c r="L67" s="1600"/>
      <c r="M67" s="1600"/>
      <c r="N67" s="1600"/>
      <c r="O67" s="1600"/>
      <c r="P67" s="1600" t="s">
        <v>24</v>
      </c>
      <c r="R67" s="1600" t="s">
        <v>3443</v>
      </c>
      <c r="S67" s="1600"/>
      <c r="T67" s="1600"/>
      <c r="U67" s="1600"/>
      <c r="V67" s="1600"/>
      <c r="W67" s="1601" t="s">
        <v>24</v>
      </c>
      <c r="Y67" s="1600" t="s">
        <v>3443</v>
      </c>
      <c r="Z67" s="1600"/>
      <c r="AA67" s="1600"/>
      <c r="AB67" s="1600"/>
      <c r="AC67" s="1600"/>
      <c r="AD67" s="1600" t="s">
        <v>24</v>
      </c>
      <c r="AF67" s="1600" t="s">
        <v>3443</v>
      </c>
      <c r="AG67" s="1600"/>
      <c r="AH67" s="1600"/>
      <c r="AI67" s="1600"/>
      <c r="AJ67" s="1600"/>
      <c r="AK67" s="1600" t="s">
        <v>24</v>
      </c>
      <c r="AM67" s="1600" t="s">
        <v>3443</v>
      </c>
      <c r="AN67" s="1600"/>
      <c r="AO67" s="1600"/>
      <c r="AP67" s="1600"/>
      <c r="AQ67" s="1600"/>
      <c r="AR67" s="1600" t="s">
        <v>24</v>
      </c>
      <c r="AT67" s="1600" t="s">
        <v>3443</v>
      </c>
      <c r="AU67" s="1600"/>
      <c r="AV67" s="1600"/>
      <c r="AW67" s="1600"/>
      <c r="AX67" s="1600"/>
      <c r="AY67" s="1600" t="s">
        <v>24</v>
      </c>
      <c r="BA67" s="1600" t="s">
        <v>3443</v>
      </c>
      <c r="BB67" s="1600"/>
      <c r="BC67" s="1600"/>
      <c r="BD67" s="1600"/>
      <c r="BE67" s="1600"/>
      <c r="BF67" s="1600" t="s">
        <v>24</v>
      </c>
      <c r="BH67" s="1600" t="s">
        <v>3443</v>
      </c>
      <c r="BI67" s="1600"/>
      <c r="BJ67" s="1600"/>
      <c r="BK67" s="1600"/>
      <c r="BL67" s="1600"/>
      <c r="BM67" s="1600" t="s">
        <v>24</v>
      </c>
      <c r="BO67" s="1600" t="s">
        <v>3443</v>
      </c>
      <c r="BP67" s="1600"/>
      <c r="BQ67" s="1600"/>
      <c r="BR67" s="1600"/>
      <c r="BS67" s="1600"/>
      <c r="BT67" s="1600" t="s">
        <v>24</v>
      </c>
      <c r="BV67" s="1600" t="s">
        <v>3443</v>
      </c>
      <c r="BW67" s="1600"/>
      <c r="BX67" s="1600"/>
      <c r="BY67" s="1600"/>
      <c r="BZ67" s="1600"/>
      <c r="CA67" s="1600" t="s">
        <v>24</v>
      </c>
      <c r="CC67" s="1600" t="s">
        <v>3443</v>
      </c>
      <c r="CD67" s="1600"/>
      <c r="CE67" s="1600"/>
      <c r="CF67" s="1600"/>
      <c r="CG67" s="1600"/>
      <c r="CH67" s="1600" t="s">
        <v>24</v>
      </c>
    </row>
    <row r="68" spans="1:86" x14ac:dyDescent="0.2">
      <c r="A68" s="1600"/>
      <c r="B68" s="1600"/>
      <c r="C68" s="1600"/>
      <c r="D68" s="1600" t="s">
        <v>3473</v>
      </c>
      <c r="E68" s="1600"/>
      <c r="F68" s="1600"/>
      <c r="G68" s="1600"/>
      <c r="H68" s="1600"/>
      <c r="I68" s="1600"/>
      <c r="K68" s="1600" t="s">
        <v>3482</v>
      </c>
      <c r="L68" s="1600"/>
      <c r="M68" s="1600"/>
      <c r="N68" s="1600"/>
      <c r="O68" s="1600"/>
      <c r="P68" s="1600"/>
      <c r="R68" s="1600" t="s">
        <v>3483</v>
      </c>
      <c r="S68" s="1600"/>
      <c r="T68" s="1600"/>
      <c r="U68" s="1600"/>
      <c r="V68" s="1600"/>
      <c r="W68" s="1601"/>
      <c r="Y68" s="1600" t="s">
        <v>3485</v>
      </c>
      <c r="Z68" s="1600"/>
      <c r="AA68" s="1600"/>
      <c r="AB68" s="1600"/>
      <c r="AC68" s="1600"/>
      <c r="AD68" s="1600"/>
      <c r="AF68" s="1600" t="s">
        <v>3448</v>
      </c>
      <c r="AG68" s="1600"/>
      <c r="AH68" s="1600"/>
      <c r="AI68" s="1600"/>
      <c r="AJ68" s="1600"/>
      <c r="AK68" s="1600"/>
      <c r="AM68" s="1600" t="s">
        <v>3449</v>
      </c>
      <c r="AN68" s="1600"/>
      <c r="AO68" s="1600"/>
      <c r="AP68" s="1600"/>
      <c r="AQ68" s="1600"/>
      <c r="AR68" s="1600"/>
      <c r="AT68" s="1600" t="s">
        <v>3450</v>
      </c>
      <c r="AU68" s="1600"/>
      <c r="AV68" s="1600"/>
      <c r="AW68" s="1600"/>
      <c r="AX68" s="1600"/>
      <c r="AY68" s="1600"/>
      <c r="BA68" s="1600" t="s">
        <v>3488</v>
      </c>
      <c r="BB68" s="1600"/>
      <c r="BC68" s="1600"/>
      <c r="BD68" s="1600"/>
      <c r="BE68" s="1600"/>
      <c r="BF68" s="1600"/>
      <c r="BH68" s="1600" t="s">
        <v>3487</v>
      </c>
      <c r="BI68" s="1600"/>
      <c r="BJ68" s="1600"/>
      <c r="BK68" s="1600"/>
      <c r="BL68" s="1600"/>
      <c r="BM68" s="1600"/>
      <c r="BO68" s="1600" t="s">
        <v>3486</v>
      </c>
      <c r="BP68" s="1600"/>
      <c r="BQ68" s="1600"/>
      <c r="BR68" s="1600"/>
      <c r="BS68" s="1600"/>
      <c r="BT68" s="1600"/>
      <c r="BV68" s="1600" t="s">
        <v>135</v>
      </c>
      <c r="BW68" s="1600"/>
      <c r="BX68" s="1600"/>
      <c r="BY68" s="1600"/>
      <c r="BZ68" s="1600"/>
      <c r="CA68" s="1600"/>
      <c r="CC68" s="1600" t="s">
        <v>134</v>
      </c>
      <c r="CD68" s="1600"/>
      <c r="CE68" s="1600"/>
      <c r="CF68" s="1600"/>
      <c r="CG68" s="1600"/>
      <c r="CH68" s="1600"/>
    </row>
    <row r="69" spans="1:86" x14ac:dyDescent="0.2">
      <c r="A69" s="1600"/>
      <c r="B69" s="1600"/>
      <c r="C69" s="1600"/>
      <c r="D69" s="1415" t="s">
        <v>3474</v>
      </c>
      <c r="E69" s="1415" t="s">
        <v>3475</v>
      </c>
      <c r="F69" s="1415" t="s">
        <v>3476</v>
      </c>
      <c r="G69" s="1415" t="s">
        <v>3477</v>
      </c>
      <c r="H69" s="1415" t="s">
        <v>3478</v>
      </c>
      <c r="I69" s="1600"/>
      <c r="K69" s="1415" t="s">
        <v>3474</v>
      </c>
      <c r="L69" s="1415" t="s">
        <v>3475</v>
      </c>
      <c r="M69" s="1415" t="s">
        <v>3476</v>
      </c>
      <c r="N69" s="1415" t="s">
        <v>3477</v>
      </c>
      <c r="O69" s="1415" t="s">
        <v>3478</v>
      </c>
      <c r="P69" s="1600"/>
      <c r="R69" s="1415" t="s">
        <v>3474</v>
      </c>
      <c r="S69" s="1415" t="s">
        <v>3475</v>
      </c>
      <c r="T69" s="1415" t="s">
        <v>3476</v>
      </c>
      <c r="U69" s="1415" t="s">
        <v>3477</v>
      </c>
      <c r="V69" s="1415" t="s">
        <v>3478</v>
      </c>
      <c r="W69" s="1601"/>
      <c r="Y69" s="1415" t="s">
        <v>3474</v>
      </c>
      <c r="Z69" s="1415" t="s">
        <v>3475</v>
      </c>
      <c r="AA69" s="1415" t="s">
        <v>3476</v>
      </c>
      <c r="AB69" s="1415" t="s">
        <v>3477</v>
      </c>
      <c r="AC69" s="1415" t="s">
        <v>3478</v>
      </c>
      <c r="AD69" s="1600"/>
      <c r="AF69" s="1415" t="s">
        <v>3474</v>
      </c>
      <c r="AG69" s="1415" t="s">
        <v>3475</v>
      </c>
      <c r="AH69" s="1415" t="s">
        <v>3476</v>
      </c>
      <c r="AI69" s="1415" t="s">
        <v>3477</v>
      </c>
      <c r="AJ69" s="1415" t="s">
        <v>3478</v>
      </c>
      <c r="AK69" s="1600"/>
      <c r="AM69" s="1415" t="s">
        <v>3474</v>
      </c>
      <c r="AN69" s="1415" t="s">
        <v>3475</v>
      </c>
      <c r="AO69" s="1415" t="s">
        <v>3476</v>
      </c>
      <c r="AP69" s="1415" t="s">
        <v>3477</v>
      </c>
      <c r="AQ69" s="1415" t="s">
        <v>3478</v>
      </c>
      <c r="AR69" s="1600"/>
      <c r="AT69" s="1415" t="s">
        <v>3474</v>
      </c>
      <c r="AU69" s="1415" t="s">
        <v>3475</v>
      </c>
      <c r="AV69" s="1415" t="s">
        <v>3476</v>
      </c>
      <c r="AW69" s="1415" t="s">
        <v>3477</v>
      </c>
      <c r="AX69" s="1415" t="s">
        <v>3478</v>
      </c>
      <c r="AY69" s="1600"/>
      <c r="BA69" s="1415" t="s">
        <v>3474</v>
      </c>
      <c r="BB69" s="1415" t="s">
        <v>3475</v>
      </c>
      <c r="BC69" s="1415" t="s">
        <v>3476</v>
      </c>
      <c r="BD69" s="1415" t="s">
        <v>3477</v>
      </c>
      <c r="BE69" s="1415" t="s">
        <v>3478</v>
      </c>
      <c r="BF69" s="1600"/>
      <c r="BH69" s="1415" t="s">
        <v>3474</v>
      </c>
      <c r="BI69" s="1415" t="s">
        <v>3475</v>
      </c>
      <c r="BJ69" s="1415" t="s">
        <v>3476</v>
      </c>
      <c r="BK69" s="1415" t="s">
        <v>3477</v>
      </c>
      <c r="BL69" s="1415" t="s">
        <v>3478</v>
      </c>
      <c r="BM69" s="1600"/>
      <c r="BO69" s="1415" t="s">
        <v>3474</v>
      </c>
      <c r="BP69" s="1415" t="s">
        <v>3475</v>
      </c>
      <c r="BQ69" s="1415" t="s">
        <v>3476</v>
      </c>
      <c r="BR69" s="1415" t="s">
        <v>3477</v>
      </c>
      <c r="BS69" s="1415" t="s">
        <v>3478</v>
      </c>
      <c r="BT69" s="1600"/>
      <c r="BV69" s="1415" t="s">
        <v>3474</v>
      </c>
      <c r="BW69" s="1415" t="s">
        <v>3475</v>
      </c>
      <c r="BX69" s="1415" t="s">
        <v>3476</v>
      </c>
      <c r="BY69" s="1415" t="s">
        <v>3477</v>
      </c>
      <c r="BZ69" s="1415" t="s">
        <v>3478</v>
      </c>
      <c r="CA69" s="1600"/>
      <c r="CC69" s="1415" t="s">
        <v>3474</v>
      </c>
      <c r="CD69" s="1415" t="s">
        <v>3475</v>
      </c>
      <c r="CE69" s="1415" t="s">
        <v>3476</v>
      </c>
      <c r="CF69" s="1415" t="s">
        <v>3477</v>
      </c>
      <c r="CG69" s="1415" t="s">
        <v>3478</v>
      </c>
      <c r="CH69" s="1600"/>
    </row>
    <row r="70" spans="1:86" x14ac:dyDescent="0.2">
      <c r="A70" s="838">
        <v>1</v>
      </c>
      <c r="B70" s="838" t="s">
        <v>80</v>
      </c>
      <c r="C70" s="838" t="s">
        <v>114</v>
      </c>
      <c r="D70" s="1130">
        <v>44606</v>
      </c>
      <c r="E70" s="1130"/>
      <c r="F70" s="1130">
        <v>44613</v>
      </c>
      <c r="G70" s="1130"/>
      <c r="H70" s="1130"/>
      <c r="I70" s="838"/>
      <c r="K70" s="1130">
        <v>44629</v>
      </c>
      <c r="L70" s="922"/>
      <c r="M70" s="1136">
        <v>44641</v>
      </c>
      <c r="N70" s="922"/>
      <c r="O70" s="953"/>
      <c r="P70" s="953"/>
      <c r="R70" s="952">
        <v>44655</v>
      </c>
      <c r="S70" s="952"/>
      <c r="T70" s="952"/>
      <c r="U70" s="952"/>
      <c r="V70" s="952"/>
      <c r="W70" s="1106"/>
      <c r="Y70" s="952"/>
      <c r="Z70" s="952"/>
      <c r="AA70" s="920"/>
      <c r="AB70" s="952"/>
      <c r="AC70" s="952"/>
      <c r="AD70" s="953"/>
      <c r="AF70" s="920"/>
      <c r="AG70" s="921"/>
      <c r="AH70" s="837"/>
      <c r="AI70" s="921"/>
      <c r="AJ70" s="921"/>
      <c r="AK70" s="838"/>
      <c r="AM70" s="920"/>
      <c r="AN70" s="922"/>
      <c r="AO70" s="920"/>
      <c r="AP70" s="921"/>
      <c r="AQ70" s="921"/>
      <c r="AR70" s="838"/>
      <c r="AT70" s="920"/>
      <c r="AU70" s="921"/>
      <c r="AV70" s="920"/>
      <c r="AW70" s="921"/>
      <c r="AX70" s="921"/>
      <c r="AY70" s="838"/>
      <c r="BA70" s="920"/>
      <c r="BB70" s="921"/>
      <c r="BC70" s="920"/>
      <c r="BD70" s="921"/>
      <c r="BE70" s="921"/>
      <c r="BF70" s="838"/>
      <c r="BH70" s="920"/>
      <c r="BI70" s="921"/>
      <c r="BJ70" s="921"/>
      <c r="BK70" s="921"/>
      <c r="BL70" s="921"/>
      <c r="BM70" s="838"/>
      <c r="BO70" s="837"/>
      <c r="BP70" s="838"/>
      <c r="BQ70" s="837"/>
      <c r="BR70" s="838"/>
      <c r="BS70" s="838"/>
      <c r="BT70" s="838"/>
      <c r="BV70" s="837"/>
      <c r="BW70" s="838"/>
      <c r="BX70" s="837"/>
      <c r="BY70" s="838"/>
      <c r="BZ70" s="838"/>
      <c r="CA70" s="838"/>
      <c r="CC70" s="837"/>
      <c r="CD70" s="838"/>
      <c r="CE70" s="837"/>
      <c r="CF70" s="838"/>
      <c r="CG70" s="838"/>
      <c r="CH70" s="953"/>
    </row>
    <row r="71" spans="1:86" x14ac:dyDescent="0.2">
      <c r="A71" s="838"/>
      <c r="B71" s="838"/>
      <c r="C71" s="838" t="s">
        <v>3480</v>
      </c>
      <c r="D71" s="922">
        <v>4153500</v>
      </c>
      <c r="E71" s="922"/>
      <c r="F71" s="922">
        <v>4992113</v>
      </c>
      <c r="G71" s="922"/>
      <c r="H71" s="922"/>
      <c r="I71" s="953">
        <f>SUM(D71:H71)</f>
        <v>9145613</v>
      </c>
      <c r="K71" s="922">
        <v>4385981</v>
      </c>
      <c r="L71" s="922"/>
      <c r="M71" s="922">
        <v>5480191</v>
      </c>
      <c r="N71" s="922"/>
      <c r="O71" s="953"/>
      <c r="P71" s="953">
        <f>SUM(K71:O71)</f>
        <v>9866172</v>
      </c>
      <c r="R71" s="922">
        <v>4904761</v>
      </c>
      <c r="S71" s="922"/>
      <c r="T71" s="922"/>
      <c r="U71" s="922"/>
      <c r="V71" s="922"/>
      <c r="W71" s="1106">
        <f>SUM(R71:V71)</f>
        <v>4904761</v>
      </c>
      <c r="Y71" s="922"/>
      <c r="Z71" s="921"/>
      <c r="AA71" s="922"/>
      <c r="AB71" s="921"/>
      <c r="AC71" s="921"/>
      <c r="AD71" s="953">
        <f>SUM(Y71:AC71)</f>
        <v>0</v>
      </c>
      <c r="AF71" s="922"/>
      <c r="AG71" s="922"/>
      <c r="AH71" s="953"/>
      <c r="AI71" s="922"/>
      <c r="AJ71" s="922"/>
      <c r="AK71" s="838">
        <f>SUM(AF71:AJ71)</f>
        <v>0</v>
      </c>
      <c r="AM71" s="922"/>
      <c r="AN71" s="921"/>
      <c r="AO71" s="922"/>
      <c r="AP71" s="921"/>
      <c r="AQ71" s="921"/>
      <c r="AR71" s="953">
        <f>SUM(AM71:AQ71)</f>
        <v>0</v>
      </c>
      <c r="AT71" s="922"/>
      <c r="AU71" s="922"/>
      <c r="AV71" s="922"/>
      <c r="AW71" s="922"/>
      <c r="AX71" s="922"/>
      <c r="AY71" s="953">
        <f>SUM(AT71:AX71)</f>
        <v>0</v>
      </c>
      <c r="BA71" s="922"/>
      <c r="BB71" s="922"/>
      <c r="BC71" s="922"/>
      <c r="BD71" s="922"/>
      <c r="BE71" s="922"/>
      <c r="BF71" s="953">
        <f>SUM(BA71:BE71)</f>
        <v>0</v>
      </c>
      <c r="BH71" s="922"/>
      <c r="BI71" s="922"/>
      <c r="BJ71" s="922"/>
      <c r="BK71" s="922"/>
      <c r="BL71" s="922"/>
      <c r="BM71" s="953">
        <f>SUM(BH71:BL71)</f>
        <v>0</v>
      </c>
      <c r="BO71" s="953"/>
      <c r="BP71" s="838"/>
      <c r="BQ71" s="953"/>
      <c r="BR71" s="953"/>
      <c r="BS71" s="953"/>
      <c r="BT71" s="953">
        <f>SUM(BO71:BS71)</f>
        <v>0</v>
      </c>
      <c r="BV71" s="953"/>
      <c r="BW71" s="953"/>
      <c r="BX71" s="953"/>
      <c r="BY71" s="953"/>
      <c r="BZ71" s="953"/>
      <c r="CA71" s="953">
        <f>SUM(BV71:BZ71)</f>
        <v>0</v>
      </c>
      <c r="CB71" s="719"/>
      <c r="CC71" s="953"/>
      <c r="CD71" s="953"/>
      <c r="CE71" s="953"/>
      <c r="CF71" s="838"/>
      <c r="CG71" s="838"/>
      <c r="CH71" s="953">
        <f>SUM(CC71:CG71)</f>
        <v>0</v>
      </c>
    </row>
    <row r="72" spans="1:86" x14ac:dyDescent="0.2">
      <c r="A72" s="838">
        <v>2</v>
      </c>
      <c r="B72" s="838" t="s">
        <v>83</v>
      </c>
      <c r="C72" s="838" t="s">
        <v>114</v>
      </c>
      <c r="D72" s="1130">
        <v>44606</v>
      </c>
      <c r="E72" s="1130"/>
      <c r="F72" s="1130">
        <v>44613</v>
      </c>
      <c r="G72" s="1130"/>
      <c r="H72" s="1130"/>
      <c r="I72" s="953"/>
      <c r="K72" s="1130">
        <v>44629</v>
      </c>
      <c r="L72" s="1131"/>
      <c r="M72" s="1136">
        <v>44641</v>
      </c>
      <c r="N72" s="1131"/>
      <c r="O72" s="1132"/>
      <c r="P72" s="1132"/>
      <c r="R72" s="952"/>
      <c r="S72" s="952"/>
      <c r="T72" s="952">
        <v>44676</v>
      </c>
      <c r="U72" s="952"/>
      <c r="V72" s="952"/>
      <c r="W72" s="1106"/>
      <c r="Y72" s="952">
        <v>44708</v>
      </c>
      <c r="Z72" s="952"/>
      <c r="AA72" s="952"/>
      <c r="AB72" s="952"/>
      <c r="AC72" s="952"/>
      <c r="AD72" s="953"/>
      <c r="AF72" s="952"/>
      <c r="AG72" s="952"/>
      <c r="AH72" s="837"/>
      <c r="AI72" s="952"/>
      <c r="AJ72" s="952"/>
      <c r="AK72" s="838"/>
      <c r="AM72" s="920"/>
      <c r="AN72" s="922"/>
      <c r="AO72" s="920"/>
      <c r="AP72" s="921"/>
      <c r="AQ72" s="921"/>
      <c r="AR72" s="953"/>
      <c r="AT72" s="920"/>
      <c r="AU72" s="921"/>
      <c r="AV72" s="920"/>
      <c r="AW72" s="921"/>
      <c r="AX72" s="921"/>
      <c r="AY72" s="838"/>
      <c r="BA72" s="920"/>
      <c r="BB72" s="921"/>
      <c r="BC72" s="920"/>
      <c r="BD72" s="921"/>
      <c r="BE72" s="921"/>
      <c r="BF72" s="838"/>
      <c r="BH72" s="920"/>
      <c r="BI72" s="921"/>
      <c r="BJ72" s="920"/>
      <c r="BK72" s="921"/>
      <c r="BL72" s="921"/>
      <c r="BM72" s="838"/>
      <c r="BO72" s="837"/>
      <c r="BP72" s="838"/>
      <c r="BQ72" s="837"/>
      <c r="BR72" s="838"/>
      <c r="BS72" s="838"/>
      <c r="BT72" s="838"/>
      <c r="BV72" s="837"/>
      <c r="BW72" s="838"/>
      <c r="BX72" s="837"/>
      <c r="BY72" s="838"/>
      <c r="BZ72" s="838"/>
      <c r="CA72" s="838"/>
      <c r="CC72" s="837"/>
      <c r="CD72" s="838"/>
      <c r="CE72" s="837"/>
      <c r="CF72" s="838"/>
      <c r="CG72" s="838"/>
      <c r="CH72" s="953"/>
    </row>
    <row r="73" spans="1:86" x14ac:dyDescent="0.2">
      <c r="A73" s="838"/>
      <c r="B73" s="838"/>
      <c r="C73" s="838" t="s">
        <v>3480</v>
      </c>
      <c r="D73" s="922">
        <v>3153000</v>
      </c>
      <c r="E73" s="922"/>
      <c r="F73" s="922">
        <v>3472500</v>
      </c>
      <c r="G73" s="922"/>
      <c r="H73" s="922"/>
      <c r="I73" s="953">
        <f>SUM(D73:H73)</f>
        <v>6625500</v>
      </c>
      <c r="K73" s="922">
        <v>3096000</v>
      </c>
      <c r="L73" s="922"/>
      <c r="M73" s="922">
        <v>3604500</v>
      </c>
      <c r="N73" s="922"/>
      <c r="O73" s="922"/>
      <c r="P73" s="953">
        <f>SUM(K73:O73)</f>
        <v>6700500</v>
      </c>
      <c r="R73" s="1133"/>
      <c r="S73" s="1113"/>
      <c r="T73" s="922">
        <v>4069500</v>
      </c>
      <c r="U73" s="921"/>
      <c r="V73" s="921"/>
      <c r="W73" s="1106">
        <f>SUM(R73:V73)</f>
        <v>4069500</v>
      </c>
      <c r="Y73" s="922">
        <v>3219000</v>
      </c>
      <c r="Z73" s="921"/>
      <c r="AA73" s="922"/>
      <c r="AB73" s="921"/>
      <c r="AC73" s="921"/>
      <c r="AD73" s="953">
        <f>SUM(Y73:AC73)</f>
        <v>3219000</v>
      </c>
      <c r="AF73" s="922"/>
      <c r="AG73" s="921"/>
      <c r="AH73" s="953"/>
      <c r="AI73" s="921"/>
      <c r="AJ73" s="921"/>
      <c r="AK73" s="953">
        <f>SUM(AF73:AJ73)</f>
        <v>0</v>
      </c>
      <c r="AM73" s="922"/>
      <c r="AN73" s="921"/>
      <c r="AO73" s="922"/>
      <c r="AP73" s="921"/>
      <c r="AQ73" s="921"/>
      <c r="AR73" s="953">
        <f>SUM(AM73:AQ73)</f>
        <v>0</v>
      </c>
      <c r="AT73" s="922"/>
      <c r="AU73" s="922"/>
      <c r="AV73" s="922"/>
      <c r="AW73" s="922"/>
      <c r="AX73" s="922"/>
      <c r="AY73" s="953">
        <f>SUM(AT73:AX73)</f>
        <v>0</v>
      </c>
      <c r="BA73" s="922"/>
      <c r="BB73" s="922"/>
      <c r="BC73" s="922"/>
      <c r="BD73" s="922"/>
      <c r="BE73" s="922"/>
      <c r="BF73" s="953">
        <f>SUM(BA73:BE73)</f>
        <v>0</v>
      </c>
      <c r="BH73" s="922"/>
      <c r="BI73" s="922"/>
      <c r="BJ73" s="922"/>
      <c r="BK73" s="922"/>
      <c r="BL73" s="922"/>
      <c r="BM73" s="953">
        <f>SUM(BH73:BL73)</f>
        <v>0</v>
      </c>
      <c r="BO73" s="953"/>
      <c r="BP73" s="953"/>
      <c r="BQ73" s="953"/>
      <c r="BR73" s="953"/>
      <c r="BS73" s="953"/>
      <c r="BT73" s="953">
        <f>SUM(BO73:BS73)</f>
        <v>0</v>
      </c>
      <c r="BV73" s="953"/>
      <c r="BW73" s="953"/>
      <c r="BX73" s="953"/>
      <c r="BY73" s="953"/>
      <c r="BZ73" s="953"/>
      <c r="CA73" s="953">
        <f>SUM(BV73:BZ73)</f>
        <v>0</v>
      </c>
      <c r="CB73" s="719"/>
      <c r="CC73" s="953"/>
      <c r="CD73" s="838"/>
      <c r="CE73" s="953"/>
      <c r="CF73" s="838"/>
      <c r="CG73" s="838"/>
      <c r="CH73" s="953">
        <f>SUM(CC73:CG73)</f>
        <v>0</v>
      </c>
    </row>
    <row r="74" spans="1:86" x14ac:dyDescent="0.2">
      <c r="A74" s="838">
        <v>3</v>
      </c>
      <c r="B74" s="838" t="s">
        <v>88</v>
      </c>
      <c r="C74" s="838" t="s">
        <v>114</v>
      </c>
      <c r="D74" s="1130">
        <v>44606</v>
      </c>
      <c r="E74" s="1130"/>
      <c r="F74" s="1130">
        <v>44613</v>
      </c>
      <c r="G74" s="1130"/>
      <c r="H74" s="1130"/>
      <c r="I74" s="953"/>
      <c r="K74" s="1130">
        <v>44629</v>
      </c>
      <c r="L74" s="922"/>
      <c r="M74" s="1136">
        <v>44641</v>
      </c>
      <c r="N74" s="922"/>
      <c r="O74" s="953"/>
      <c r="P74" s="953"/>
      <c r="R74" s="952"/>
      <c r="S74" s="952"/>
      <c r="T74" s="952">
        <v>44676</v>
      </c>
      <c r="U74" s="952"/>
      <c r="V74" s="952"/>
      <c r="W74" s="1106"/>
      <c r="Y74" s="952">
        <v>44708</v>
      </c>
      <c r="Z74" s="952"/>
      <c r="AA74" s="920"/>
      <c r="AB74" s="952"/>
      <c r="AC74" s="952"/>
      <c r="AD74" s="953"/>
      <c r="AF74" s="920"/>
      <c r="AG74" s="921"/>
      <c r="AH74" s="837"/>
      <c r="AI74" s="921"/>
      <c r="AJ74" s="921"/>
      <c r="AK74" s="953"/>
      <c r="AM74" s="920"/>
      <c r="AN74" s="922"/>
      <c r="AO74" s="920"/>
      <c r="AP74" s="921"/>
      <c r="AQ74" s="921"/>
      <c r="AR74" s="953"/>
      <c r="AT74" s="920"/>
      <c r="AU74" s="921"/>
      <c r="AV74" s="920"/>
      <c r="AW74" s="921"/>
      <c r="AX74" s="921"/>
      <c r="AY74" s="838"/>
      <c r="BA74" s="920"/>
      <c r="BB74" s="921"/>
      <c r="BC74" s="920"/>
      <c r="BD74" s="921"/>
      <c r="BE74" s="921"/>
      <c r="BF74" s="838"/>
      <c r="BH74" s="920"/>
      <c r="BI74" s="921"/>
      <c r="BJ74" s="920"/>
      <c r="BK74" s="921"/>
      <c r="BL74" s="921"/>
      <c r="BM74" s="838"/>
      <c r="BO74" s="837"/>
      <c r="BP74" s="838"/>
      <c r="BQ74" s="837"/>
      <c r="BR74" s="838"/>
      <c r="BS74" s="838"/>
      <c r="BT74" s="838"/>
      <c r="BV74" s="837"/>
      <c r="BW74" s="838"/>
      <c r="BX74" s="837"/>
      <c r="BY74" s="838"/>
      <c r="BZ74" s="838"/>
      <c r="CA74" s="838"/>
      <c r="CC74" s="837"/>
      <c r="CD74" s="838"/>
      <c r="CE74" s="837"/>
      <c r="CF74" s="838"/>
      <c r="CG74" s="838"/>
      <c r="CH74" s="953"/>
    </row>
    <row r="75" spans="1:86" x14ac:dyDescent="0.2">
      <c r="A75" s="838"/>
      <c r="B75" s="838"/>
      <c r="C75" s="838" t="s">
        <v>3480</v>
      </c>
      <c r="D75" s="922">
        <v>1902000</v>
      </c>
      <c r="E75" s="922"/>
      <c r="F75" s="922">
        <v>1992000</v>
      </c>
      <c r="G75" s="922"/>
      <c r="H75" s="922"/>
      <c r="I75" s="953">
        <f>SUM(D75:H75)</f>
        <v>3894000</v>
      </c>
      <c r="K75" s="922">
        <v>2025857</v>
      </c>
      <c r="L75" s="922"/>
      <c r="M75" s="922">
        <v>1643664</v>
      </c>
      <c r="N75" s="922"/>
      <c r="O75" s="953"/>
      <c r="P75" s="953">
        <f>SUM(K75:O75)</f>
        <v>3669521</v>
      </c>
      <c r="R75" s="922"/>
      <c r="S75" s="922"/>
      <c r="T75" s="922">
        <v>1684450</v>
      </c>
      <c r="U75" s="922"/>
      <c r="V75" s="922"/>
      <c r="W75" s="953">
        <f>SUM(R75:V75)</f>
        <v>1684450</v>
      </c>
      <c r="Y75" s="922">
        <v>1968000</v>
      </c>
      <c r="Z75" s="921"/>
      <c r="AA75" s="922"/>
      <c r="AB75" s="921"/>
      <c r="AC75" s="921"/>
      <c r="AD75" s="953">
        <f>SUM(Y75:AC75)</f>
        <v>1968000</v>
      </c>
      <c r="AF75" s="922"/>
      <c r="AG75" s="922"/>
      <c r="AH75" s="953"/>
      <c r="AI75" s="952"/>
      <c r="AJ75" s="922"/>
      <c r="AK75" s="953">
        <f>SUM(AF75:AJ75)</f>
        <v>0</v>
      </c>
      <c r="AM75" s="922"/>
      <c r="AN75" s="921"/>
      <c r="AO75" s="922"/>
      <c r="AP75" s="921"/>
      <c r="AQ75" s="921"/>
      <c r="AR75" s="953">
        <f>SUM(AM75:AQ75)</f>
        <v>0</v>
      </c>
      <c r="AT75" s="922"/>
      <c r="AU75" s="922"/>
      <c r="AV75" s="922"/>
      <c r="AW75" s="922"/>
      <c r="AX75" s="922"/>
      <c r="AY75" s="953">
        <f>SUM(AT75:AX75)</f>
        <v>0</v>
      </c>
      <c r="BA75" s="922"/>
      <c r="BB75" s="922"/>
      <c r="BC75" s="922"/>
      <c r="BD75" s="922"/>
      <c r="BE75" s="922"/>
      <c r="BF75" s="953">
        <f>SUM(BA75:BE75)</f>
        <v>0</v>
      </c>
      <c r="BH75" s="922"/>
      <c r="BI75" s="922"/>
      <c r="BJ75" s="922"/>
      <c r="BK75" s="922"/>
      <c r="BL75" s="922"/>
      <c r="BM75" s="953">
        <f>SUM(BH75:BL75)</f>
        <v>0</v>
      </c>
      <c r="BO75" s="953"/>
      <c r="BP75" s="953"/>
      <c r="BQ75" s="953"/>
      <c r="BR75" s="953"/>
      <c r="BS75" s="953"/>
      <c r="BT75" s="953">
        <f>SUM(BO75:BS75)</f>
        <v>0</v>
      </c>
      <c r="BV75" s="953"/>
      <c r="BW75" s="953"/>
      <c r="BX75" s="953"/>
      <c r="BY75" s="953"/>
      <c r="BZ75" s="953"/>
      <c r="CA75" s="953">
        <f>SUM(BV75:BZ75)</f>
        <v>0</v>
      </c>
      <c r="CB75" s="719"/>
      <c r="CC75" s="953"/>
      <c r="CD75" s="953"/>
      <c r="CE75" s="953"/>
      <c r="CF75" s="838"/>
      <c r="CG75" s="838"/>
      <c r="CH75" s="953">
        <f>SUM(CC75:CG75)</f>
        <v>0</v>
      </c>
    </row>
    <row r="76" spans="1:86" x14ac:dyDescent="0.2">
      <c r="A76" s="838">
        <v>4</v>
      </c>
      <c r="B76" s="838" t="s">
        <v>82</v>
      </c>
      <c r="C76" s="838" t="s">
        <v>114</v>
      </c>
      <c r="D76" s="1130">
        <v>44606</v>
      </c>
      <c r="E76" s="1130"/>
      <c r="F76" s="1130">
        <v>44613</v>
      </c>
      <c r="G76" s="1130"/>
      <c r="H76" s="1130"/>
      <c r="I76" s="953"/>
      <c r="K76" s="1130">
        <v>44629</v>
      </c>
      <c r="L76" s="922"/>
      <c r="M76" s="1136">
        <v>44641</v>
      </c>
      <c r="N76" s="922"/>
      <c r="O76" s="953"/>
      <c r="P76" s="953"/>
      <c r="R76" s="952">
        <v>44655</v>
      </c>
      <c r="S76" s="952"/>
      <c r="T76" s="952">
        <v>44676</v>
      </c>
      <c r="U76" s="952"/>
      <c r="V76" s="952"/>
      <c r="W76" s="1106"/>
      <c r="Y76" s="952"/>
      <c r="Z76" s="952"/>
      <c r="AA76" s="919"/>
      <c r="AB76" s="952"/>
      <c r="AC76" s="952"/>
      <c r="AD76" s="953"/>
      <c r="AF76" s="952"/>
      <c r="AG76" s="952"/>
      <c r="AH76" s="837"/>
      <c r="AI76" s="952"/>
      <c r="AJ76" s="952"/>
      <c r="AK76" s="953"/>
      <c r="AM76" s="920"/>
      <c r="AN76" s="922"/>
      <c r="AO76" s="920"/>
      <c r="AP76" s="921"/>
      <c r="AQ76" s="921"/>
      <c r="AR76" s="953"/>
      <c r="AT76" s="920"/>
      <c r="AU76" s="921"/>
      <c r="AV76" s="920"/>
      <c r="AW76" s="921"/>
      <c r="AX76" s="921"/>
      <c r="AY76" s="838"/>
      <c r="BA76" s="920"/>
      <c r="BB76" s="921"/>
      <c r="BC76" s="920"/>
      <c r="BD76" s="921"/>
      <c r="BE76" s="921"/>
      <c r="BF76" s="838"/>
      <c r="BH76" s="920"/>
      <c r="BI76" s="921"/>
      <c r="BJ76" s="920"/>
      <c r="BK76" s="921"/>
      <c r="BL76" s="921"/>
      <c r="BM76" s="838"/>
      <c r="BO76" s="837"/>
      <c r="BP76" s="838"/>
      <c r="BQ76" s="837"/>
      <c r="BR76" s="838"/>
      <c r="BS76" s="838"/>
      <c r="BT76" s="838"/>
      <c r="BV76" s="837"/>
      <c r="BW76" s="838"/>
      <c r="BX76" s="837"/>
      <c r="BY76" s="838"/>
      <c r="BZ76" s="838"/>
      <c r="CA76" s="838"/>
      <c r="CC76" s="837"/>
      <c r="CD76" s="838"/>
      <c r="CE76" s="837"/>
      <c r="CF76" s="838"/>
      <c r="CG76" s="838"/>
      <c r="CH76" s="953"/>
    </row>
    <row r="77" spans="1:86" x14ac:dyDescent="0.2">
      <c r="A77" s="838"/>
      <c r="B77" s="838"/>
      <c r="C77" s="838" t="s">
        <v>3480</v>
      </c>
      <c r="D77" s="922">
        <v>1431833</v>
      </c>
      <c r="E77" s="922"/>
      <c r="F77" s="922">
        <v>1118677</v>
      </c>
      <c r="G77" s="922"/>
      <c r="H77" s="922"/>
      <c r="I77" s="953">
        <f>SUM(D77:H77)</f>
        <v>2550510</v>
      </c>
      <c r="J77" s="719"/>
      <c r="K77" s="922">
        <v>1148350</v>
      </c>
      <c r="L77" s="922"/>
      <c r="M77" s="922">
        <v>738833</v>
      </c>
      <c r="N77" s="922"/>
      <c r="O77" s="953"/>
      <c r="P77" s="953">
        <f>SUM(K77:O77)</f>
        <v>1887183</v>
      </c>
      <c r="R77" s="922">
        <v>1125000</v>
      </c>
      <c r="S77" s="922"/>
      <c r="T77" s="922">
        <v>1674000</v>
      </c>
      <c r="U77" s="922"/>
      <c r="V77" s="922"/>
      <c r="W77" s="953">
        <f>SUM(R77:V77)</f>
        <v>2799000</v>
      </c>
      <c r="Y77" s="922"/>
      <c r="Z77" s="921"/>
      <c r="AA77" s="922"/>
      <c r="AB77" s="921"/>
      <c r="AC77" s="921"/>
      <c r="AD77" s="953">
        <f>SUM(Y77:AC77)</f>
        <v>0</v>
      </c>
      <c r="AF77" s="922"/>
      <c r="AG77" s="921"/>
      <c r="AH77" s="953"/>
      <c r="AI77" s="922"/>
      <c r="AJ77" s="921"/>
      <c r="AK77" s="953">
        <f>SUM(AF77:AJ77)</f>
        <v>0</v>
      </c>
      <c r="AM77" s="922"/>
      <c r="AN77" s="921"/>
      <c r="AO77" s="922"/>
      <c r="AP77" s="921"/>
      <c r="AQ77" s="921"/>
      <c r="AR77" s="953">
        <f>SUM(AM77:AQ77)</f>
        <v>0</v>
      </c>
      <c r="AT77" s="922"/>
      <c r="AU77" s="922"/>
      <c r="AV77" s="922"/>
      <c r="AW77" s="922"/>
      <c r="AX77" s="922"/>
      <c r="AY77" s="953">
        <f>SUM(AT77:AX77)</f>
        <v>0</v>
      </c>
      <c r="BA77" s="922"/>
      <c r="BB77" s="922"/>
      <c r="BC77" s="922"/>
      <c r="BD77" s="922"/>
      <c r="BE77" s="922"/>
      <c r="BF77" s="953">
        <f>SUM(BA77:BE77)</f>
        <v>0</v>
      </c>
      <c r="BH77" s="922"/>
      <c r="BI77" s="922"/>
      <c r="BJ77" s="922"/>
      <c r="BK77" s="922"/>
      <c r="BL77" s="922"/>
      <c r="BM77" s="953">
        <f>SUM(BH77:BL77)</f>
        <v>0</v>
      </c>
      <c r="BO77" s="953"/>
      <c r="BP77" s="953"/>
      <c r="BQ77" s="953"/>
      <c r="BR77" s="953"/>
      <c r="BS77" s="953"/>
      <c r="BT77" s="953">
        <f>SUM(BO77:BS77)</f>
        <v>0</v>
      </c>
      <c r="BV77" s="953"/>
      <c r="BW77" s="953"/>
      <c r="BX77" s="953"/>
      <c r="BY77" s="953"/>
      <c r="BZ77" s="953"/>
      <c r="CA77" s="953">
        <f>SUM(BV77:BZ77)</f>
        <v>0</v>
      </c>
      <c r="CB77" s="719"/>
      <c r="CC77" s="953"/>
      <c r="CD77" s="953"/>
      <c r="CE77" s="953"/>
      <c r="CF77" s="953"/>
      <c r="CG77" s="838"/>
      <c r="CH77" s="953">
        <f>SUM(CC77:CG77)</f>
        <v>0</v>
      </c>
    </row>
    <row r="78" spans="1:86" x14ac:dyDescent="0.2">
      <c r="A78" s="838">
        <v>5</v>
      </c>
      <c r="B78" s="838" t="s">
        <v>86</v>
      </c>
      <c r="C78" s="838" t="s">
        <v>114</v>
      </c>
      <c r="D78" s="1130">
        <v>44606</v>
      </c>
      <c r="E78" s="1130"/>
      <c r="F78" s="1130">
        <v>44613</v>
      </c>
      <c r="G78" s="1130"/>
      <c r="H78" s="1130"/>
      <c r="I78" s="953"/>
      <c r="K78" s="1130">
        <v>44629</v>
      </c>
      <c r="L78" s="922"/>
      <c r="M78" s="1136">
        <v>44641</v>
      </c>
      <c r="N78" s="922"/>
      <c r="O78" s="953"/>
      <c r="P78" s="953"/>
      <c r="R78" s="952">
        <v>44655</v>
      </c>
      <c r="S78" s="921"/>
      <c r="T78" s="920">
        <v>44676</v>
      </c>
      <c r="U78" s="921"/>
      <c r="V78" s="921"/>
      <c r="W78" s="1106"/>
      <c r="Y78" s="952">
        <v>44708</v>
      </c>
      <c r="Z78" s="952"/>
      <c r="AA78" s="920"/>
      <c r="AB78" s="952"/>
      <c r="AC78" s="952"/>
      <c r="AD78" s="953"/>
      <c r="AF78" s="920"/>
      <c r="AG78" s="921"/>
      <c r="AH78" s="837"/>
      <c r="AI78" s="921"/>
      <c r="AJ78" s="921"/>
      <c r="AK78" s="953"/>
      <c r="AM78" s="920"/>
      <c r="AN78" s="922"/>
      <c r="AO78" s="920"/>
      <c r="AP78" s="921"/>
      <c r="AQ78" s="921"/>
      <c r="AR78" s="953"/>
      <c r="AT78" s="920"/>
      <c r="AU78" s="921"/>
      <c r="AV78" s="920"/>
      <c r="AW78" s="921"/>
      <c r="AX78" s="921"/>
      <c r="AY78" s="838"/>
      <c r="BA78" s="920"/>
      <c r="BB78" s="922"/>
      <c r="BC78" s="920"/>
      <c r="BD78" s="921"/>
      <c r="BE78" s="921"/>
      <c r="BF78" s="838"/>
      <c r="BH78" s="920"/>
      <c r="BI78" s="921"/>
      <c r="BJ78" s="920"/>
      <c r="BK78" s="921"/>
      <c r="BL78" s="921"/>
      <c r="BM78" s="838"/>
      <c r="BO78" s="837"/>
      <c r="BP78" s="838"/>
      <c r="BQ78" s="837"/>
      <c r="BR78" s="838"/>
      <c r="BS78" s="838"/>
      <c r="BT78" s="838"/>
      <c r="BV78" s="837"/>
      <c r="BW78" s="838"/>
      <c r="BX78" s="837"/>
      <c r="BY78" s="838"/>
      <c r="BZ78" s="838"/>
      <c r="CA78" s="838"/>
      <c r="CC78" s="837"/>
      <c r="CD78" s="838"/>
      <c r="CE78" s="837"/>
      <c r="CF78" s="838"/>
      <c r="CG78" s="838"/>
      <c r="CH78" s="953"/>
    </row>
    <row r="79" spans="1:86" x14ac:dyDescent="0.2">
      <c r="A79" s="838"/>
      <c r="B79" s="838"/>
      <c r="C79" s="838" t="s">
        <v>3480</v>
      </c>
      <c r="D79" s="922">
        <v>1704000</v>
      </c>
      <c r="E79" s="922"/>
      <c r="F79" s="922">
        <v>1728000</v>
      </c>
      <c r="G79" s="922"/>
      <c r="H79" s="922"/>
      <c r="I79" s="953">
        <f>SUM(D79:H79)</f>
        <v>3432000</v>
      </c>
      <c r="K79" s="922">
        <v>2118167</v>
      </c>
      <c r="L79" s="922"/>
      <c r="M79" s="922">
        <v>1445706</v>
      </c>
      <c r="N79" s="922"/>
      <c r="O79" s="953"/>
      <c r="P79" s="953">
        <f>SUM(K79:O79)</f>
        <v>3563873</v>
      </c>
      <c r="R79" s="922">
        <v>1837500</v>
      </c>
      <c r="S79" s="922"/>
      <c r="T79" s="922">
        <v>2189688</v>
      </c>
      <c r="U79" s="922"/>
      <c r="V79" s="922"/>
      <c r="W79" s="953">
        <f>SUM(R79:V79)</f>
        <v>4027188</v>
      </c>
      <c r="Y79" s="922">
        <v>1611219</v>
      </c>
      <c r="Z79" s="921"/>
      <c r="AA79" s="922"/>
      <c r="AB79" s="921"/>
      <c r="AC79" s="921"/>
      <c r="AD79" s="953">
        <f>SUM(Y79:AC79)</f>
        <v>1611219</v>
      </c>
      <c r="AF79" s="922"/>
      <c r="AG79" s="922"/>
      <c r="AH79" s="953"/>
      <c r="AI79" s="922"/>
      <c r="AJ79" s="922"/>
      <c r="AK79" s="953">
        <f>SUM(AF79:AJ79)</f>
        <v>0</v>
      </c>
      <c r="AM79" s="922"/>
      <c r="AN79" s="921"/>
      <c r="AO79" s="922"/>
      <c r="AP79" s="921"/>
      <c r="AQ79" s="921"/>
      <c r="AR79" s="953">
        <f>SUM(AM79:AQ79)</f>
        <v>0</v>
      </c>
      <c r="AT79" s="922"/>
      <c r="AU79" s="922"/>
      <c r="AV79" s="922"/>
      <c r="AW79" s="922"/>
      <c r="AX79" s="922"/>
      <c r="AY79" s="953">
        <f>SUM(AT79:AX79)</f>
        <v>0</v>
      </c>
      <c r="BA79" s="922"/>
      <c r="BB79" s="922"/>
      <c r="BC79" s="922"/>
      <c r="BD79" s="922"/>
      <c r="BE79" s="922"/>
      <c r="BF79" s="953">
        <f>SUM(BA79:BE79)</f>
        <v>0</v>
      </c>
      <c r="BH79" s="922"/>
      <c r="BI79" s="922"/>
      <c r="BJ79" s="922"/>
      <c r="BK79" s="922"/>
      <c r="BL79" s="922"/>
      <c r="BM79" s="953">
        <f>SUM(BH79:BL79)</f>
        <v>0</v>
      </c>
      <c r="BO79" s="953"/>
      <c r="BP79" s="953"/>
      <c r="BQ79" s="953"/>
      <c r="BR79" s="953"/>
      <c r="BS79" s="953"/>
      <c r="BT79" s="953">
        <f>SUM(BO79:BS79)</f>
        <v>0</v>
      </c>
      <c r="BV79" s="953"/>
      <c r="BW79" s="953"/>
      <c r="BX79" s="953"/>
      <c r="BY79" s="953"/>
      <c r="BZ79" s="953"/>
      <c r="CA79" s="953">
        <f>SUM(BV79:BZ79)</f>
        <v>0</v>
      </c>
      <c r="CB79" s="719"/>
      <c r="CC79" s="953"/>
      <c r="CD79" s="953"/>
      <c r="CE79" s="953"/>
      <c r="CF79" s="838"/>
      <c r="CG79" s="838"/>
      <c r="CH79" s="953">
        <f>SUM(CC79:CG79)</f>
        <v>0</v>
      </c>
    </row>
    <row r="80" spans="1:86" x14ac:dyDescent="0.2">
      <c r="A80" s="838">
        <v>6</v>
      </c>
      <c r="B80" s="838" t="s">
        <v>87</v>
      </c>
      <c r="C80" s="838" t="s">
        <v>114</v>
      </c>
      <c r="D80" s="1130">
        <v>44606</v>
      </c>
      <c r="E80" s="1130"/>
      <c r="F80" s="1130">
        <v>44613</v>
      </c>
      <c r="G80" s="1130"/>
      <c r="H80" s="1130"/>
      <c r="I80" s="953"/>
      <c r="K80" s="1130">
        <v>44629</v>
      </c>
      <c r="L80" s="922"/>
      <c r="M80" s="1136">
        <v>44641</v>
      </c>
      <c r="N80" s="922"/>
      <c r="O80" s="953"/>
      <c r="P80" s="953"/>
      <c r="R80" s="920"/>
      <c r="S80" s="921"/>
      <c r="T80" s="920">
        <v>44676</v>
      </c>
      <c r="U80" s="921"/>
      <c r="V80" s="921"/>
      <c r="W80" s="1106"/>
      <c r="Y80" s="952">
        <v>44708</v>
      </c>
      <c r="Z80" s="952"/>
      <c r="AA80" s="920"/>
      <c r="AB80" s="952"/>
      <c r="AC80" s="952"/>
      <c r="AD80" s="953"/>
      <c r="AF80" s="920"/>
      <c r="AG80" s="921"/>
      <c r="AH80" s="837"/>
      <c r="AI80" s="921"/>
      <c r="AJ80" s="921"/>
      <c r="AK80" s="953"/>
      <c r="AM80" s="920"/>
      <c r="AN80" s="922"/>
      <c r="AO80" s="920"/>
      <c r="AP80" s="921"/>
      <c r="AQ80" s="921"/>
      <c r="AR80" s="953"/>
      <c r="AT80" s="920"/>
      <c r="AU80" s="921"/>
      <c r="AV80" s="1134"/>
      <c r="AW80" s="1135"/>
      <c r="AX80" s="921"/>
      <c r="AY80" s="838"/>
      <c r="BA80" s="920"/>
      <c r="BB80" s="921"/>
      <c r="BC80" s="920"/>
      <c r="BD80" s="921"/>
      <c r="BE80" s="921"/>
      <c r="BF80" s="838"/>
      <c r="BH80" s="920"/>
      <c r="BI80" s="921"/>
      <c r="BJ80" s="920"/>
      <c r="BK80" s="921"/>
      <c r="BL80" s="921"/>
      <c r="BM80" s="838"/>
      <c r="BO80" s="837"/>
      <c r="BP80" s="838"/>
      <c r="BQ80" s="837"/>
      <c r="BR80" s="838"/>
      <c r="BS80" s="838"/>
      <c r="BT80" s="838"/>
      <c r="BV80" s="837"/>
      <c r="BW80" s="838"/>
      <c r="BX80" s="837"/>
      <c r="BY80" s="838"/>
      <c r="BZ80" s="838"/>
      <c r="CA80" s="838"/>
      <c r="CC80" s="837"/>
      <c r="CD80" s="838"/>
      <c r="CE80" s="837"/>
      <c r="CF80" s="838"/>
      <c r="CG80" s="838"/>
      <c r="CH80" s="953"/>
    </row>
    <row r="81" spans="1:86" x14ac:dyDescent="0.2">
      <c r="A81" s="838"/>
      <c r="B81" s="838"/>
      <c r="C81" s="838" t="s">
        <v>3480</v>
      </c>
      <c r="D81" s="922">
        <v>2975831</v>
      </c>
      <c r="E81" s="922"/>
      <c r="F81" s="922">
        <v>3334050</v>
      </c>
      <c r="G81" s="922"/>
      <c r="H81" s="922"/>
      <c r="I81" s="953">
        <f>SUM(D81:H81)</f>
        <v>6309881</v>
      </c>
      <c r="K81" s="922">
        <v>2960125</v>
      </c>
      <c r="L81" s="922"/>
      <c r="M81" s="922">
        <v>3187800</v>
      </c>
      <c r="N81" s="922"/>
      <c r="O81" s="953"/>
      <c r="P81" s="953">
        <f>SUM(K81:O81)</f>
        <v>6147925</v>
      </c>
      <c r="R81" s="922"/>
      <c r="S81" s="922"/>
      <c r="T81" s="922">
        <v>3993450</v>
      </c>
      <c r="U81" s="922"/>
      <c r="V81" s="922"/>
      <c r="W81" s="1106">
        <f>SUM(R81:V81)</f>
        <v>3993450</v>
      </c>
      <c r="Y81" s="922">
        <v>3602925</v>
      </c>
      <c r="Z81" s="921"/>
      <c r="AA81" s="922"/>
      <c r="AB81" s="921"/>
      <c r="AC81" s="921"/>
      <c r="AD81" s="953">
        <f>SUM(Y81:AC81)</f>
        <v>3602925</v>
      </c>
      <c r="AF81" s="922"/>
      <c r="AG81" s="922"/>
      <c r="AH81" s="953"/>
      <c r="AI81" s="922"/>
      <c r="AJ81" s="922"/>
      <c r="AK81" s="953">
        <f>SUM(AF81:AJ81)</f>
        <v>0</v>
      </c>
      <c r="AM81" s="922"/>
      <c r="AN81" s="921"/>
      <c r="AO81" s="922"/>
      <c r="AP81" s="922"/>
      <c r="AQ81" s="921"/>
      <c r="AR81" s="953">
        <f>SUM(AM81:AQ81)</f>
        <v>0</v>
      </c>
      <c r="AT81" s="922"/>
      <c r="AU81" s="922"/>
      <c r="AV81" s="922"/>
      <c r="AW81" s="922"/>
      <c r="AX81" s="921"/>
      <c r="AY81" s="838">
        <f>SUM(AT81:AX81)</f>
        <v>0</v>
      </c>
      <c r="BA81" s="922"/>
      <c r="BB81" s="922"/>
      <c r="BC81" s="922"/>
      <c r="BD81" s="922"/>
      <c r="BE81" s="922"/>
      <c r="BF81" s="953">
        <f>SUM(BA81:BE81)</f>
        <v>0</v>
      </c>
      <c r="BH81" s="922"/>
      <c r="BI81" s="922"/>
      <c r="BJ81" s="922"/>
      <c r="BK81" s="922"/>
      <c r="BL81" s="922"/>
      <c r="BM81" s="953">
        <f>SUM(BH81:BL81)</f>
        <v>0</v>
      </c>
      <c r="BO81" s="953"/>
      <c r="BP81" s="953"/>
      <c r="BQ81" s="953"/>
      <c r="BR81" s="953"/>
      <c r="BS81" s="953"/>
      <c r="BT81" s="953">
        <f>SUM(BO81:BS81)</f>
        <v>0</v>
      </c>
      <c r="BV81" s="953"/>
      <c r="BW81" s="953"/>
      <c r="BX81" s="953"/>
      <c r="BY81" s="953"/>
      <c r="BZ81" s="953"/>
      <c r="CA81" s="953">
        <f>SUM(BV81:BZ81)</f>
        <v>0</v>
      </c>
      <c r="CB81" s="719"/>
      <c r="CC81" s="953"/>
      <c r="CD81" s="953"/>
      <c r="CE81" s="953"/>
      <c r="CF81" s="838"/>
      <c r="CG81" s="838"/>
      <c r="CH81" s="953">
        <f>SUM(CC81:CG81)</f>
        <v>0</v>
      </c>
    </row>
    <row r="82" spans="1:86" x14ac:dyDescent="0.2">
      <c r="A82" s="838">
        <v>7</v>
      </c>
      <c r="B82" s="838" t="s">
        <v>77</v>
      </c>
      <c r="C82" s="838" t="s">
        <v>114</v>
      </c>
      <c r="D82" s="1130">
        <v>44606</v>
      </c>
      <c r="E82" s="1130"/>
      <c r="F82" s="1130">
        <v>44613</v>
      </c>
      <c r="G82" s="1130"/>
      <c r="H82" s="1130"/>
      <c r="I82" s="953"/>
      <c r="K82" s="1130">
        <v>44629</v>
      </c>
      <c r="L82" s="1136"/>
      <c r="M82" s="1136">
        <v>44641</v>
      </c>
      <c r="N82" s="1136"/>
      <c r="O82" s="1137"/>
      <c r="P82" s="1137"/>
      <c r="R82" s="952"/>
      <c r="S82" s="952"/>
      <c r="T82" s="952"/>
      <c r="U82" s="952"/>
      <c r="V82" s="952"/>
      <c r="W82" s="1106"/>
      <c r="Y82" s="952">
        <v>44708</v>
      </c>
      <c r="Z82" s="952"/>
      <c r="AA82" s="920"/>
      <c r="AB82" s="952"/>
      <c r="AC82" s="952"/>
      <c r="AD82" s="953"/>
      <c r="AF82" s="920"/>
      <c r="AG82" s="921"/>
      <c r="AH82" s="837"/>
      <c r="AI82" s="921"/>
      <c r="AJ82" s="921"/>
      <c r="AK82" s="953"/>
      <c r="AM82" s="920"/>
      <c r="AN82" s="922"/>
      <c r="AO82" s="920"/>
      <c r="AP82" s="921"/>
      <c r="AQ82" s="921"/>
      <c r="AR82" s="953"/>
      <c r="AT82" s="920"/>
      <c r="AU82" s="921"/>
      <c r="AV82" s="920"/>
      <c r="AW82" s="921"/>
      <c r="AX82" s="921"/>
      <c r="AY82" s="838"/>
      <c r="BA82" s="920"/>
      <c r="BB82" s="921"/>
      <c r="BC82" s="920"/>
      <c r="BD82" s="921"/>
      <c r="BE82" s="921"/>
      <c r="BF82" s="838"/>
      <c r="BH82" s="920"/>
      <c r="BI82" s="921"/>
      <c r="BJ82" s="920"/>
      <c r="BK82" s="921"/>
      <c r="BL82" s="921"/>
      <c r="BM82" s="838"/>
      <c r="BO82" s="837"/>
      <c r="BP82" s="838"/>
      <c r="BQ82" s="837"/>
      <c r="BR82" s="838"/>
      <c r="BS82" s="838"/>
      <c r="BT82" s="838"/>
      <c r="BV82" s="837"/>
      <c r="BW82" s="838"/>
      <c r="BX82" s="837"/>
      <c r="BY82" s="838"/>
      <c r="BZ82" s="838"/>
      <c r="CA82" s="838"/>
      <c r="CC82" s="837"/>
      <c r="CD82" s="838"/>
      <c r="CE82" s="837"/>
      <c r="CF82" s="838"/>
      <c r="CG82" s="838"/>
      <c r="CH82" s="953"/>
    </row>
    <row r="83" spans="1:86" x14ac:dyDescent="0.2">
      <c r="A83" s="838"/>
      <c r="B83" s="838"/>
      <c r="C83" s="838" t="s">
        <v>3480</v>
      </c>
      <c r="D83" s="922">
        <v>4470000</v>
      </c>
      <c r="E83" s="922"/>
      <c r="F83" s="922">
        <v>3938943</v>
      </c>
      <c r="G83" s="922"/>
      <c r="H83" s="922"/>
      <c r="I83" s="953">
        <f>SUM(D83:H83)</f>
        <v>8408943</v>
      </c>
      <c r="K83" s="922">
        <v>3976500</v>
      </c>
      <c r="L83" s="922"/>
      <c r="M83" s="922">
        <v>3846964</v>
      </c>
      <c r="N83" s="922"/>
      <c r="O83" s="953"/>
      <c r="P83" s="953">
        <f>SUM(K83:O83)</f>
        <v>7823464</v>
      </c>
      <c r="R83" s="921"/>
      <c r="S83" s="921"/>
      <c r="T83" s="921"/>
      <c r="U83" s="921"/>
      <c r="V83" s="921"/>
      <c r="W83" s="1106">
        <f>SUM(R83:V83)</f>
        <v>0</v>
      </c>
      <c r="Y83" s="922">
        <v>4110000</v>
      </c>
      <c r="Z83" s="921"/>
      <c r="AA83" s="922"/>
      <c r="AB83" s="921"/>
      <c r="AC83" s="921"/>
      <c r="AD83" s="953">
        <f>SUM(Y83:AC83)</f>
        <v>4110000</v>
      </c>
      <c r="AF83" s="922"/>
      <c r="AG83" s="922"/>
      <c r="AH83" s="953"/>
      <c r="AI83" s="922"/>
      <c r="AJ83" s="921"/>
      <c r="AK83" s="953">
        <f>SUM(AF83:AJ83)</f>
        <v>0</v>
      </c>
      <c r="AM83" s="922"/>
      <c r="AN83" s="922"/>
      <c r="AO83" s="922"/>
      <c r="AP83" s="922"/>
      <c r="AQ83" s="922"/>
      <c r="AR83" s="953">
        <f>SUM(AM83:AQ83)</f>
        <v>0</v>
      </c>
      <c r="AT83" s="922"/>
      <c r="AU83" s="922"/>
      <c r="AV83" s="922"/>
      <c r="AW83" s="922"/>
      <c r="AX83" s="921"/>
      <c r="AY83" s="838">
        <f>SUM(AT83:AX83)</f>
        <v>0</v>
      </c>
      <c r="BA83" s="922"/>
      <c r="BB83" s="922"/>
      <c r="BC83" s="922"/>
      <c r="BD83" s="922"/>
      <c r="BE83" s="922"/>
      <c r="BF83" s="953">
        <f>SUM(BA83:BE83)</f>
        <v>0</v>
      </c>
      <c r="BH83" s="922"/>
      <c r="BI83" s="922"/>
      <c r="BJ83" s="922"/>
      <c r="BK83" s="922"/>
      <c r="BL83" s="922"/>
      <c r="BM83" s="953">
        <f>SUM(BH83:BL83)</f>
        <v>0</v>
      </c>
      <c r="BO83" s="953"/>
      <c r="BP83" s="953"/>
      <c r="BQ83" s="953"/>
      <c r="BR83" s="953"/>
      <c r="BS83" s="953"/>
      <c r="BT83" s="953">
        <f>SUM(BO83:BS83)</f>
        <v>0</v>
      </c>
      <c r="BV83" s="953"/>
      <c r="BW83" s="953"/>
      <c r="BX83" s="953"/>
      <c r="BY83" s="953"/>
      <c r="BZ83" s="953"/>
      <c r="CA83" s="953">
        <f>SUM(BV83:BZ83)</f>
        <v>0</v>
      </c>
      <c r="CB83" s="719"/>
      <c r="CC83" s="953"/>
      <c r="CD83" s="953"/>
      <c r="CE83" s="953"/>
      <c r="CF83" s="838"/>
      <c r="CG83" s="838"/>
      <c r="CH83" s="953">
        <f>SUM(CC83:CG83)</f>
        <v>0</v>
      </c>
    </row>
    <row r="84" spans="1:86" x14ac:dyDescent="0.2">
      <c r="A84" s="838">
        <v>8</v>
      </c>
      <c r="B84" s="838" t="s">
        <v>84</v>
      </c>
      <c r="C84" s="838" t="s">
        <v>114</v>
      </c>
      <c r="D84" s="1130">
        <v>44606</v>
      </c>
      <c r="E84" s="1130"/>
      <c r="F84" s="1130">
        <v>44613</v>
      </c>
      <c r="G84" s="1130"/>
      <c r="H84" s="1130"/>
      <c r="I84" s="953"/>
      <c r="K84" s="1130">
        <v>44629</v>
      </c>
      <c r="L84" s="1136"/>
      <c r="M84" s="1136">
        <v>44641</v>
      </c>
      <c r="N84" s="1136"/>
      <c r="O84" s="1137"/>
      <c r="P84" s="1137"/>
      <c r="R84" s="952">
        <v>44655</v>
      </c>
      <c r="S84" s="952"/>
      <c r="T84" s="952">
        <v>44676</v>
      </c>
      <c r="U84" s="952"/>
      <c r="V84" s="952"/>
      <c r="W84" s="1106"/>
      <c r="Y84" s="952">
        <v>44708</v>
      </c>
      <c r="Z84" s="952"/>
      <c r="AA84" s="920"/>
      <c r="AB84" s="952"/>
      <c r="AC84" s="952"/>
      <c r="AD84" s="953"/>
      <c r="AF84" s="920"/>
      <c r="AG84" s="921"/>
      <c r="AH84" s="837"/>
      <c r="AI84" s="921"/>
      <c r="AJ84" s="921"/>
      <c r="AK84" s="953"/>
      <c r="AM84" s="920"/>
      <c r="AN84" s="922"/>
      <c r="AO84" s="920"/>
      <c r="AP84" s="921"/>
      <c r="AQ84" s="921"/>
      <c r="AR84" s="953"/>
      <c r="AT84" s="920"/>
      <c r="AU84" s="921"/>
      <c r="AV84" s="920"/>
      <c r="AW84" s="921"/>
      <c r="AX84" s="921"/>
      <c r="AY84" s="838"/>
      <c r="BA84" s="920"/>
      <c r="BB84" s="921"/>
      <c r="BC84" s="920"/>
      <c r="BD84" s="921"/>
      <c r="BE84" s="921"/>
      <c r="BF84" s="838"/>
      <c r="BH84" s="920"/>
      <c r="BI84" s="921"/>
      <c r="BJ84" s="920"/>
      <c r="BK84" s="921"/>
      <c r="BL84" s="921"/>
      <c r="BM84" s="838"/>
      <c r="BO84" s="837"/>
      <c r="BP84" s="838"/>
      <c r="BQ84" s="837"/>
      <c r="BR84" s="838"/>
      <c r="BS84" s="838"/>
      <c r="BT84" s="838"/>
      <c r="BV84" s="837"/>
      <c r="BW84" s="838"/>
      <c r="BX84" s="837"/>
      <c r="BY84" s="838"/>
      <c r="BZ84" s="838"/>
      <c r="CA84" s="838"/>
      <c r="CC84" s="837"/>
      <c r="CD84" s="838"/>
      <c r="CE84" s="837"/>
      <c r="CF84" s="838"/>
      <c r="CG84" s="838"/>
      <c r="CH84" s="953"/>
    </row>
    <row r="85" spans="1:86" x14ac:dyDescent="0.2">
      <c r="A85" s="838"/>
      <c r="B85" s="838"/>
      <c r="C85" s="838" t="s">
        <v>3480</v>
      </c>
      <c r="D85" s="922">
        <v>5197600</v>
      </c>
      <c r="E85" s="922"/>
      <c r="F85" s="922">
        <v>5621344</v>
      </c>
      <c r="G85" s="922"/>
      <c r="H85" s="922"/>
      <c r="I85" s="953">
        <f>SUM(D85:H85)</f>
        <v>10818944</v>
      </c>
      <c r="K85" s="922">
        <v>5319283</v>
      </c>
      <c r="L85" s="922"/>
      <c r="M85" s="922">
        <v>5151213</v>
      </c>
      <c r="N85" s="922"/>
      <c r="O85" s="953"/>
      <c r="P85" s="953">
        <f>SUM(K85:O85)</f>
        <v>10470496</v>
      </c>
      <c r="R85" s="922">
        <v>5531350</v>
      </c>
      <c r="S85" s="921"/>
      <c r="T85" s="922">
        <v>5413826</v>
      </c>
      <c r="U85" s="921"/>
      <c r="V85" s="921"/>
      <c r="W85" s="1106">
        <f>SUM(R85:V85)</f>
        <v>10945176</v>
      </c>
      <c r="Y85" s="922">
        <v>5447344</v>
      </c>
      <c r="Z85" s="921"/>
      <c r="AA85" s="922"/>
      <c r="AB85" s="922"/>
      <c r="AC85" s="922"/>
      <c r="AD85" s="953">
        <f>SUM(Y85:AC85)</f>
        <v>5447344</v>
      </c>
      <c r="AF85" s="922"/>
      <c r="AG85" s="922"/>
      <c r="AH85" s="953"/>
      <c r="AI85" s="922"/>
      <c r="AJ85" s="922"/>
      <c r="AK85" s="953">
        <f>SUM(AF85:AJ85)</f>
        <v>0</v>
      </c>
      <c r="AM85" s="922"/>
      <c r="AN85" s="921"/>
      <c r="AO85" s="922"/>
      <c r="AP85" s="922"/>
      <c r="AQ85" s="922"/>
      <c r="AR85" s="953">
        <f>SUM(AM85:AQ85)</f>
        <v>0</v>
      </c>
      <c r="AT85" s="922"/>
      <c r="AU85" s="922"/>
      <c r="AV85" s="922"/>
      <c r="AW85" s="922"/>
      <c r="AX85" s="922"/>
      <c r="AY85" s="953">
        <f>SUM(AT85:AX85)</f>
        <v>0</v>
      </c>
      <c r="BA85" s="922"/>
      <c r="BB85" s="922"/>
      <c r="BC85" s="922"/>
      <c r="BD85" s="922"/>
      <c r="BE85" s="922"/>
      <c r="BF85" s="953">
        <f>SUM(BA85:BE85)</f>
        <v>0</v>
      </c>
      <c r="BH85" s="922"/>
      <c r="BI85" s="922"/>
      <c r="BJ85" s="922"/>
      <c r="BK85" s="922"/>
      <c r="BL85" s="922"/>
      <c r="BM85" s="953">
        <f>SUM(BH85:BL85)</f>
        <v>0</v>
      </c>
      <c r="BO85" s="953"/>
      <c r="BP85" s="953"/>
      <c r="BQ85" s="953"/>
      <c r="BR85" s="953"/>
      <c r="BS85" s="953"/>
      <c r="BT85" s="953">
        <f>SUM(BO85:BS85)</f>
        <v>0</v>
      </c>
      <c r="BV85" s="953"/>
      <c r="BW85" s="953"/>
      <c r="BX85" s="953"/>
      <c r="BY85" s="953"/>
      <c r="BZ85" s="953"/>
      <c r="CA85" s="953">
        <f>SUM(BV85:BZ85)</f>
        <v>0</v>
      </c>
      <c r="CB85" s="719"/>
      <c r="CC85" s="953"/>
      <c r="CD85" s="953"/>
      <c r="CE85" s="953"/>
      <c r="CF85" s="838"/>
      <c r="CG85" s="838"/>
      <c r="CH85" s="953">
        <f>SUM(CC85:CG85)</f>
        <v>0</v>
      </c>
    </row>
    <row r="86" spans="1:86" x14ac:dyDescent="0.2">
      <c r="A86" s="838">
        <v>9</v>
      </c>
      <c r="B86" s="838" t="s">
        <v>89</v>
      </c>
      <c r="C86" s="838" t="s">
        <v>114</v>
      </c>
      <c r="D86" s="1130">
        <v>44606</v>
      </c>
      <c r="E86" s="1130"/>
      <c r="F86" s="1130">
        <v>44613</v>
      </c>
      <c r="G86" s="1130"/>
      <c r="H86" s="1130"/>
      <c r="I86" s="953"/>
      <c r="K86" s="1130">
        <v>44629</v>
      </c>
      <c r="L86" s="922"/>
      <c r="M86" s="1136">
        <v>44641</v>
      </c>
      <c r="N86" s="922"/>
      <c r="O86" s="953"/>
      <c r="P86" s="953"/>
      <c r="R86" s="920">
        <v>44655</v>
      </c>
      <c r="S86" s="921"/>
      <c r="T86" s="952">
        <v>44676</v>
      </c>
      <c r="U86" s="952"/>
      <c r="V86" s="952"/>
      <c r="W86" s="1106"/>
      <c r="Y86" s="952">
        <v>44708</v>
      </c>
      <c r="Z86" s="952"/>
      <c r="AA86" s="952"/>
      <c r="AB86" s="952"/>
      <c r="AC86" s="952"/>
      <c r="AD86" s="953"/>
      <c r="AF86" s="952"/>
      <c r="AG86" s="952"/>
      <c r="AH86" s="837"/>
      <c r="AI86" s="952"/>
      <c r="AJ86" s="952"/>
      <c r="AK86" s="953"/>
      <c r="AM86" s="920"/>
      <c r="AN86" s="922"/>
      <c r="AO86" s="920"/>
      <c r="AP86" s="921"/>
      <c r="AQ86" s="921"/>
      <c r="AR86" s="953"/>
      <c r="AT86" s="920"/>
      <c r="AU86" s="921"/>
      <c r="AV86" s="920"/>
      <c r="AW86" s="921"/>
      <c r="AX86" s="921"/>
      <c r="AY86" s="838"/>
      <c r="BA86" s="920"/>
      <c r="BB86" s="921"/>
      <c r="BC86" s="920"/>
      <c r="BD86" s="921"/>
      <c r="BE86" s="921"/>
      <c r="BF86" s="838"/>
      <c r="BH86" s="920"/>
      <c r="BI86" s="921"/>
      <c r="BJ86" s="920"/>
      <c r="BK86" s="921"/>
      <c r="BL86" s="921"/>
      <c r="BM86" s="838"/>
      <c r="BO86" s="837"/>
      <c r="BP86" s="838"/>
      <c r="BQ86" s="837"/>
      <c r="BR86" s="838"/>
      <c r="BS86" s="838"/>
      <c r="BT86" s="838"/>
      <c r="BV86" s="837"/>
      <c r="BW86" s="838"/>
      <c r="BX86" s="837"/>
      <c r="BY86" s="838"/>
      <c r="BZ86" s="838"/>
      <c r="CA86" s="838"/>
      <c r="CC86" s="837"/>
      <c r="CD86" s="838"/>
      <c r="CE86" s="837"/>
      <c r="CF86" s="838"/>
      <c r="CG86" s="838"/>
      <c r="CH86" s="953"/>
    </row>
    <row r="87" spans="1:86" x14ac:dyDescent="0.2">
      <c r="A87" s="838"/>
      <c r="B87" s="838"/>
      <c r="C87" s="838" t="s">
        <v>3480</v>
      </c>
      <c r="D87" s="922">
        <v>2214888</v>
      </c>
      <c r="E87" s="922"/>
      <c r="F87" s="922">
        <v>2338350</v>
      </c>
      <c r="G87" s="922"/>
      <c r="H87" s="922"/>
      <c r="I87" s="953">
        <f>SUM(D87:H87)</f>
        <v>4553238</v>
      </c>
      <c r="J87" s="719"/>
      <c r="K87" s="922">
        <v>2357688</v>
      </c>
      <c r="L87" s="922"/>
      <c r="M87" s="922">
        <v>2581200</v>
      </c>
      <c r="N87" s="922"/>
      <c r="O87" s="953"/>
      <c r="P87" s="953">
        <f>SUM(K87:O87)</f>
        <v>4938888</v>
      </c>
      <c r="R87" s="922">
        <v>2476688</v>
      </c>
      <c r="S87" s="921"/>
      <c r="T87" s="922">
        <v>2364425</v>
      </c>
      <c r="U87" s="921"/>
      <c r="V87" s="921"/>
      <c r="W87" s="1106">
        <f>SUM(R87:V87)</f>
        <v>4841113</v>
      </c>
      <c r="Y87" s="922">
        <v>2260044</v>
      </c>
      <c r="Z87" s="921"/>
      <c r="AA87" s="922"/>
      <c r="AB87" s="921"/>
      <c r="AC87" s="921"/>
      <c r="AD87" s="953">
        <f>SUM(Y87:AC87)</f>
        <v>2260044</v>
      </c>
      <c r="AF87" s="922"/>
      <c r="AG87" s="922"/>
      <c r="AH87" s="953"/>
      <c r="AI87" s="922"/>
      <c r="AJ87" s="922"/>
      <c r="AK87" s="953">
        <f>SUM(AF87:AJ87)</f>
        <v>0</v>
      </c>
      <c r="AM87" s="922"/>
      <c r="AN87" s="921"/>
      <c r="AO87" s="922"/>
      <c r="AP87" s="921"/>
      <c r="AQ87" s="921"/>
      <c r="AR87" s="953">
        <f>SUM(AM87:AQ87)</f>
        <v>0</v>
      </c>
      <c r="AT87" s="922"/>
      <c r="AU87" s="922"/>
      <c r="AV87" s="922"/>
      <c r="AW87" s="922"/>
      <c r="AX87" s="922"/>
      <c r="AY87" s="953">
        <f>SUM(AT87:AX87)</f>
        <v>0</v>
      </c>
      <c r="BA87" s="922"/>
      <c r="BB87" s="922"/>
      <c r="BC87" s="922"/>
      <c r="BD87" s="922"/>
      <c r="BE87" s="922"/>
      <c r="BF87" s="953">
        <f>SUM(BA87:BE87)</f>
        <v>0</v>
      </c>
      <c r="BG87" s="719"/>
      <c r="BH87" s="922"/>
      <c r="BI87" s="922"/>
      <c r="BJ87" s="922"/>
      <c r="BK87" s="922"/>
      <c r="BL87" s="922"/>
      <c r="BM87" s="953">
        <f>SUM(BH87:BL87)</f>
        <v>0</v>
      </c>
      <c r="BO87" s="953"/>
      <c r="BP87" s="953"/>
      <c r="BQ87" s="953"/>
      <c r="BR87" s="953"/>
      <c r="BS87" s="953"/>
      <c r="BT87" s="953">
        <f>SUM(BO87:BS87)</f>
        <v>0</v>
      </c>
      <c r="BV87" s="953"/>
      <c r="BW87" s="953"/>
      <c r="BX87" s="953"/>
      <c r="BY87" s="953"/>
      <c r="BZ87" s="953"/>
      <c r="CA87" s="953">
        <f>SUM(BV87:BZ87)</f>
        <v>0</v>
      </c>
      <c r="CB87" s="719"/>
      <c r="CC87" s="953"/>
      <c r="CD87" s="953"/>
      <c r="CE87" s="953"/>
      <c r="CF87" s="838"/>
      <c r="CG87" s="838"/>
      <c r="CH87" s="953">
        <f>SUM(CC87:CG87)</f>
        <v>0</v>
      </c>
    </row>
    <row r="88" spans="1:86" x14ac:dyDescent="0.2">
      <c r="A88" s="838">
        <v>10</v>
      </c>
      <c r="B88" s="838" t="s">
        <v>81</v>
      </c>
      <c r="C88" s="838" t="s">
        <v>114</v>
      </c>
      <c r="D88" s="1130">
        <v>44606</v>
      </c>
      <c r="E88" s="1130"/>
      <c r="F88" s="1130">
        <v>44613</v>
      </c>
      <c r="G88" s="1130"/>
      <c r="H88" s="1130"/>
      <c r="I88" s="953"/>
      <c r="K88" s="1130">
        <v>44629</v>
      </c>
      <c r="L88" s="922"/>
      <c r="M88" s="1136">
        <v>44641</v>
      </c>
      <c r="N88" s="922"/>
      <c r="O88" s="953"/>
      <c r="P88" s="953"/>
      <c r="R88" s="952"/>
      <c r="S88" s="952"/>
      <c r="T88" s="952">
        <v>44676</v>
      </c>
      <c r="U88" s="952"/>
      <c r="V88" s="952"/>
      <c r="W88" s="1106"/>
      <c r="Y88" s="952">
        <v>44708</v>
      </c>
      <c r="Z88" s="952"/>
      <c r="AA88" s="952"/>
      <c r="AB88" s="952"/>
      <c r="AC88" s="952"/>
      <c r="AD88" s="953"/>
      <c r="AF88" s="952"/>
      <c r="AG88" s="952"/>
      <c r="AH88" s="837"/>
      <c r="AI88" s="952"/>
      <c r="AJ88" s="952"/>
      <c r="AK88" s="953"/>
      <c r="AM88" s="920"/>
      <c r="AN88" s="922"/>
      <c r="AO88" s="920"/>
      <c r="AP88" s="921"/>
      <c r="AQ88" s="921"/>
      <c r="AR88" s="953"/>
      <c r="AT88" s="920"/>
      <c r="AU88" s="921"/>
      <c r="AV88" s="920"/>
      <c r="AW88" s="921"/>
      <c r="AX88" s="921"/>
      <c r="AY88" s="838"/>
      <c r="BA88" s="920"/>
      <c r="BB88" s="921"/>
      <c r="BC88" s="920"/>
      <c r="BD88" s="921"/>
      <c r="BE88" s="921"/>
      <c r="BF88" s="838"/>
      <c r="BH88" s="920"/>
      <c r="BI88" s="921"/>
      <c r="BJ88" s="920"/>
      <c r="BK88" s="921"/>
      <c r="BL88" s="921"/>
      <c r="BM88" s="838"/>
      <c r="BO88" s="837"/>
      <c r="BP88" s="838"/>
      <c r="BQ88" s="837"/>
      <c r="BR88" s="838"/>
      <c r="BS88" s="838"/>
      <c r="BT88" s="838"/>
      <c r="BV88" s="837"/>
      <c r="BW88" s="838"/>
      <c r="BX88" s="837"/>
      <c r="BY88" s="838"/>
      <c r="BZ88" s="838"/>
      <c r="CA88" s="838"/>
      <c r="CC88" s="837"/>
      <c r="CD88" s="838"/>
      <c r="CE88" s="837"/>
      <c r="CF88" s="838"/>
      <c r="CG88" s="838"/>
      <c r="CH88" s="953"/>
    </row>
    <row r="89" spans="1:86" x14ac:dyDescent="0.2">
      <c r="A89" s="838"/>
      <c r="B89" s="838"/>
      <c r="C89" s="838" t="s">
        <v>3480</v>
      </c>
      <c r="D89" s="922">
        <v>2143438</v>
      </c>
      <c r="E89" s="922"/>
      <c r="F89" s="922">
        <v>1942575</v>
      </c>
      <c r="G89" s="922"/>
      <c r="H89" s="922"/>
      <c r="I89" s="922">
        <f>SUM(D89:H89)</f>
        <v>4086013</v>
      </c>
      <c r="K89" s="922"/>
      <c r="L89" s="922"/>
      <c r="M89" s="922">
        <v>2101881</v>
      </c>
      <c r="N89" s="922"/>
      <c r="O89" s="922"/>
      <c r="P89" s="953">
        <f>SUM(K89:O89)</f>
        <v>2101881</v>
      </c>
      <c r="R89" s="922"/>
      <c r="S89" s="922"/>
      <c r="T89" s="922">
        <v>2120733</v>
      </c>
      <c r="U89" s="922"/>
      <c r="V89" s="922"/>
      <c r="W89" s="953">
        <f>SUM(R89:V89)</f>
        <v>2120733</v>
      </c>
      <c r="Y89" s="922">
        <v>2182050</v>
      </c>
      <c r="Z89" s="921"/>
      <c r="AA89" s="922"/>
      <c r="AB89" s="921"/>
      <c r="AC89" s="921"/>
      <c r="AD89" s="953">
        <f>SUM(Y89:AC89)</f>
        <v>2182050</v>
      </c>
      <c r="AF89" s="922"/>
      <c r="AG89" s="921"/>
      <c r="AH89" s="953"/>
      <c r="AI89" s="922"/>
      <c r="AJ89" s="921"/>
      <c r="AK89" s="953">
        <f>SUM(AF89:AJ89)</f>
        <v>0</v>
      </c>
      <c r="AM89" s="922"/>
      <c r="AN89" s="922"/>
      <c r="AO89" s="922"/>
      <c r="AP89" s="922"/>
      <c r="AQ89" s="922"/>
      <c r="AR89" s="953">
        <f>SUM(AM89:AQ89)</f>
        <v>0</v>
      </c>
      <c r="AT89" s="922"/>
      <c r="AU89" s="922"/>
      <c r="AV89" s="922"/>
      <c r="AW89" s="922"/>
      <c r="AX89" s="922"/>
      <c r="AY89" s="953">
        <f>SUM(AT89:AX89)</f>
        <v>0</v>
      </c>
      <c r="BA89" s="922"/>
      <c r="BB89" s="922"/>
      <c r="BC89" s="922"/>
      <c r="BD89" s="922"/>
      <c r="BE89" s="922"/>
      <c r="BF89" s="953">
        <f>SUM(BA89:BE89)</f>
        <v>0</v>
      </c>
      <c r="BH89" s="922"/>
      <c r="BI89" s="922"/>
      <c r="BJ89" s="922"/>
      <c r="BK89" s="922"/>
      <c r="BL89" s="922"/>
      <c r="BM89" s="953">
        <f>SUM(BH89:BL89)</f>
        <v>0</v>
      </c>
      <c r="BO89" s="953"/>
      <c r="BP89" s="953"/>
      <c r="BQ89" s="953"/>
      <c r="BR89" s="953"/>
      <c r="BS89" s="953"/>
      <c r="BT89" s="953">
        <f>SUM(BO89:BS89)</f>
        <v>0</v>
      </c>
      <c r="BV89" s="953"/>
      <c r="BW89" s="953"/>
      <c r="BX89" s="953"/>
      <c r="BY89" s="953"/>
      <c r="BZ89" s="953"/>
      <c r="CA89" s="953">
        <f>SUM(BV89:BZ89)</f>
        <v>0</v>
      </c>
      <c r="CB89" s="719"/>
      <c r="CC89" s="953"/>
      <c r="CD89" s="953"/>
      <c r="CE89" s="953"/>
      <c r="CF89" s="838"/>
      <c r="CG89" s="838"/>
      <c r="CH89" s="953">
        <f>SUM(CC89:CG89)</f>
        <v>0</v>
      </c>
    </row>
    <row r="90" spans="1:86" x14ac:dyDescent="0.2">
      <c r="A90" s="838">
        <v>11</v>
      </c>
      <c r="B90" s="838" t="s">
        <v>78</v>
      </c>
      <c r="C90" s="838" t="s">
        <v>114</v>
      </c>
      <c r="D90" s="1130">
        <v>44606</v>
      </c>
      <c r="E90" s="1130"/>
      <c r="F90" s="1130">
        <v>44613</v>
      </c>
      <c r="G90" s="1130"/>
      <c r="H90" s="1130"/>
      <c r="I90" s="953"/>
      <c r="K90" s="1130">
        <v>44629</v>
      </c>
      <c r="L90" s="1136"/>
      <c r="M90" s="1136">
        <v>44641</v>
      </c>
      <c r="N90" s="1136"/>
      <c r="O90" s="1137"/>
      <c r="P90" s="1137"/>
      <c r="R90" s="952">
        <v>44655</v>
      </c>
      <c r="S90" s="952"/>
      <c r="T90" s="952">
        <v>44676</v>
      </c>
      <c r="U90" s="952"/>
      <c r="V90" s="952"/>
      <c r="W90" s="1106"/>
      <c r="Y90" s="952">
        <v>44708</v>
      </c>
      <c r="Z90" s="952"/>
      <c r="AA90" s="952"/>
      <c r="AB90" s="952"/>
      <c r="AC90" s="952"/>
      <c r="AD90" s="953"/>
      <c r="AF90" s="952"/>
      <c r="AG90" s="952"/>
      <c r="AH90" s="837"/>
      <c r="AI90" s="952"/>
      <c r="AJ90" s="952"/>
      <c r="AK90" s="953"/>
      <c r="AM90" s="920"/>
      <c r="AN90" s="922"/>
      <c r="AO90" s="920"/>
      <c r="AP90" s="921"/>
      <c r="AQ90" s="921"/>
      <c r="AR90" s="953"/>
      <c r="AT90" s="920"/>
      <c r="AU90" s="921"/>
      <c r="AV90" s="920"/>
      <c r="AW90" s="921"/>
      <c r="AX90" s="921"/>
      <c r="AY90" s="838"/>
      <c r="BA90" s="920"/>
      <c r="BB90" s="921"/>
      <c r="BC90" s="920"/>
      <c r="BD90" s="921"/>
      <c r="BE90" s="921"/>
      <c r="BF90" s="838"/>
      <c r="BH90" s="920"/>
      <c r="BI90" s="921"/>
      <c r="BJ90" s="920"/>
      <c r="BK90" s="921"/>
      <c r="BL90" s="921"/>
      <c r="BM90" s="838"/>
      <c r="BO90" s="837"/>
      <c r="BP90" s="838"/>
      <c r="BQ90" s="837"/>
      <c r="BR90" s="838"/>
      <c r="BS90" s="838"/>
      <c r="BT90" s="838"/>
      <c r="BV90" s="837"/>
      <c r="BW90" s="838"/>
      <c r="BX90" s="837"/>
      <c r="BY90" s="838"/>
      <c r="BZ90" s="838"/>
      <c r="CA90" s="838"/>
      <c r="CC90" s="837"/>
      <c r="CD90" s="838"/>
      <c r="CE90" s="837"/>
      <c r="CF90" s="838"/>
      <c r="CG90" s="838"/>
      <c r="CH90" s="953"/>
    </row>
    <row r="91" spans="1:86" x14ac:dyDescent="0.2">
      <c r="A91" s="838"/>
      <c r="B91" s="838"/>
      <c r="C91" s="838" t="s">
        <v>3480</v>
      </c>
      <c r="D91" s="922">
        <v>2340375</v>
      </c>
      <c r="E91" s="922"/>
      <c r="F91" s="922">
        <v>2232000</v>
      </c>
      <c r="G91" s="922"/>
      <c r="H91" s="922"/>
      <c r="I91" s="953">
        <f>SUM(D91:H91)</f>
        <v>4572375</v>
      </c>
      <c r="K91" s="922">
        <v>2154000</v>
      </c>
      <c r="L91" s="922"/>
      <c r="M91" s="922">
        <v>2064917</v>
      </c>
      <c r="N91" s="922"/>
      <c r="O91" s="953"/>
      <c r="P91" s="953">
        <f>SUM(K91:O91)</f>
        <v>4218917</v>
      </c>
      <c r="R91" s="922">
        <v>1998000</v>
      </c>
      <c r="S91" s="922"/>
      <c r="T91" s="922">
        <v>1992000</v>
      </c>
      <c r="U91" s="922"/>
      <c r="V91" s="922"/>
      <c r="W91" s="953">
        <f>SUM(R91:V91)</f>
        <v>3990000</v>
      </c>
      <c r="Y91" s="922">
        <v>2346000</v>
      </c>
      <c r="Z91" s="921"/>
      <c r="AA91" s="922"/>
      <c r="AB91" s="921"/>
      <c r="AC91" s="921"/>
      <c r="AD91" s="953">
        <f>SUM(Y91:AC91)</f>
        <v>2346000</v>
      </c>
      <c r="AF91" s="922"/>
      <c r="AG91" s="921"/>
      <c r="AH91" s="953"/>
      <c r="AI91" s="922"/>
      <c r="AJ91" s="921"/>
      <c r="AK91" s="953">
        <f>SUM(AF91:AJ91)</f>
        <v>0</v>
      </c>
      <c r="AM91" s="922"/>
      <c r="AN91" s="922"/>
      <c r="AO91" s="922"/>
      <c r="AP91" s="922"/>
      <c r="AQ91" s="922"/>
      <c r="AR91" s="953">
        <f>SUM(AM91:AQ91)</f>
        <v>0</v>
      </c>
      <c r="AT91" s="922"/>
      <c r="AU91" s="922"/>
      <c r="AV91" s="922"/>
      <c r="AW91" s="922"/>
      <c r="AX91" s="922"/>
      <c r="AY91" s="953">
        <f>SUM(AT91:AX91)</f>
        <v>0</v>
      </c>
      <c r="BA91" s="922"/>
      <c r="BB91" s="922"/>
      <c r="BC91" s="922"/>
      <c r="BD91" s="922"/>
      <c r="BE91" s="922"/>
      <c r="BF91" s="953">
        <f>SUM(BA91:BE91)</f>
        <v>0</v>
      </c>
      <c r="BH91" s="922"/>
      <c r="BI91" s="922"/>
      <c r="BJ91" s="922"/>
      <c r="BK91" s="922"/>
      <c r="BL91" s="922"/>
      <c r="BM91" s="953">
        <f>SUM(BH91:BL91)</f>
        <v>0</v>
      </c>
      <c r="BO91" s="953"/>
      <c r="BP91" s="953"/>
      <c r="BQ91" s="953"/>
      <c r="BR91" s="953"/>
      <c r="BS91" s="953"/>
      <c r="BT91" s="953">
        <f>SUM(BO91:BS91)</f>
        <v>0</v>
      </c>
      <c r="BV91" s="953"/>
      <c r="BW91" s="953"/>
      <c r="BX91" s="953"/>
      <c r="BY91" s="953"/>
      <c r="BZ91" s="953"/>
      <c r="CA91" s="953">
        <f>SUM(BV91:BZ91)</f>
        <v>0</v>
      </c>
      <c r="CB91" s="719"/>
      <c r="CC91" s="953"/>
      <c r="CD91" s="953"/>
      <c r="CE91" s="953"/>
      <c r="CF91" s="838"/>
      <c r="CG91" s="838"/>
      <c r="CH91" s="953">
        <f>SUM(CC91:CG91)</f>
        <v>0</v>
      </c>
    </row>
    <row r="92" spans="1:86" x14ac:dyDescent="0.2">
      <c r="A92" s="838">
        <v>12</v>
      </c>
      <c r="B92" s="838" t="s">
        <v>79</v>
      </c>
      <c r="C92" s="838" t="s">
        <v>114</v>
      </c>
      <c r="D92" s="1130">
        <v>44606</v>
      </c>
      <c r="E92" s="1130"/>
      <c r="F92" s="1130">
        <v>44613</v>
      </c>
      <c r="G92" s="1130"/>
      <c r="H92" s="1130"/>
      <c r="I92" s="953"/>
      <c r="K92" s="1136">
        <v>44629</v>
      </c>
      <c r="L92" s="1136"/>
      <c r="M92" s="1136">
        <v>44641</v>
      </c>
      <c r="N92" s="1136"/>
      <c r="O92" s="1137"/>
      <c r="P92" s="1137"/>
      <c r="R92" s="952">
        <v>44655</v>
      </c>
      <c r="S92" s="952"/>
      <c r="T92" s="952"/>
      <c r="U92" s="952"/>
      <c r="V92" s="952"/>
      <c r="W92" s="1106"/>
      <c r="Y92" s="952">
        <v>44708</v>
      </c>
      <c r="Z92" s="952"/>
      <c r="AA92" s="952"/>
      <c r="AB92" s="952"/>
      <c r="AC92" s="952"/>
      <c r="AD92" s="953"/>
      <c r="AF92" s="952"/>
      <c r="AG92" s="952"/>
      <c r="AH92" s="838"/>
      <c r="AI92" s="952"/>
      <c r="AJ92" s="952"/>
      <c r="AK92" s="953"/>
      <c r="AM92" s="952"/>
      <c r="AN92" s="922"/>
      <c r="AO92" s="920"/>
      <c r="AP92" s="921"/>
      <c r="AQ92" s="921"/>
      <c r="AR92" s="953"/>
      <c r="AT92" s="920"/>
      <c r="AU92" s="921"/>
      <c r="AV92" s="920"/>
      <c r="AW92" s="921"/>
      <c r="AX92" s="921"/>
      <c r="AY92" s="838"/>
      <c r="BA92" s="920"/>
      <c r="BB92" s="921"/>
      <c r="BC92" s="920"/>
      <c r="BD92" s="921"/>
      <c r="BE92" s="921"/>
      <c r="BF92" s="838"/>
      <c r="BH92" s="920"/>
      <c r="BI92" s="921"/>
      <c r="BJ92" s="920"/>
      <c r="BK92" s="921"/>
      <c r="BL92" s="921"/>
      <c r="BM92" s="838"/>
      <c r="BO92" s="837"/>
      <c r="BP92" s="838"/>
      <c r="BQ92" s="837"/>
      <c r="BR92" s="838"/>
      <c r="BS92" s="838"/>
      <c r="BT92" s="838"/>
      <c r="BV92" s="837"/>
      <c r="BW92" s="838"/>
      <c r="BX92" s="837"/>
      <c r="BY92" s="838"/>
      <c r="BZ92" s="838"/>
      <c r="CA92" s="838"/>
      <c r="CC92" s="837"/>
      <c r="CD92" s="838"/>
      <c r="CE92" s="837"/>
      <c r="CF92" s="838"/>
      <c r="CG92" s="838"/>
      <c r="CH92" s="953"/>
    </row>
    <row r="93" spans="1:86" x14ac:dyDescent="0.2">
      <c r="A93" s="838"/>
      <c r="B93" s="838"/>
      <c r="C93" s="838" t="s">
        <v>3480</v>
      </c>
      <c r="D93" s="922">
        <v>1142156</v>
      </c>
      <c r="E93" s="922"/>
      <c r="F93" s="922">
        <v>815156</v>
      </c>
      <c r="G93" s="922"/>
      <c r="H93" s="922"/>
      <c r="I93" s="953">
        <f>SUM(D93:H93)</f>
        <v>1957312</v>
      </c>
      <c r="K93" s="922">
        <v>1454775</v>
      </c>
      <c r="L93" s="922"/>
      <c r="M93" s="922">
        <v>1689800</v>
      </c>
      <c r="N93" s="922"/>
      <c r="O93" s="922"/>
      <c r="P93" s="953">
        <f>SUM(K93:O93)</f>
        <v>3144575</v>
      </c>
      <c r="R93" s="1113">
        <v>1250000</v>
      </c>
      <c r="S93" s="1113"/>
      <c r="T93" s="1113"/>
      <c r="U93" s="1113"/>
      <c r="V93" s="1113"/>
      <c r="W93" s="1106">
        <f>SUM(R93:V93)</f>
        <v>1250000</v>
      </c>
      <c r="Y93" s="922">
        <v>912656</v>
      </c>
      <c r="Z93" s="921"/>
      <c r="AA93" s="922"/>
      <c r="AB93" s="921"/>
      <c r="AC93" s="921"/>
      <c r="AD93" s="953">
        <f>SUM(Y93:AC93)</f>
        <v>912656</v>
      </c>
      <c r="AF93" s="922"/>
      <c r="AG93" s="922"/>
      <c r="AH93" s="838"/>
      <c r="AI93" s="921"/>
      <c r="AJ93" s="921"/>
      <c r="AK93" s="953">
        <f>SUM(AF93:AJ93)</f>
        <v>0</v>
      </c>
      <c r="AM93" s="922"/>
      <c r="AN93" s="922"/>
      <c r="AO93" s="922"/>
      <c r="AP93" s="922"/>
      <c r="AQ93" s="922"/>
      <c r="AR93" s="953">
        <f>SUM(AM93:AQ93)</f>
        <v>0</v>
      </c>
      <c r="AT93" s="922"/>
      <c r="AU93" s="922"/>
      <c r="AV93" s="922"/>
      <c r="AW93" s="922"/>
      <c r="AX93" s="922"/>
      <c r="AY93" s="953">
        <f>SUM(AT93:AX93)</f>
        <v>0</v>
      </c>
      <c r="BA93" s="922"/>
      <c r="BB93" s="922"/>
      <c r="BC93" s="922"/>
      <c r="BD93" s="922"/>
      <c r="BE93" s="922"/>
      <c r="BF93" s="953">
        <f>SUM(BA93:BE93)</f>
        <v>0</v>
      </c>
      <c r="BH93" s="922"/>
      <c r="BI93" s="922"/>
      <c r="BJ93" s="922"/>
      <c r="BK93" s="922"/>
      <c r="BL93" s="922"/>
      <c r="BM93" s="953">
        <f>SUM(BH93:BL93)</f>
        <v>0</v>
      </c>
      <c r="BO93" s="953"/>
      <c r="BP93" s="953"/>
      <c r="BQ93" s="953"/>
      <c r="BR93" s="953"/>
      <c r="BS93" s="953"/>
      <c r="BT93" s="953">
        <f>SUM(BO93:BS93)</f>
        <v>0</v>
      </c>
      <c r="BV93" s="953"/>
      <c r="BW93" s="953"/>
      <c r="BX93" s="953"/>
      <c r="BY93" s="953"/>
      <c r="BZ93" s="953"/>
      <c r="CA93" s="953">
        <f>SUM(BV93:BZ93)</f>
        <v>0</v>
      </c>
      <c r="CB93" s="719"/>
      <c r="CC93" s="953"/>
      <c r="CD93" s="953"/>
      <c r="CE93" s="953"/>
      <c r="CF93" s="838"/>
      <c r="CG93" s="838"/>
      <c r="CH93" s="953">
        <f>SUM(CC93:CG93)</f>
        <v>0</v>
      </c>
    </row>
    <row r="94" spans="1:86" x14ac:dyDescent="0.2">
      <c r="K94" s="719"/>
      <c r="L94" s="719"/>
      <c r="M94" s="719"/>
      <c r="N94" s="719"/>
      <c r="O94" s="719"/>
      <c r="P94" s="719"/>
      <c r="R94" s="918"/>
      <c r="S94" s="918"/>
      <c r="T94" s="918"/>
      <c r="U94" s="918"/>
      <c r="V94" s="918"/>
      <c r="Y94" s="918"/>
      <c r="Z94" s="918"/>
      <c r="AA94" s="918"/>
      <c r="AB94" s="918"/>
      <c r="AC94" s="918"/>
      <c r="AF94" s="918"/>
      <c r="AG94" s="918"/>
      <c r="AH94" s="918"/>
      <c r="AI94" s="918"/>
      <c r="AJ94" s="918"/>
      <c r="AM94" s="918"/>
      <c r="AN94" s="918"/>
      <c r="AO94" s="918"/>
      <c r="AP94" s="918"/>
      <c r="AQ94" s="918"/>
      <c r="AR94" s="719"/>
      <c r="BA94" s="918"/>
      <c r="BB94" s="918"/>
      <c r="BC94" s="918"/>
      <c r="BD94" s="918"/>
      <c r="BE94" s="918"/>
      <c r="BH94" s="918"/>
      <c r="BI94" s="918"/>
      <c r="BJ94" s="918"/>
      <c r="BK94" s="918"/>
      <c r="BL94" s="918"/>
      <c r="CH94" s="719"/>
    </row>
  </sheetData>
  <mergeCells count="117"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024"/>
  <sheetViews>
    <sheetView zoomScale="90" zoomScaleNormal="90" workbookViewId="0">
      <pane ySplit="3" topLeftCell="A8987" activePane="bottomLeft" state="frozen"/>
      <selection pane="bottomLeft" activeCell="F8996" sqref="F8996"/>
    </sheetView>
  </sheetViews>
  <sheetFormatPr defaultRowHeight="15" x14ac:dyDescent="0.25"/>
  <cols>
    <col min="2" max="2" width="13.140625" customWidth="1"/>
    <col min="3" max="3" width="16.140625" customWidth="1"/>
    <col min="4" max="4" width="16.7109375" customWidth="1"/>
    <col min="5" max="5" width="15.42578125" style="254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 x14ac:dyDescent="0.25">
      <c r="A1" s="1617" t="s">
        <v>131</v>
      </c>
      <c r="B1" s="1617" t="s">
        <v>114</v>
      </c>
      <c r="C1" s="1617" t="s">
        <v>139</v>
      </c>
      <c r="D1" s="1618" t="s">
        <v>4766</v>
      </c>
      <c r="E1" s="1618"/>
      <c r="F1" s="1616" t="s">
        <v>4749</v>
      </c>
      <c r="G1" s="1616" t="s">
        <v>4750</v>
      </c>
      <c r="H1" s="1614" t="s">
        <v>5359</v>
      </c>
      <c r="I1" s="1608" t="s">
        <v>5358</v>
      </c>
      <c r="J1" s="1613" t="s">
        <v>5360</v>
      </c>
    </row>
    <row r="2" spans="1:14" x14ac:dyDescent="0.25">
      <c r="A2" s="1619"/>
      <c r="B2" s="1619"/>
      <c r="C2" s="1619"/>
      <c r="D2" s="1618"/>
      <c r="E2" s="1618"/>
      <c r="F2" s="1616"/>
      <c r="G2" s="1616"/>
      <c r="H2" s="1615"/>
      <c r="I2" s="1608"/>
      <c r="J2" s="1613"/>
    </row>
    <row r="3" spans="1:14" s="254" customFormat="1" ht="30" x14ac:dyDescent="0.25">
      <c r="A3" s="1619"/>
      <c r="B3" s="1619"/>
      <c r="C3" s="1619"/>
      <c r="D3" s="622" t="s">
        <v>4764</v>
      </c>
      <c r="E3" s="623" t="s">
        <v>4765</v>
      </c>
      <c r="F3" s="1617"/>
      <c r="G3" s="1617"/>
      <c r="H3" s="1615"/>
      <c r="I3" s="1608"/>
      <c r="J3" s="1613"/>
    </row>
    <row r="4" spans="1:14" s="254" customFormat="1" ht="8.25" customHeight="1" x14ac:dyDescent="0.25">
      <c r="A4" s="576"/>
      <c r="B4" s="576"/>
      <c r="C4" s="576"/>
      <c r="D4" s="574"/>
      <c r="E4" s="575"/>
      <c r="F4" s="576"/>
      <c r="G4" s="576"/>
      <c r="H4" s="362"/>
      <c r="I4" s="624"/>
      <c r="J4" s="362"/>
    </row>
    <row r="5" spans="1:14" s="254" customFormat="1" ht="16.5" hidden="1" customHeight="1" x14ac:dyDescent="0.25">
      <c r="A5" s="1611" t="s">
        <v>5354</v>
      </c>
      <c r="B5" s="1612"/>
      <c r="C5" s="1612"/>
      <c r="D5" s="1612"/>
      <c r="E5" s="1612"/>
      <c r="F5" s="1612"/>
      <c r="G5" s="1612"/>
      <c r="H5" s="1612"/>
      <c r="I5" s="1612"/>
      <c r="J5" s="630"/>
    </row>
    <row r="6" spans="1:14" hidden="1" x14ac:dyDescent="0.25">
      <c r="A6" s="455">
        <v>1</v>
      </c>
      <c r="B6" s="452">
        <v>43955</v>
      </c>
      <c r="C6" s="451" t="s">
        <v>80</v>
      </c>
      <c r="D6" s="461">
        <v>228969852</v>
      </c>
      <c r="E6" s="461"/>
      <c r="F6" s="453">
        <v>240665000</v>
      </c>
      <c r="G6" s="454">
        <f>D6-F6</f>
        <v>-11695148</v>
      </c>
      <c r="H6" s="362"/>
      <c r="I6" s="624"/>
      <c r="J6" s="362"/>
      <c r="L6" s="465"/>
      <c r="M6" s="465"/>
      <c r="N6" s="465"/>
    </row>
    <row r="7" spans="1:14" hidden="1" x14ac:dyDescent="0.25">
      <c r="A7" s="455">
        <v>2</v>
      </c>
      <c r="B7" s="452">
        <v>43955</v>
      </c>
      <c r="C7" s="451" t="s">
        <v>140</v>
      </c>
      <c r="D7" s="461">
        <v>223560393</v>
      </c>
      <c r="E7" s="461"/>
      <c r="F7" s="453">
        <v>383337000</v>
      </c>
      <c r="G7" s="454">
        <f t="shared" ref="G7:G52" si="0">D7-F7</f>
        <v>-159776607</v>
      </c>
      <c r="H7" s="362"/>
      <c r="I7" s="624"/>
      <c r="J7" s="362"/>
      <c r="L7" s="465"/>
      <c r="M7" s="465"/>
      <c r="N7" s="465"/>
    </row>
    <row r="8" spans="1:14" hidden="1" x14ac:dyDescent="0.25">
      <c r="A8" s="455">
        <v>3</v>
      </c>
      <c r="B8" s="452">
        <v>43955</v>
      </c>
      <c r="C8" s="451" t="s">
        <v>142</v>
      </c>
      <c r="D8" s="461">
        <v>179884572</v>
      </c>
      <c r="E8" s="461"/>
      <c r="F8" s="453">
        <v>262981100</v>
      </c>
      <c r="G8" s="454">
        <f t="shared" si="0"/>
        <v>-83096528</v>
      </c>
      <c r="H8" s="362"/>
      <c r="I8" s="624"/>
      <c r="J8" s="362"/>
      <c r="L8" s="465"/>
      <c r="M8" s="465"/>
      <c r="N8" s="465"/>
    </row>
    <row r="9" spans="1:14" hidden="1" x14ac:dyDescent="0.25">
      <c r="A9" s="455">
        <v>4</v>
      </c>
      <c r="B9" s="452">
        <v>43955</v>
      </c>
      <c r="C9" s="451" t="s">
        <v>87</v>
      </c>
      <c r="D9" s="461">
        <v>203556413</v>
      </c>
      <c r="E9" s="461"/>
      <c r="F9" s="453">
        <v>150641100</v>
      </c>
      <c r="G9" s="454">
        <f t="shared" si="0"/>
        <v>52915313</v>
      </c>
      <c r="H9" s="362"/>
      <c r="I9" s="624"/>
      <c r="J9" s="362"/>
      <c r="L9" s="465"/>
      <c r="M9" s="465"/>
      <c r="N9" s="465"/>
    </row>
    <row r="10" spans="1:14" hidden="1" x14ac:dyDescent="0.25">
      <c r="A10" s="455">
        <v>5</v>
      </c>
      <c r="B10" s="452">
        <v>43955</v>
      </c>
      <c r="C10" s="451" t="s">
        <v>86</v>
      </c>
      <c r="D10" s="461">
        <v>71785894</v>
      </c>
      <c r="E10" s="461"/>
      <c r="F10" s="453">
        <v>94129800</v>
      </c>
      <c r="G10" s="454">
        <f t="shared" si="0"/>
        <v>-22343906</v>
      </c>
      <c r="H10" s="362"/>
      <c r="I10" s="624"/>
      <c r="J10" s="362"/>
      <c r="L10" s="465"/>
      <c r="M10" s="465"/>
      <c r="N10" s="465"/>
    </row>
    <row r="11" spans="1:14" hidden="1" x14ac:dyDescent="0.25">
      <c r="A11" s="455">
        <v>6</v>
      </c>
      <c r="B11" s="452">
        <v>43955</v>
      </c>
      <c r="C11" s="451" t="s">
        <v>89</v>
      </c>
      <c r="D11" s="461">
        <v>83059512</v>
      </c>
      <c r="E11" s="461"/>
      <c r="F11" s="453">
        <v>122990800</v>
      </c>
      <c r="G11" s="454">
        <f t="shared" si="0"/>
        <v>-39931288</v>
      </c>
      <c r="H11" s="362"/>
      <c r="I11" s="624"/>
      <c r="J11" s="362"/>
      <c r="L11" s="465"/>
      <c r="M11" s="465"/>
      <c r="N11" s="465"/>
    </row>
    <row r="12" spans="1:14" hidden="1" x14ac:dyDescent="0.25">
      <c r="A12" s="455">
        <v>7</v>
      </c>
      <c r="B12" s="452">
        <v>43955</v>
      </c>
      <c r="C12" s="451" t="s">
        <v>4751</v>
      </c>
      <c r="D12" s="461">
        <v>216757245</v>
      </c>
      <c r="E12" s="461"/>
      <c r="F12" s="453">
        <v>216757500</v>
      </c>
      <c r="G12" s="454">
        <f t="shared" si="0"/>
        <v>-255</v>
      </c>
      <c r="H12" s="362"/>
      <c r="I12" s="624"/>
      <c r="J12" s="362"/>
      <c r="L12" s="465"/>
      <c r="M12" s="465"/>
      <c r="N12" s="465"/>
    </row>
    <row r="13" spans="1:14" hidden="1" x14ac:dyDescent="0.25">
      <c r="A13" s="455">
        <v>8</v>
      </c>
      <c r="B13" s="452">
        <v>43955</v>
      </c>
      <c r="C13" s="451" t="s">
        <v>84</v>
      </c>
      <c r="D13" s="461">
        <v>301619323</v>
      </c>
      <c r="E13" s="461"/>
      <c r="F13" s="453">
        <v>325796700</v>
      </c>
      <c r="G13" s="454">
        <f t="shared" si="0"/>
        <v>-24177377</v>
      </c>
      <c r="H13" s="362"/>
      <c r="I13" s="624"/>
      <c r="J13" s="362"/>
      <c r="L13" s="465"/>
      <c r="M13" s="465"/>
      <c r="N13" s="465"/>
    </row>
    <row r="14" spans="1:14" hidden="1" x14ac:dyDescent="0.25">
      <c r="A14" s="455">
        <v>9</v>
      </c>
      <c r="B14" s="452">
        <v>43955</v>
      </c>
      <c r="C14" s="451" t="s">
        <v>85</v>
      </c>
      <c r="D14" s="461">
        <v>26471335</v>
      </c>
      <c r="E14" s="461"/>
      <c r="F14" s="453">
        <v>30697500</v>
      </c>
      <c r="G14" s="454">
        <f t="shared" si="0"/>
        <v>-4226165</v>
      </c>
      <c r="H14" s="362"/>
      <c r="I14" s="624"/>
      <c r="J14" s="362"/>
      <c r="L14" s="465"/>
      <c r="M14" s="465"/>
      <c r="N14" s="465"/>
    </row>
    <row r="15" spans="1:14" hidden="1" x14ac:dyDescent="0.25">
      <c r="A15" s="455">
        <v>10</v>
      </c>
      <c r="B15" s="452">
        <v>43955</v>
      </c>
      <c r="C15" s="451" t="s">
        <v>147</v>
      </c>
      <c r="D15" s="461">
        <v>92804797</v>
      </c>
      <c r="E15" s="461"/>
      <c r="F15" s="453">
        <v>111177200</v>
      </c>
      <c r="G15" s="454">
        <f t="shared" si="0"/>
        <v>-18372403</v>
      </c>
      <c r="H15" s="362"/>
      <c r="I15" s="624"/>
      <c r="J15" s="362"/>
      <c r="L15" s="465"/>
      <c r="M15" s="465"/>
      <c r="N15" s="465"/>
    </row>
    <row r="16" spans="1:14" hidden="1" x14ac:dyDescent="0.25">
      <c r="A16" s="455">
        <v>11</v>
      </c>
      <c r="B16" s="452">
        <v>43955</v>
      </c>
      <c r="C16" s="451" t="s">
        <v>79</v>
      </c>
      <c r="D16" s="461">
        <v>36476234</v>
      </c>
      <c r="E16" s="461"/>
      <c r="F16" s="453">
        <v>44596600</v>
      </c>
      <c r="G16" s="454">
        <f t="shared" si="0"/>
        <v>-8120366</v>
      </c>
      <c r="H16" s="362"/>
      <c r="I16" s="624"/>
      <c r="J16" s="362"/>
      <c r="L16" s="465"/>
      <c r="M16" s="465"/>
      <c r="N16" s="465"/>
    </row>
    <row r="17" spans="1:14" hidden="1" x14ac:dyDescent="0.25">
      <c r="A17" s="455">
        <v>12</v>
      </c>
      <c r="B17" s="452">
        <v>43955</v>
      </c>
      <c r="C17" s="451" t="s">
        <v>82</v>
      </c>
      <c r="D17" s="461">
        <v>80116087</v>
      </c>
      <c r="E17" s="461"/>
      <c r="F17" s="453">
        <v>80116100</v>
      </c>
      <c r="G17" s="454">
        <f t="shared" si="0"/>
        <v>-13</v>
      </c>
      <c r="H17" s="362"/>
      <c r="I17" s="624"/>
      <c r="J17" s="362"/>
      <c r="L17" s="465"/>
      <c r="M17" s="465"/>
      <c r="N17" s="465"/>
    </row>
    <row r="18" spans="1:14" hidden="1" x14ac:dyDescent="0.25">
      <c r="A18" s="455">
        <v>13</v>
      </c>
      <c r="B18" s="452">
        <v>43955</v>
      </c>
      <c r="C18" s="451" t="s">
        <v>78</v>
      </c>
      <c r="D18" s="461">
        <v>65163500</v>
      </c>
      <c r="E18" s="461"/>
      <c r="F18" s="453">
        <v>65163500</v>
      </c>
      <c r="G18" s="454">
        <f t="shared" si="0"/>
        <v>0</v>
      </c>
      <c r="H18" s="362"/>
      <c r="I18" s="624"/>
      <c r="J18" s="362"/>
      <c r="L18" s="465"/>
      <c r="M18" s="465"/>
      <c r="N18" s="465"/>
    </row>
    <row r="19" spans="1:14" hidden="1" x14ac:dyDescent="0.25">
      <c r="A19" s="455">
        <v>14</v>
      </c>
      <c r="B19" s="452">
        <v>43955</v>
      </c>
      <c r="C19" s="451" t="s">
        <v>166</v>
      </c>
      <c r="D19" s="461">
        <v>45690395</v>
      </c>
      <c r="E19" s="461"/>
      <c r="F19" s="453">
        <v>45690400</v>
      </c>
      <c r="G19" s="454">
        <f t="shared" si="0"/>
        <v>-5</v>
      </c>
      <c r="H19" s="362"/>
      <c r="I19" s="624"/>
      <c r="J19" s="362"/>
      <c r="L19" s="465"/>
      <c r="M19" s="465"/>
      <c r="N19" s="465"/>
    </row>
    <row r="20" spans="1:14" hidden="1" x14ac:dyDescent="0.25">
      <c r="A20" s="455">
        <v>15</v>
      </c>
      <c r="B20" s="452">
        <v>43955</v>
      </c>
      <c r="C20" s="451" t="s">
        <v>3435</v>
      </c>
      <c r="D20" s="462"/>
      <c r="E20" s="462"/>
      <c r="F20" s="453"/>
      <c r="G20" s="454">
        <f t="shared" si="0"/>
        <v>0</v>
      </c>
      <c r="H20" s="362"/>
      <c r="I20" s="624"/>
      <c r="J20" s="362"/>
      <c r="L20" s="465"/>
      <c r="M20" s="465"/>
      <c r="N20" s="465"/>
    </row>
    <row r="21" spans="1:14" hidden="1" x14ac:dyDescent="0.25">
      <c r="A21" s="456"/>
      <c r="B21" s="457"/>
      <c r="C21" s="458"/>
      <c r="D21" s="463"/>
      <c r="E21" s="463"/>
      <c r="F21" s="459"/>
      <c r="G21" s="460">
        <f t="shared" si="0"/>
        <v>0</v>
      </c>
      <c r="H21" s="532"/>
      <c r="I21" s="625"/>
      <c r="J21" s="532"/>
      <c r="L21" s="465"/>
      <c r="M21" s="465"/>
      <c r="N21" s="465"/>
    </row>
    <row r="22" spans="1:14" hidden="1" x14ac:dyDescent="0.25">
      <c r="A22" s="455">
        <v>1</v>
      </c>
      <c r="B22" s="452">
        <v>43956</v>
      </c>
      <c r="C22" s="451" t="s">
        <v>80</v>
      </c>
      <c r="D22" s="461">
        <v>295568652</v>
      </c>
      <c r="E22" s="461"/>
      <c r="F22" s="453">
        <v>328308000</v>
      </c>
      <c r="G22" s="454">
        <f t="shared" si="0"/>
        <v>-32739348</v>
      </c>
      <c r="H22" s="362"/>
      <c r="I22" s="624"/>
      <c r="J22" s="362"/>
      <c r="L22" s="465"/>
      <c r="M22" s="465"/>
      <c r="N22" s="465"/>
    </row>
    <row r="23" spans="1:14" hidden="1" x14ac:dyDescent="0.25">
      <c r="A23" s="455">
        <v>2</v>
      </c>
      <c r="B23" s="452">
        <v>43956</v>
      </c>
      <c r="C23" s="451" t="s">
        <v>140</v>
      </c>
      <c r="D23" s="461">
        <v>218230559</v>
      </c>
      <c r="E23" s="461"/>
      <c r="F23" s="453">
        <v>257692500</v>
      </c>
      <c r="G23" s="454">
        <f t="shared" si="0"/>
        <v>-39461941</v>
      </c>
      <c r="H23" s="362"/>
      <c r="I23" s="624"/>
      <c r="J23" s="362"/>
      <c r="L23" s="465"/>
      <c r="M23" s="465"/>
      <c r="N23" s="465"/>
    </row>
    <row r="24" spans="1:14" hidden="1" x14ac:dyDescent="0.25">
      <c r="A24" s="455">
        <v>3</v>
      </c>
      <c r="B24" s="452">
        <v>43956</v>
      </c>
      <c r="C24" s="451" t="s">
        <v>142</v>
      </c>
      <c r="D24" s="461">
        <v>90074999</v>
      </c>
      <c r="E24" s="461"/>
      <c r="F24" s="453">
        <v>96645400</v>
      </c>
      <c r="G24" s="454">
        <f t="shared" si="0"/>
        <v>-6570401</v>
      </c>
      <c r="H24" s="362"/>
      <c r="I24" s="624"/>
      <c r="J24" s="362"/>
      <c r="L24" s="465"/>
      <c r="M24" s="465"/>
      <c r="N24" s="465"/>
    </row>
    <row r="25" spans="1:14" hidden="1" x14ac:dyDescent="0.25">
      <c r="A25" s="455">
        <v>4</v>
      </c>
      <c r="B25" s="452">
        <v>43956</v>
      </c>
      <c r="C25" s="451" t="s">
        <v>87</v>
      </c>
      <c r="D25" s="461">
        <v>235078038</v>
      </c>
      <c r="E25" s="461"/>
      <c r="F25" s="453">
        <v>384836000</v>
      </c>
      <c r="G25" s="454">
        <f t="shared" si="0"/>
        <v>-149757962</v>
      </c>
      <c r="H25" s="362"/>
      <c r="I25" s="624"/>
      <c r="J25" s="362"/>
      <c r="L25" s="465"/>
      <c r="M25" s="465"/>
      <c r="N25" s="465"/>
    </row>
    <row r="26" spans="1:14" hidden="1" x14ac:dyDescent="0.25">
      <c r="A26" s="455">
        <v>5</v>
      </c>
      <c r="B26" s="452">
        <v>43956</v>
      </c>
      <c r="C26" s="451" t="s">
        <v>86</v>
      </c>
      <c r="D26" s="461">
        <v>78128637</v>
      </c>
      <c r="E26" s="461"/>
      <c r="F26" s="453">
        <v>86079400</v>
      </c>
      <c r="G26" s="454">
        <f t="shared" si="0"/>
        <v>-7950763</v>
      </c>
      <c r="H26" s="362"/>
      <c r="I26" s="624"/>
      <c r="J26" s="362"/>
      <c r="L26" s="465"/>
      <c r="M26" s="465"/>
      <c r="N26" s="465"/>
    </row>
    <row r="27" spans="1:14" hidden="1" x14ac:dyDescent="0.25">
      <c r="A27" s="455">
        <v>6</v>
      </c>
      <c r="B27" s="452">
        <v>43956</v>
      </c>
      <c r="C27" s="451" t="s">
        <v>89</v>
      </c>
      <c r="D27" s="461">
        <v>130576417</v>
      </c>
      <c r="E27" s="461"/>
      <c r="F27" s="453">
        <v>137653200</v>
      </c>
      <c r="G27" s="454">
        <f t="shared" si="0"/>
        <v>-7076783</v>
      </c>
      <c r="H27" s="362"/>
      <c r="I27" s="624"/>
      <c r="J27" s="362"/>
      <c r="L27" s="465"/>
      <c r="M27" s="465"/>
      <c r="N27" s="465"/>
    </row>
    <row r="28" spans="1:14" hidden="1" x14ac:dyDescent="0.25">
      <c r="A28" s="455">
        <v>7</v>
      </c>
      <c r="B28" s="452">
        <v>43956</v>
      </c>
      <c r="C28" s="451" t="s">
        <v>4751</v>
      </c>
      <c r="D28" s="461">
        <v>177929758</v>
      </c>
      <c r="E28" s="461"/>
      <c r="F28" s="453">
        <v>177929900</v>
      </c>
      <c r="G28" s="454">
        <f t="shared" si="0"/>
        <v>-142</v>
      </c>
      <c r="H28" s="362"/>
      <c r="I28" s="624"/>
      <c r="J28" s="362"/>
      <c r="L28" s="465"/>
      <c r="M28" s="465"/>
      <c r="N28" s="465"/>
    </row>
    <row r="29" spans="1:14" hidden="1" x14ac:dyDescent="0.25">
      <c r="A29" s="455">
        <v>8</v>
      </c>
      <c r="B29" s="452">
        <v>43956</v>
      </c>
      <c r="C29" s="451" t="s">
        <v>84</v>
      </c>
      <c r="D29" s="461">
        <v>174607315</v>
      </c>
      <c r="E29" s="461"/>
      <c r="F29" s="453">
        <v>189727000</v>
      </c>
      <c r="G29" s="454">
        <f t="shared" si="0"/>
        <v>-15119685</v>
      </c>
      <c r="H29" s="362"/>
      <c r="I29" s="624"/>
      <c r="J29" s="362"/>
      <c r="L29" s="465"/>
      <c r="M29" s="465"/>
      <c r="N29" s="465"/>
    </row>
    <row r="30" spans="1:14" hidden="1" x14ac:dyDescent="0.25">
      <c r="A30" s="455">
        <v>9</v>
      </c>
      <c r="B30" s="452">
        <v>43956</v>
      </c>
      <c r="C30" s="451" t="s">
        <v>85</v>
      </c>
      <c r="D30" s="461">
        <v>31534214</v>
      </c>
      <c r="E30" s="461"/>
      <c r="F30" s="453">
        <v>33010000</v>
      </c>
      <c r="G30" s="454">
        <f t="shared" si="0"/>
        <v>-1475786</v>
      </c>
      <c r="H30" s="362"/>
      <c r="I30" s="624"/>
      <c r="J30" s="362"/>
      <c r="L30" s="465"/>
      <c r="M30" s="465"/>
      <c r="N30" s="465"/>
    </row>
    <row r="31" spans="1:14" hidden="1" x14ac:dyDescent="0.25">
      <c r="A31" s="455">
        <v>10</v>
      </c>
      <c r="B31" s="452">
        <v>43956</v>
      </c>
      <c r="C31" s="451" t="s">
        <v>147</v>
      </c>
      <c r="D31" s="461">
        <v>102196737</v>
      </c>
      <c r="E31" s="461"/>
      <c r="F31" s="453">
        <v>110765200</v>
      </c>
      <c r="G31" s="454">
        <f t="shared" si="0"/>
        <v>-8568463</v>
      </c>
      <c r="H31" s="362"/>
      <c r="I31" s="624"/>
      <c r="J31" s="362"/>
      <c r="L31" s="465"/>
      <c r="M31" s="465"/>
      <c r="N31" s="465"/>
    </row>
    <row r="32" spans="1:14" hidden="1" x14ac:dyDescent="0.25">
      <c r="A32" s="455">
        <v>11</v>
      </c>
      <c r="B32" s="452">
        <v>43956</v>
      </c>
      <c r="C32" s="451" t="s">
        <v>79</v>
      </c>
      <c r="D32" s="461">
        <v>59378532</v>
      </c>
      <c r="E32" s="461"/>
      <c r="F32" s="453">
        <v>59395500</v>
      </c>
      <c r="G32" s="454">
        <f t="shared" si="0"/>
        <v>-16968</v>
      </c>
      <c r="H32" s="362"/>
      <c r="I32" s="624"/>
      <c r="J32" s="362"/>
      <c r="L32" s="465"/>
      <c r="M32" s="465"/>
      <c r="N32" s="465"/>
    </row>
    <row r="33" spans="1:14" hidden="1" x14ac:dyDescent="0.25">
      <c r="A33" s="455">
        <v>12</v>
      </c>
      <c r="B33" s="452">
        <v>43956</v>
      </c>
      <c r="C33" s="451" t="s">
        <v>82</v>
      </c>
      <c r="D33" s="461">
        <v>55298962</v>
      </c>
      <c r="E33" s="461"/>
      <c r="F33" s="453">
        <v>55299100</v>
      </c>
      <c r="G33" s="454">
        <f t="shared" si="0"/>
        <v>-138</v>
      </c>
      <c r="H33" s="362"/>
      <c r="I33" s="624"/>
      <c r="J33" s="362"/>
      <c r="L33" s="465"/>
      <c r="M33" s="465"/>
      <c r="N33" s="465"/>
    </row>
    <row r="34" spans="1:14" hidden="1" x14ac:dyDescent="0.25">
      <c r="A34" s="455">
        <v>13</v>
      </c>
      <c r="B34" s="452">
        <v>43956</v>
      </c>
      <c r="C34" s="451" t="s">
        <v>78</v>
      </c>
      <c r="D34" s="461">
        <v>63189600</v>
      </c>
      <c r="E34" s="461"/>
      <c r="F34" s="453">
        <v>63189600</v>
      </c>
      <c r="G34" s="454">
        <f t="shared" si="0"/>
        <v>0</v>
      </c>
      <c r="H34" s="362"/>
      <c r="I34" s="624"/>
      <c r="J34" s="362"/>
      <c r="L34" s="465"/>
      <c r="M34" s="465"/>
      <c r="N34" s="465"/>
    </row>
    <row r="35" spans="1:14" hidden="1" x14ac:dyDescent="0.25">
      <c r="A35" s="455">
        <v>14</v>
      </c>
      <c r="B35" s="452">
        <v>43956</v>
      </c>
      <c r="C35" s="451" t="s">
        <v>166</v>
      </c>
      <c r="D35" s="461">
        <v>83172236</v>
      </c>
      <c r="E35" s="461"/>
      <c r="F35" s="453">
        <v>83172300</v>
      </c>
      <c r="G35" s="454">
        <f t="shared" si="0"/>
        <v>-64</v>
      </c>
      <c r="H35" s="362"/>
      <c r="I35" s="624"/>
      <c r="J35" s="362"/>
      <c r="L35" s="465"/>
      <c r="M35" s="465"/>
      <c r="N35" s="465"/>
    </row>
    <row r="36" spans="1:14" hidden="1" x14ac:dyDescent="0.25">
      <c r="A36" s="455">
        <v>15</v>
      </c>
      <c r="B36" s="452">
        <v>43956</v>
      </c>
      <c r="C36" s="451" t="s">
        <v>3435</v>
      </c>
      <c r="D36" s="461"/>
      <c r="E36" s="461"/>
      <c r="F36" s="453"/>
      <c r="G36" s="454">
        <f t="shared" si="0"/>
        <v>0</v>
      </c>
      <c r="H36" s="362"/>
      <c r="I36" s="624"/>
      <c r="J36" s="362"/>
      <c r="L36" s="465"/>
      <c r="M36" s="465"/>
      <c r="N36" s="465"/>
    </row>
    <row r="37" spans="1:14" hidden="1" x14ac:dyDescent="0.25">
      <c r="A37" s="456"/>
      <c r="B37" s="458"/>
      <c r="C37" s="458"/>
      <c r="D37" s="464"/>
      <c r="E37" s="464"/>
      <c r="F37" s="459"/>
      <c r="G37" s="460">
        <f t="shared" si="0"/>
        <v>0</v>
      </c>
      <c r="H37" s="532"/>
      <c r="I37" s="625"/>
      <c r="J37" s="532"/>
      <c r="L37" s="465"/>
      <c r="M37" s="465"/>
      <c r="N37" s="465"/>
    </row>
    <row r="38" spans="1:14" hidden="1" x14ac:dyDescent="0.25">
      <c r="A38" s="455">
        <v>1</v>
      </c>
      <c r="B38" s="452">
        <v>43957</v>
      </c>
      <c r="C38" s="451" t="s">
        <v>80</v>
      </c>
      <c r="D38" s="461">
        <v>309261866</v>
      </c>
      <c r="E38" s="461"/>
      <c r="F38" s="453">
        <v>344932000</v>
      </c>
      <c r="G38" s="454">
        <f t="shared" si="0"/>
        <v>-35670134</v>
      </c>
      <c r="H38" s="362"/>
      <c r="I38" s="624"/>
      <c r="J38" s="362"/>
      <c r="L38" s="465"/>
      <c r="M38" s="465"/>
      <c r="N38" s="465"/>
    </row>
    <row r="39" spans="1:14" hidden="1" x14ac:dyDescent="0.25">
      <c r="A39" s="455">
        <v>2</v>
      </c>
      <c r="B39" s="452">
        <v>43957</v>
      </c>
      <c r="C39" s="451" t="s">
        <v>140</v>
      </c>
      <c r="D39" s="461">
        <v>260717705</v>
      </c>
      <c r="E39" s="461"/>
      <c r="F39" s="453">
        <v>317408500</v>
      </c>
      <c r="G39" s="454">
        <f t="shared" si="0"/>
        <v>-56690795</v>
      </c>
      <c r="H39" s="362"/>
      <c r="I39" s="624"/>
      <c r="J39" s="362"/>
      <c r="L39" s="465"/>
      <c r="M39" s="465"/>
      <c r="N39" s="465"/>
    </row>
    <row r="40" spans="1:14" hidden="1" x14ac:dyDescent="0.25">
      <c r="A40" s="455">
        <v>3</v>
      </c>
      <c r="B40" s="452">
        <v>43957</v>
      </c>
      <c r="C40" s="451" t="s">
        <v>142</v>
      </c>
      <c r="D40" s="461">
        <v>230786918</v>
      </c>
      <c r="E40" s="461"/>
      <c r="F40" s="453">
        <v>235330200</v>
      </c>
      <c r="G40" s="454">
        <f t="shared" si="0"/>
        <v>-4543282</v>
      </c>
      <c r="H40" s="362"/>
      <c r="I40" s="624"/>
      <c r="J40" s="362"/>
      <c r="L40" s="465"/>
      <c r="M40" s="465"/>
      <c r="N40" s="465"/>
    </row>
    <row r="41" spans="1:14" hidden="1" x14ac:dyDescent="0.25">
      <c r="A41" s="455">
        <v>4</v>
      </c>
      <c r="B41" s="452">
        <v>43957</v>
      </c>
      <c r="C41" s="451" t="s">
        <v>87</v>
      </c>
      <c r="D41" s="461">
        <v>196592554</v>
      </c>
      <c r="E41" s="461"/>
      <c r="F41" s="453">
        <v>166729800</v>
      </c>
      <c r="G41" s="454">
        <f t="shared" si="0"/>
        <v>29862754</v>
      </c>
      <c r="H41" s="362"/>
      <c r="I41" s="624"/>
      <c r="J41" s="362"/>
      <c r="L41" s="465"/>
      <c r="M41" s="465"/>
      <c r="N41" s="465"/>
    </row>
    <row r="42" spans="1:14" hidden="1" x14ac:dyDescent="0.25">
      <c r="A42" s="455">
        <v>5</v>
      </c>
      <c r="B42" s="452">
        <v>43957</v>
      </c>
      <c r="C42" s="451" t="s">
        <v>86</v>
      </c>
      <c r="D42" s="461">
        <v>63559433</v>
      </c>
      <c r="E42" s="461"/>
      <c r="F42" s="453">
        <v>80507200</v>
      </c>
      <c r="G42" s="454">
        <f t="shared" si="0"/>
        <v>-16947767</v>
      </c>
      <c r="H42" s="362"/>
      <c r="I42" s="624"/>
      <c r="J42" s="362"/>
      <c r="L42" s="465"/>
      <c r="M42" s="465"/>
      <c r="N42" s="465"/>
    </row>
    <row r="43" spans="1:14" hidden="1" x14ac:dyDescent="0.25">
      <c r="A43" s="455">
        <v>6</v>
      </c>
      <c r="B43" s="452">
        <v>43957</v>
      </c>
      <c r="C43" s="451" t="s">
        <v>89</v>
      </c>
      <c r="D43" s="461">
        <v>98173687</v>
      </c>
      <c r="E43" s="461"/>
      <c r="F43" s="453">
        <v>139259000</v>
      </c>
      <c r="G43" s="454">
        <f t="shared" si="0"/>
        <v>-41085313</v>
      </c>
      <c r="H43" s="362"/>
      <c r="I43" s="624"/>
      <c r="J43" s="362"/>
      <c r="L43" s="465"/>
      <c r="M43" s="465"/>
      <c r="N43" s="465"/>
    </row>
    <row r="44" spans="1:14" hidden="1" x14ac:dyDescent="0.25">
      <c r="A44" s="455">
        <v>7</v>
      </c>
      <c r="B44" s="452">
        <v>43957</v>
      </c>
      <c r="C44" s="451" t="s">
        <v>4751</v>
      </c>
      <c r="D44" s="461">
        <v>232328268</v>
      </c>
      <c r="E44" s="461"/>
      <c r="F44" s="453">
        <v>233096700</v>
      </c>
      <c r="G44" s="454">
        <f t="shared" si="0"/>
        <v>-768432</v>
      </c>
      <c r="H44" s="362"/>
      <c r="I44" s="624"/>
      <c r="J44" s="362"/>
      <c r="L44" s="465"/>
      <c r="M44" s="465"/>
      <c r="N44" s="465"/>
    </row>
    <row r="45" spans="1:14" hidden="1" x14ac:dyDescent="0.25">
      <c r="A45" s="455">
        <v>8</v>
      </c>
      <c r="B45" s="452">
        <v>43957</v>
      </c>
      <c r="C45" s="451" t="s">
        <v>84</v>
      </c>
      <c r="D45" s="461">
        <v>193324866</v>
      </c>
      <c r="E45" s="461"/>
      <c r="F45" s="453">
        <v>217044100</v>
      </c>
      <c r="G45" s="454">
        <f t="shared" si="0"/>
        <v>-23719234</v>
      </c>
      <c r="H45" s="362"/>
      <c r="I45" s="624"/>
      <c r="J45" s="362"/>
      <c r="L45" s="465"/>
      <c r="M45" s="465"/>
      <c r="N45" s="465"/>
    </row>
    <row r="46" spans="1:14" hidden="1" x14ac:dyDescent="0.25">
      <c r="A46" s="455">
        <v>9</v>
      </c>
      <c r="B46" s="452">
        <v>43957</v>
      </c>
      <c r="C46" s="451" t="s">
        <v>85</v>
      </c>
      <c r="D46" s="461">
        <v>34343347</v>
      </c>
      <c r="E46" s="461"/>
      <c r="F46" s="453">
        <v>40442600</v>
      </c>
      <c r="G46" s="454">
        <f t="shared" si="0"/>
        <v>-6099253</v>
      </c>
      <c r="H46" s="362"/>
      <c r="I46" s="624"/>
      <c r="J46" s="362"/>
      <c r="L46" s="465"/>
      <c r="M46" s="465"/>
      <c r="N46" s="465"/>
    </row>
    <row r="47" spans="1:14" hidden="1" x14ac:dyDescent="0.25">
      <c r="A47" s="455">
        <v>10</v>
      </c>
      <c r="B47" s="452">
        <v>43957</v>
      </c>
      <c r="C47" s="451" t="s">
        <v>147</v>
      </c>
      <c r="D47" s="461">
        <v>94512564</v>
      </c>
      <c r="E47" s="461"/>
      <c r="F47" s="453">
        <v>105927800</v>
      </c>
      <c r="G47" s="454">
        <f t="shared" si="0"/>
        <v>-11415236</v>
      </c>
      <c r="H47" s="362"/>
      <c r="I47" s="624"/>
      <c r="J47" s="362"/>
      <c r="L47" s="465"/>
      <c r="M47" s="465"/>
      <c r="N47" s="465"/>
    </row>
    <row r="48" spans="1:14" hidden="1" x14ac:dyDescent="0.25">
      <c r="A48" s="455">
        <v>11</v>
      </c>
      <c r="B48" s="452">
        <v>43957</v>
      </c>
      <c r="C48" s="451" t="s">
        <v>79</v>
      </c>
      <c r="D48" s="461">
        <v>72963383</v>
      </c>
      <c r="E48" s="461"/>
      <c r="F48" s="453">
        <v>73917400</v>
      </c>
      <c r="G48" s="454">
        <f t="shared" si="0"/>
        <v>-954017</v>
      </c>
      <c r="H48" s="362"/>
      <c r="I48" s="624"/>
      <c r="J48" s="362"/>
      <c r="L48" s="465"/>
      <c r="M48" s="465"/>
      <c r="N48" s="465"/>
    </row>
    <row r="49" spans="1:14" hidden="1" x14ac:dyDescent="0.25">
      <c r="A49" s="455">
        <v>12</v>
      </c>
      <c r="B49" s="452">
        <v>43957</v>
      </c>
      <c r="C49" s="451" t="s">
        <v>82</v>
      </c>
      <c r="D49" s="461">
        <v>81150471</v>
      </c>
      <c r="E49" s="461"/>
      <c r="F49" s="453">
        <v>81150600</v>
      </c>
      <c r="G49" s="454">
        <f t="shared" si="0"/>
        <v>-129</v>
      </c>
      <c r="H49" s="362"/>
      <c r="I49" s="624"/>
      <c r="J49" s="362"/>
      <c r="L49" s="465"/>
      <c r="M49" s="465"/>
      <c r="N49" s="465"/>
    </row>
    <row r="50" spans="1:14" hidden="1" x14ac:dyDescent="0.25">
      <c r="A50" s="455">
        <v>13</v>
      </c>
      <c r="B50" s="452">
        <v>43957</v>
      </c>
      <c r="C50" s="451" t="s">
        <v>78</v>
      </c>
      <c r="D50" s="461">
        <v>152421300</v>
      </c>
      <c r="E50" s="461"/>
      <c r="F50" s="453">
        <v>152421300</v>
      </c>
      <c r="G50" s="454">
        <f t="shared" si="0"/>
        <v>0</v>
      </c>
      <c r="H50" s="362"/>
      <c r="I50" s="624"/>
      <c r="J50" s="362"/>
      <c r="L50" s="465"/>
      <c r="M50" s="465"/>
      <c r="N50" s="465"/>
    </row>
    <row r="51" spans="1:14" hidden="1" x14ac:dyDescent="0.25">
      <c r="A51" s="455">
        <v>14</v>
      </c>
      <c r="B51" s="452">
        <v>43957</v>
      </c>
      <c r="C51" s="451" t="s">
        <v>166</v>
      </c>
      <c r="D51" s="461">
        <v>44020497</v>
      </c>
      <c r="E51" s="461"/>
      <c r="F51" s="453">
        <v>44020500</v>
      </c>
      <c r="G51" s="454">
        <f t="shared" si="0"/>
        <v>-3</v>
      </c>
      <c r="H51" s="362"/>
      <c r="I51" s="624"/>
      <c r="J51" s="362"/>
      <c r="L51" s="465"/>
      <c r="M51" s="465"/>
      <c r="N51" s="465"/>
    </row>
    <row r="52" spans="1:14" hidden="1" x14ac:dyDescent="0.25">
      <c r="A52" s="455">
        <v>15</v>
      </c>
      <c r="B52" s="452">
        <v>43957</v>
      </c>
      <c r="C52" s="451" t="s">
        <v>3435</v>
      </c>
      <c r="D52" s="461"/>
      <c r="E52" s="461"/>
      <c r="F52" s="453"/>
      <c r="G52" s="454">
        <f t="shared" si="0"/>
        <v>0</v>
      </c>
      <c r="H52" s="362"/>
      <c r="I52" s="624"/>
      <c r="J52" s="362"/>
      <c r="L52" s="465"/>
      <c r="M52" s="465"/>
      <c r="N52" s="465"/>
    </row>
    <row r="53" spans="1:14" hidden="1" x14ac:dyDescent="0.25">
      <c r="A53" s="458"/>
      <c r="B53" s="457"/>
      <c r="C53" s="458"/>
      <c r="D53" s="464"/>
      <c r="E53" s="464"/>
      <c r="F53" s="459"/>
      <c r="G53" s="458"/>
      <c r="H53" s="532"/>
      <c r="I53" s="625"/>
      <c r="J53" s="532"/>
    </row>
    <row r="54" spans="1:14" hidden="1" x14ac:dyDescent="0.25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31">
        <f>D54-F54</f>
        <v>-14483715</v>
      </c>
      <c r="H54" s="362"/>
      <c r="I54" s="624"/>
      <c r="J54" s="362"/>
    </row>
    <row r="55" spans="1:14" hidden="1" x14ac:dyDescent="0.25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31">
        <f t="shared" ref="G55:G69" si="1">D55-F55</f>
        <v>-41</v>
      </c>
      <c r="H55" s="362"/>
      <c r="I55" s="624"/>
      <c r="J55" s="362"/>
    </row>
    <row r="56" spans="1:14" hidden="1" x14ac:dyDescent="0.25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31">
        <f t="shared" si="1"/>
        <v>-44184648</v>
      </c>
      <c r="H56" s="362"/>
      <c r="I56" s="624"/>
      <c r="J56" s="362"/>
    </row>
    <row r="57" spans="1:14" hidden="1" x14ac:dyDescent="0.25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31">
        <f t="shared" si="1"/>
        <v>7826708</v>
      </c>
      <c r="H57" s="362"/>
      <c r="I57" s="624"/>
      <c r="J57" s="362"/>
    </row>
    <row r="58" spans="1:14" hidden="1" x14ac:dyDescent="0.25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31">
        <f t="shared" si="1"/>
        <v>-44772521</v>
      </c>
      <c r="H58" s="362"/>
      <c r="I58" s="624"/>
      <c r="J58" s="362"/>
    </row>
    <row r="59" spans="1:14" hidden="1" x14ac:dyDescent="0.25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31">
        <f t="shared" si="1"/>
        <v>-5509110</v>
      </c>
      <c r="H59" s="362"/>
      <c r="I59" s="624"/>
      <c r="J59" s="362"/>
    </row>
    <row r="60" spans="1:14" hidden="1" x14ac:dyDescent="0.25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31">
        <f t="shared" si="1"/>
        <v>0</v>
      </c>
      <c r="H60" s="362"/>
      <c r="I60" s="624"/>
      <c r="J60" s="362"/>
    </row>
    <row r="61" spans="1:14" hidden="1" x14ac:dyDescent="0.25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31">
        <f t="shared" si="1"/>
        <v>-12725430</v>
      </c>
      <c r="H61" s="362"/>
      <c r="I61" s="624"/>
      <c r="J61" s="362"/>
    </row>
    <row r="62" spans="1:14" hidden="1" x14ac:dyDescent="0.25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31">
        <f t="shared" si="1"/>
        <v>-3687286</v>
      </c>
      <c r="H62" s="362"/>
      <c r="I62" s="624"/>
      <c r="J62" s="362"/>
    </row>
    <row r="63" spans="1:14" hidden="1" x14ac:dyDescent="0.25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31">
        <f t="shared" si="1"/>
        <v>-5289650</v>
      </c>
      <c r="H63" s="362"/>
      <c r="I63" s="624"/>
      <c r="J63" s="362"/>
    </row>
    <row r="64" spans="1:14" hidden="1" x14ac:dyDescent="0.25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31">
        <f t="shared" si="1"/>
        <v>-171436</v>
      </c>
      <c r="H64" s="362"/>
      <c r="I64" s="624"/>
      <c r="J64" s="362"/>
    </row>
    <row r="65" spans="1:10" hidden="1" x14ac:dyDescent="0.25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31">
        <f t="shared" si="1"/>
        <v>-53127</v>
      </c>
      <c r="H65" s="362"/>
      <c r="I65" s="624"/>
      <c r="J65" s="362"/>
    </row>
    <row r="66" spans="1:10" hidden="1" x14ac:dyDescent="0.25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31">
        <f t="shared" si="1"/>
        <v>0</v>
      </c>
      <c r="H66" s="362"/>
      <c r="I66" s="624"/>
      <c r="J66" s="362"/>
    </row>
    <row r="67" spans="1:10" hidden="1" x14ac:dyDescent="0.25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31">
        <f t="shared" si="1"/>
        <v>48438562</v>
      </c>
      <c r="H67" s="362"/>
      <c r="I67" s="624"/>
      <c r="J67" s="362"/>
    </row>
    <row r="68" spans="1:10" hidden="1" x14ac:dyDescent="0.25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31">
        <f t="shared" si="1"/>
        <v>0</v>
      </c>
      <c r="H68" s="362"/>
      <c r="I68" s="624"/>
      <c r="J68" s="362"/>
    </row>
    <row r="69" spans="1:10" hidden="1" x14ac:dyDescent="0.25">
      <c r="A69" s="532"/>
      <c r="B69" s="533"/>
      <c r="C69" s="532"/>
      <c r="D69" s="534"/>
      <c r="E69" s="534"/>
      <c r="F69" s="534"/>
      <c r="G69" s="535">
        <f t="shared" si="1"/>
        <v>0</v>
      </c>
      <c r="H69" s="532"/>
      <c r="I69" s="625"/>
      <c r="J69" s="532"/>
    </row>
    <row r="70" spans="1:10" hidden="1" x14ac:dyDescent="0.25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31">
        <f>D70+E70-F70</f>
        <v>-972877</v>
      </c>
      <c r="H70" s="362"/>
      <c r="I70" s="624"/>
      <c r="J70" s="362"/>
    </row>
    <row r="71" spans="1:10" hidden="1" x14ac:dyDescent="0.25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31">
        <f t="shared" ref="G71:G134" si="2">D71+E71-F71</f>
        <v>-39</v>
      </c>
      <c r="H71" s="362"/>
      <c r="I71" s="624"/>
      <c r="J71" s="362"/>
    </row>
    <row r="72" spans="1:10" hidden="1" x14ac:dyDescent="0.25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31">
        <f t="shared" si="2"/>
        <v>-41667157</v>
      </c>
      <c r="H72" s="362"/>
      <c r="I72" s="624"/>
      <c r="J72" s="362"/>
    </row>
    <row r="73" spans="1:10" hidden="1" x14ac:dyDescent="0.25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31">
        <f t="shared" si="2"/>
        <v>-34775966</v>
      </c>
      <c r="H73" s="362"/>
      <c r="I73" s="624"/>
      <c r="J73" s="362"/>
    </row>
    <row r="74" spans="1:10" hidden="1" x14ac:dyDescent="0.25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31">
        <f t="shared" si="2"/>
        <v>-8063434</v>
      </c>
      <c r="H74" s="362"/>
      <c r="I74" s="624"/>
      <c r="J74" s="362"/>
    </row>
    <row r="75" spans="1:10" hidden="1" x14ac:dyDescent="0.25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31">
        <f t="shared" si="2"/>
        <v>1592130</v>
      </c>
      <c r="H75" s="362"/>
      <c r="I75" s="624"/>
      <c r="J75" s="362"/>
    </row>
    <row r="76" spans="1:10" hidden="1" x14ac:dyDescent="0.25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31">
        <f t="shared" si="2"/>
        <v>0</v>
      </c>
      <c r="H76" s="362"/>
      <c r="I76" s="624"/>
      <c r="J76" s="362"/>
    </row>
    <row r="77" spans="1:10" hidden="1" x14ac:dyDescent="0.25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31">
        <f t="shared" si="2"/>
        <v>-920059</v>
      </c>
      <c r="H77" s="362"/>
      <c r="I77" s="624"/>
      <c r="J77" s="362"/>
    </row>
    <row r="78" spans="1:10" hidden="1" x14ac:dyDescent="0.25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31">
        <f t="shared" si="2"/>
        <v>0</v>
      </c>
      <c r="H78" s="362"/>
      <c r="I78" s="624"/>
      <c r="J78" s="362"/>
    </row>
    <row r="79" spans="1:10" hidden="1" x14ac:dyDescent="0.25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31">
        <f t="shared" si="2"/>
        <v>-6037</v>
      </c>
      <c r="H79" s="362"/>
      <c r="I79" s="624"/>
      <c r="J79" s="362"/>
    </row>
    <row r="80" spans="1:10" hidden="1" x14ac:dyDescent="0.25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31">
        <f t="shared" si="2"/>
        <v>-71</v>
      </c>
      <c r="H80" s="362"/>
      <c r="I80" s="624"/>
      <c r="J80" s="362"/>
    </row>
    <row r="81" spans="1:10" hidden="1" x14ac:dyDescent="0.25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31">
        <f t="shared" si="2"/>
        <v>2836788</v>
      </c>
      <c r="H81" s="362"/>
      <c r="I81" s="624"/>
      <c r="J81" s="362"/>
    </row>
    <row r="82" spans="1:10" hidden="1" x14ac:dyDescent="0.25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31">
        <f t="shared" si="2"/>
        <v>3525939</v>
      </c>
      <c r="H82" s="362"/>
      <c r="I82" s="624"/>
      <c r="J82" s="362"/>
    </row>
    <row r="83" spans="1:10" hidden="1" x14ac:dyDescent="0.25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31">
        <f t="shared" si="2"/>
        <v>0</v>
      </c>
      <c r="H83" s="362"/>
      <c r="I83" s="624"/>
      <c r="J83" s="362"/>
    </row>
    <row r="84" spans="1:10" hidden="1" x14ac:dyDescent="0.25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31">
        <f t="shared" si="2"/>
        <v>0</v>
      </c>
      <c r="H84" s="362"/>
      <c r="I84" s="624"/>
      <c r="J84" s="362"/>
    </row>
    <row r="85" spans="1:10" hidden="1" x14ac:dyDescent="0.25">
      <c r="A85" s="532"/>
      <c r="B85" s="532"/>
      <c r="C85" s="532"/>
      <c r="D85" s="532"/>
      <c r="E85" s="532"/>
      <c r="F85" s="532"/>
      <c r="G85" s="535">
        <f t="shared" si="2"/>
        <v>0</v>
      </c>
      <c r="H85" s="532"/>
      <c r="I85" s="625"/>
      <c r="J85" s="532"/>
    </row>
    <row r="86" spans="1:10" s="567" customFormat="1" hidden="1" x14ac:dyDescent="0.25">
      <c r="A86" s="362">
        <v>1</v>
      </c>
      <c r="B86" s="568">
        <v>43960</v>
      </c>
      <c r="C86" s="362" t="s">
        <v>80</v>
      </c>
      <c r="D86" s="370"/>
      <c r="E86" s="370"/>
      <c r="F86" s="370"/>
      <c r="G86" s="531">
        <f t="shared" si="2"/>
        <v>0</v>
      </c>
      <c r="H86" s="370"/>
      <c r="I86" s="626"/>
      <c r="J86" s="370"/>
    </row>
    <row r="87" spans="1:10" s="567" customFormat="1" hidden="1" x14ac:dyDescent="0.25">
      <c r="A87" s="362">
        <v>2</v>
      </c>
      <c r="B87" s="568">
        <v>43960</v>
      </c>
      <c r="C87" s="362" t="s">
        <v>83</v>
      </c>
      <c r="D87" s="370"/>
      <c r="E87" s="370"/>
      <c r="F87" s="370"/>
      <c r="G87" s="531">
        <f t="shared" si="2"/>
        <v>0</v>
      </c>
      <c r="H87" s="370"/>
      <c r="I87" s="626"/>
      <c r="J87" s="370"/>
    </row>
    <row r="88" spans="1:10" s="567" customFormat="1" hidden="1" x14ac:dyDescent="0.25">
      <c r="A88" s="362">
        <v>3</v>
      </c>
      <c r="B88" s="568">
        <v>43960</v>
      </c>
      <c r="C88" s="362" t="s">
        <v>88</v>
      </c>
      <c r="D88" s="370"/>
      <c r="E88" s="370"/>
      <c r="F88" s="370"/>
      <c r="G88" s="531">
        <f t="shared" si="2"/>
        <v>0</v>
      </c>
      <c r="H88" s="370"/>
      <c r="I88" s="626"/>
      <c r="J88" s="370"/>
    </row>
    <row r="89" spans="1:10" s="567" customFormat="1" hidden="1" x14ac:dyDescent="0.25">
      <c r="A89" s="362">
        <v>4</v>
      </c>
      <c r="B89" s="568">
        <v>43960</v>
      </c>
      <c r="C89" s="362" t="s">
        <v>146</v>
      </c>
      <c r="D89" s="370"/>
      <c r="E89" s="370"/>
      <c r="F89" s="370"/>
      <c r="G89" s="531">
        <f t="shared" si="2"/>
        <v>0</v>
      </c>
      <c r="H89" s="370"/>
      <c r="I89" s="626"/>
      <c r="J89" s="370"/>
    </row>
    <row r="90" spans="1:10" s="567" customFormat="1" hidden="1" x14ac:dyDescent="0.25">
      <c r="A90" s="362">
        <v>5</v>
      </c>
      <c r="B90" s="568">
        <v>43960</v>
      </c>
      <c r="C90" s="362" t="s">
        <v>86</v>
      </c>
      <c r="D90" s="370"/>
      <c r="E90" s="370"/>
      <c r="F90" s="370"/>
      <c r="G90" s="531">
        <f t="shared" si="2"/>
        <v>0</v>
      </c>
      <c r="H90" s="370"/>
      <c r="I90" s="626"/>
      <c r="J90" s="370"/>
    </row>
    <row r="91" spans="1:10" s="567" customFormat="1" hidden="1" x14ac:dyDescent="0.25">
      <c r="A91" s="362">
        <v>6</v>
      </c>
      <c r="B91" s="568">
        <v>43960</v>
      </c>
      <c r="C91" s="362" t="s">
        <v>89</v>
      </c>
      <c r="D91" s="565">
        <v>90275535</v>
      </c>
      <c r="E91" s="565">
        <v>4892614</v>
      </c>
      <c r="F91" s="565">
        <v>95168200</v>
      </c>
      <c r="G91" s="531">
        <f t="shared" si="2"/>
        <v>-51</v>
      </c>
      <c r="H91" s="370"/>
      <c r="I91" s="626"/>
      <c r="J91" s="370"/>
    </row>
    <row r="92" spans="1:10" s="567" customFormat="1" hidden="1" x14ac:dyDescent="0.25">
      <c r="A92" s="362">
        <v>7</v>
      </c>
      <c r="B92" s="568">
        <v>43960</v>
      </c>
      <c r="C92" s="362" t="s">
        <v>4751</v>
      </c>
      <c r="D92" s="370"/>
      <c r="E92" s="370"/>
      <c r="F92" s="370"/>
      <c r="G92" s="531">
        <f t="shared" si="2"/>
        <v>0</v>
      </c>
      <c r="H92" s="370"/>
      <c r="I92" s="626"/>
      <c r="J92" s="370"/>
    </row>
    <row r="93" spans="1:10" s="567" customFormat="1" hidden="1" x14ac:dyDescent="0.25">
      <c r="A93" s="362">
        <v>8</v>
      </c>
      <c r="B93" s="568">
        <v>43960</v>
      </c>
      <c r="C93" s="362" t="s">
        <v>84</v>
      </c>
      <c r="D93" s="370"/>
      <c r="E93" s="370"/>
      <c r="F93" s="370"/>
      <c r="G93" s="531">
        <f t="shared" si="2"/>
        <v>0</v>
      </c>
      <c r="H93" s="370"/>
      <c r="I93" s="626"/>
      <c r="J93" s="370"/>
    </row>
    <row r="94" spans="1:10" s="567" customFormat="1" hidden="1" x14ac:dyDescent="0.25">
      <c r="A94" s="362">
        <v>9</v>
      </c>
      <c r="B94" s="568">
        <v>43960</v>
      </c>
      <c r="C94" s="362" t="s">
        <v>85</v>
      </c>
      <c r="D94" s="370"/>
      <c r="E94" s="370"/>
      <c r="F94" s="370"/>
      <c r="G94" s="531">
        <f t="shared" si="2"/>
        <v>0</v>
      </c>
      <c r="H94" s="370"/>
      <c r="I94" s="626"/>
      <c r="J94" s="370"/>
    </row>
    <row r="95" spans="1:10" s="567" customFormat="1" hidden="1" x14ac:dyDescent="0.25">
      <c r="A95" s="362">
        <v>10</v>
      </c>
      <c r="B95" s="568">
        <v>43960</v>
      </c>
      <c r="C95" s="362" t="s">
        <v>81</v>
      </c>
      <c r="D95" s="370"/>
      <c r="E95" s="370"/>
      <c r="F95" s="370"/>
      <c r="G95" s="531">
        <f t="shared" si="2"/>
        <v>0</v>
      </c>
      <c r="H95" s="370"/>
      <c r="I95" s="626"/>
      <c r="J95" s="370"/>
    </row>
    <row r="96" spans="1:10" s="567" customFormat="1" hidden="1" x14ac:dyDescent="0.25">
      <c r="A96" s="362">
        <v>11</v>
      </c>
      <c r="B96" s="568">
        <v>43960</v>
      </c>
      <c r="C96" s="362" t="s">
        <v>79</v>
      </c>
      <c r="D96" s="370"/>
      <c r="E96" s="370"/>
      <c r="F96" s="370"/>
      <c r="G96" s="531">
        <f t="shared" si="2"/>
        <v>0</v>
      </c>
      <c r="H96" s="370"/>
      <c r="I96" s="626"/>
      <c r="J96" s="370"/>
    </row>
    <row r="97" spans="1:10" s="567" customFormat="1" hidden="1" x14ac:dyDescent="0.25">
      <c r="A97" s="362">
        <v>12</v>
      </c>
      <c r="B97" s="568">
        <v>43960</v>
      </c>
      <c r="C97" s="362" t="s">
        <v>82</v>
      </c>
      <c r="D97" s="370"/>
      <c r="E97" s="370"/>
      <c r="F97" s="370"/>
      <c r="G97" s="531">
        <f t="shared" si="2"/>
        <v>0</v>
      </c>
      <c r="H97" s="370"/>
      <c r="I97" s="626"/>
      <c r="J97" s="370"/>
    </row>
    <row r="98" spans="1:10" s="567" customFormat="1" hidden="1" x14ac:dyDescent="0.25">
      <c r="A98" s="362">
        <v>13</v>
      </c>
      <c r="B98" s="568">
        <v>43960</v>
      </c>
      <c r="C98" s="362" t="s">
        <v>78</v>
      </c>
      <c r="D98" s="370"/>
      <c r="E98" s="370"/>
      <c r="F98" s="370"/>
      <c r="G98" s="531">
        <f t="shared" si="2"/>
        <v>0</v>
      </c>
      <c r="H98" s="370"/>
      <c r="I98" s="626"/>
      <c r="J98" s="370"/>
    </row>
    <row r="99" spans="1:10" s="567" customFormat="1" hidden="1" x14ac:dyDescent="0.25">
      <c r="A99" s="362">
        <v>14</v>
      </c>
      <c r="B99" s="568">
        <v>43960</v>
      </c>
      <c r="C99" s="362" t="s">
        <v>166</v>
      </c>
      <c r="D99" s="370"/>
      <c r="E99" s="370"/>
      <c r="F99" s="370"/>
      <c r="G99" s="531">
        <f t="shared" si="2"/>
        <v>0</v>
      </c>
      <c r="H99" s="370"/>
      <c r="I99" s="626"/>
      <c r="J99" s="370"/>
    </row>
    <row r="100" spans="1:10" s="567" customFormat="1" hidden="1" x14ac:dyDescent="0.25">
      <c r="A100" s="362">
        <v>15</v>
      </c>
      <c r="B100" s="568">
        <v>43960</v>
      </c>
      <c r="C100" s="362" t="s">
        <v>3435</v>
      </c>
      <c r="D100" s="370"/>
      <c r="E100" s="370"/>
      <c r="F100" s="370"/>
      <c r="G100" s="531">
        <f t="shared" si="2"/>
        <v>0</v>
      </c>
      <c r="H100" s="370"/>
      <c r="I100" s="626"/>
      <c r="J100" s="370"/>
    </row>
    <row r="101" spans="1:10" s="567" customFormat="1" hidden="1" x14ac:dyDescent="0.25">
      <c r="A101" s="532"/>
      <c r="B101" s="532"/>
      <c r="C101" s="532"/>
      <c r="D101" s="532"/>
      <c r="E101" s="532"/>
      <c r="F101" s="532"/>
      <c r="G101" s="535"/>
      <c r="H101" s="532"/>
      <c r="I101" s="625"/>
      <c r="J101" s="532"/>
    </row>
    <row r="102" spans="1:10" hidden="1" x14ac:dyDescent="0.25">
      <c r="A102" s="362">
        <v>1</v>
      </c>
      <c r="B102" s="364">
        <v>43962</v>
      </c>
      <c r="C102" s="362" t="s">
        <v>80</v>
      </c>
      <c r="D102" s="562">
        <v>282568054</v>
      </c>
      <c r="E102" s="562">
        <v>28041100</v>
      </c>
      <c r="F102" s="562">
        <v>311865800</v>
      </c>
      <c r="G102" s="531">
        <f t="shared" si="2"/>
        <v>-1256646</v>
      </c>
      <c r="H102" s="565">
        <v>98000082</v>
      </c>
      <c r="I102" s="624"/>
      <c r="J102" s="362"/>
    </row>
    <row r="103" spans="1:10" hidden="1" x14ac:dyDescent="0.25">
      <c r="A103" s="362">
        <v>2</v>
      </c>
      <c r="B103" s="364">
        <v>43962</v>
      </c>
      <c r="C103" s="362" t="s">
        <v>83</v>
      </c>
      <c r="D103" s="566">
        <v>439217355</v>
      </c>
      <c r="E103" s="566">
        <v>2815581</v>
      </c>
      <c r="F103" s="562">
        <v>442033000</v>
      </c>
      <c r="G103" s="531">
        <f t="shared" si="2"/>
        <v>-64</v>
      </c>
      <c r="H103" s="565">
        <v>11349060</v>
      </c>
      <c r="I103" s="624"/>
      <c r="J103" s="362"/>
    </row>
    <row r="104" spans="1:10" hidden="1" x14ac:dyDescent="0.25">
      <c r="A104" s="362">
        <v>3</v>
      </c>
      <c r="B104" s="364">
        <v>43962</v>
      </c>
      <c r="C104" s="362" t="s">
        <v>88</v>
      </c>
      <c r="D104" s="566">
        <v>326199807</v>
      </c>
      <c r="E104" s="566">
        <v>42719939</v>
      </c>
      <c r="F104" s="562">
        <v>368925900</v>
      </c>
      <c r="G104" s="531">
        <f t="shared" si="2"/>
        <v>-6154</v>
      </c>
      <c r="H104" s="565">
        <v>17501751</v>
      </c>
      <c r="I104" s="624"/>
      <c r="J104" s="362"/>
    </row>
    <row r="105" spans="1:10" hidden="1" x14ac:dyDescent="0.25">
      <c r="A105" s="362">
        <v>4</v>
      </c>
      <c r="B105" s="364">
        <v>43962</v>
      </c>
      <c r="C105" s="362" t="s">
        <v>146</v>
      </c>
      <c r="D105" s="566">
        <v>141412653</v>
      </c>
      <c r="E105" s="566">
        <v>37632906</v>
      </c>
      <c r="F105" s="562">
        <v>255197800</v>
      </c>
      <c r="G105" s="531">
        <f t="shared" si="2"/>
        <v>-76152241</v>
      </c>
      <c r="H105" s="565">
        <v>18031720</v>
      </c>
      <c r="I105" s="624"/>
      <c r="J105" s="362"/>
    </row>
    <row r="106" spans="1:10" hidden="1" x14ac:dyDescent="0.25">
      <c r="A106" s="362">
        <v>5</v>
      </c>
      <c r="B106" s="364">
        <v>43962</v>
      </c>
      <c r="C106" s="362" t="s">
        <v>86</v>
      </c>
      <c r="D106" s="566">
        <v>42611318</v>
      </c>
      <c r="E106" s="566">
        <v>255118582</v>
      </c>
      <c r="F106" s="562">
        <v>316219000</v>
      </c>
      <c r="G106" s="531">
        <f t="shared" si="2"/>
        <v>-18489100</v>
      </c>
      <c r="H106" s="565">
        <v>6928323</v>
      </c>
      <c r="I106" s="624"/>
      <c r="J106" s="362"/>
    </row>
    <row r="107" spans="1:10" s="567" customFormat="1" hidden="1" x14ac:dyDescent="0.25">
      <c r="A107" s="370">
        <v>6</v>
      </c>
      <c r="B107" s="568">
        <v>43962</v>
      </c>
      <c r="C107" s="370" t="s">
        <v>89</v>
      </c>
      <c r="D107" s="577">
        <v>97528763</v>
      </c>
      <c r="E107" s="577">
        <v>2864100</v>
      </c>
      <c r="F107" s="565">
        <v>106521300</v>
      </c>
      <c r="G107" s="578">
        <f t="shared" si="2"/>
        <v>-6128437</v>
      </c>
      <c r="H107" s="565">
        <v>5610595</v>
      </c>
      <c r="I107" s="626"/>
      <c r="J107" s="370"/>
    </row>
    <row r="108" spans="1:10" hidden="1" x14ac:dyDescent="0.25">
      <c r="A108" s="362">
        <v>7</v>
      </c>
      <c r="B108" s="364">
        <v>43962</v>
      </c>
      <c r="C108" s="362" t="s">
        <v>4751</v>
      </c>
      <c r="D108" s="566">
        <v>294922553</v>
      </c>
      <c r="E108" s="566">
        <v>13817447</v>
      </c>
      <c r="F108" s="562">
        <v>308739700</v>
      </c>
      <c r="G108" s="531">
        <f t="shared" si="2"/>
        <v>300</v>
      </c>
      <c r="H108" s="565">
        <v>9658849</v>
      </c>
      <c r="I108" s="624"/>
      <c r="J108" s="362"/>
    </row>
    <row r="109" spans="1:10" hidden="1" x14ac:dyDescent="0.25">
      <c r="A109" s="370">
        <v>8</v>
      </c>
      <c r="B109" s="568">
        <v>43962</v>
      </c>
      <c r="C109" s="370" t="s">
        <v>84</v>
      </c>
      <c r="D109" s="577">
        <v>315058857</v>
      </c>
      <c r="E109" s="577">
        <v>6762854</v>
      </c>
      <c r="F109" s="565">
        <v>330252500</v>
      </c>
      <c r="G109" s="578">
        <f t="shared" si="2"/>
        <v>-8430789</v>
      </c>
      <c r="H109" s="565">
        <v>7579693</v>
      </c>
      <c r="I109" s="624"/>
      <c r="J109" s="362"/>
    </row>
    <row r="110" spans="1:10" hidden="1" x14ac:dyDescent="0.25">
      <c r="A110" s="362">
        <v>9</v>
      </c>
      <c r="B110" s="364">
        <v>43962</v>
      </c>
      <c r="C110" s="362" t="s">
        <v>85</v>
      </c>
      <c r="D110" s="566">
        <v>53124887</v>
      </c>
      <c r="E110" s="566">
        <v>1512613</v>
      </c>
      <c r="F110" s="562">
        <v>54637500</v>
      </c>
      <c r="G110" s="531">
        <f t="shared" si="2"/>
        <v>0</v>
      </c>
      <c r="H110" s="565">
        <v>2817218</v>
      </c>
      <c r="I110" s="624"/>
      <c r="J110" s="362"/>
    </row>
    <row r="111" spans="1:10" hidden="1" x14ac:dyDescent="0.25">
      <c r="A111" s="362">
        <v>10</v>
      </c>
      <c r="B111" s="364">
        <v>43962</v>
      </c>
      <c r="C111" s="362" t="s">
        <v>81</v>
      </c>
      <c r="D111" s="566">
        <v>52748383</v>
      </c>
      <c r="E111" s="566">
        <v>38452558</v>
      </c>
      <c r="F111" s="562">
        <v>93858200</v>
      </c>
      <c r="G111" s="531">
        <f t="shared" si="2"/>
        <v>-2657259</v>
      </c>
      <c r="H111" s="565">
        <v>3094146</v>
      </c>
      <c r="I111" s="624"/>
      <c r="J111" s="362"/>
    </row>
    <row r="112" spans="1:10" hidden="1" x14ac:dyDescent="0.25">
      <c r="A112" s="362">
        <v>11</v>
      </c>
      <c r="B112" s="364">
        <v>43962</v>
      </c>
      <c r="C112" s="362" t="s">
        <v>79</v>
      </c>
      <c r="D112" s="566">
        <v>100670318</v>
      </c>
      <c r="E112" s="566">
        <v>5190200</v>
      </c>
      <c r="F112" s="562">
        <v>105897900</v>
      </c>
      <c r="G112" s="531">
        <f t="shared" si="2"/>
        <v>-37382</v>
      </c>
      <c r="H112" s="565">
        <v>2786998</v>
      </c>
      <c r="I112" s="624"/>
      <c r="J112" s="362"/>
    </row>
    <row r="113" spans="1:10" hidden="1" x14ac:dyDescent="0.25">
      <c r="A113" s="362">
        <v>12</v>
      </c>
      <c r="B113" s="364">
        <v>43962</v>
      </c>
      <c r="C113" s="362" t="s">
        <v>82</v>
      </c>
      <c r="D113" s="566">
        <v>38653610</v>
      </c>
      <c r="E113" s="566">
        <v>13684991</v>
      </c>
      <c r="F113" s="562">
        <v>52338600</v>
      </c>
      <c r="G113" s="531">
        <f t="shared" si="2"/>
        <v>1</v>
      </c>
      <c r="H113" s="565">
        <v>3295271</v>
      </c>
      <c r="I113" s="624"/>
      <c r="J113" s="362"/>
    </row>
    <row r="114" spans="1:10" hidden="1" x14ac:dyDescent="0.25">
      <c r="A114" s="370">
        <v>13</v>
      </c>
      <c r="B114" s="568">
        <v>43962</v>
      </c>
      <c r="C114" s="370" t="s">
        <v>78</v>
      </c>
      <c r="D114" s="577">
        <v>212500935</v>
      </c>
      <c r="E114" s="577">
        <v>3579365</v>
      </c>
      <c r="F114" s="565">
        <v>216080300</v>
      </c>
      <c r="G114" s="578">
        <f t="shared" si="2"/>
        <v>0</v>
      </c>
      <c r="H114" s="565">
        <v>6587150</v>
      </c>
      <c r="I114" s="624"/>
      <c r="J114" s="362"/>
    </row>
    <row r="115" spans="1:10" hidden="1" x14ac:dyDescent="0.25">
      <c r="A115" s="362">
        <v>14</v>
      </c>
      <c r="B115" s="364">
        <v>43962</v>
      </c>
      <c r="C115" s="362" t="s">
        <v>166</v>
      </c>
      <c r="D115" s="566">
        <v>65250823</v>
      </c>
      <c r="E115" s="566"/>
      <c r="F115" s="562">
        <v>65250900</v>
      </c>
      <c r="G115" s="531">
        <f t="shared" si="2"/>
        <v>-77</v>
      </c>
      <c r="H115" s="562"/>
      <c r="I115" s="624"/>
      <c r="J115" s="362"/>
    </row>
    <row r="116" spans="1:10" hidden="1" x14ac:dyDescent="0.25">
      <c r="A116" s="362">
        <v>15</v>
      </c>
      <c r="B116" s="364">
        <v>43962</v>
      </c>
      <c r="C116" s="362" t="s">
        <v>3435</v>
      </c>
      <c r="D116" s="562"/>
      <c r="E116" s="562"/>
      <c r="F116" s="562"/>
      <c r="G116" s="531">
        <f t="shared" si="2"/>
        <v>0</v>
      </c>
      <c r="H116" s="562"/>
      <c r="I116" s="624"/>
      <c r="J116" s="362"/>
    </row>
    <row r="117" spans="1:10" hidden="1" x14ac:dyDescent="0.25">
      <c r="A117" s="532"/>
      <c r="B117" s="532"/>
      <c r="C117" s="532"/>
      <c r="D117" s="564"/>
      <c r="E117" s="564"/>
      <c r="F117" s="564"/>
      <c r="G117" s="535">
        <f t="shared" si="2"/>
        <v>0</v>
      </c>
      <c r="H117" s="564"/>
      <c r="I117" s="625"/>
      <c r="J117" s="532"/>
    </row>
    <row r="118" spans="1:10" hidden="1" x14ac:dyDescent="0.25">
      <c r="A118" s="362">
        <v>1</v>
      </c>
      <c r="B118" s="364">
        <v>43963</v>
      </c>
      <c r="C118" s="362" t="s">
        <v>80</v>
      </c>
      <c r="D118" s="562">
        <v>321466246</v>
      </c>
      <c r="E118" s="562">
        <v>16883306</v>
      </c>
      <c r="F118" s="562">
        <v>339815600</v>
      </c>
      <c r="G118" s="562">
        <f t="shared" si="2"/>
        <v>-1466048</v>
      </c>
      <c r="H118" s="562">
        <v>34318083</v>
      </c>
      <c r="I118" s="624"/>
      <c r="J118" s="362"/>
    </row>
    <row r="119" spans="1:10" hidden="1" x14ac:dyDescent="0.25">
      <c r="A119" s="362">
        <v>2</v>
      </c>
      <c r="B119" s="364">
        <v>43963</v>
      </c>
      <c r="C119" s="362" t="s">
        <v>83</v>
      </c>
      <c r="D119" s="562">
        <v>336409862</v>
      </c>
      <c r="E119" s="562">
        <v>27264558</v>
      </c>
      <c r="F119" s="562">
        <v>363674500</v>
      </c>
      <c r="G119" s="562">
        <f t="shared" si="2"/>
        <v>-80</v>
      </c>
      <c r="H119" s="562">
        <v>7974582</v>
      </c>
      <c r="I119" s="627"/>
      <c r="J119" s="362"/>
    </row>
    <row r="120" spans="1:10" hidden="1" x14ac:dyDescent="0.25">
      <c r="A120" s="362">
        <v>3</v>
      </c>
      <c r="B120" s="364">
        <v>43963</v>
      </c>
      <c r="C120" s="362" t="s">
        <v>88</v>
      </c>
      <c r="D120" s="562">
        <v>368859354</v>
      </c>
      <c r="E120" s="562">
        <v>12935715</v>
      </c>
      <c r="F120" s="562">
        <v>381795700</v>
      </c>
      <c r="G120" s="562">
        <f t="shared" si="2"/>
        <v>-631</v>
      </c>
      <c r="H120" s="562">
        <v>17087751</v>
      </c>
      <c r="I120" s="624"/>
      <c r="J120" s="362"/>
    </row>
    <row r="121" spans="1:10" hidden="1" x14ac:dyDescent="0.25">
      <c r="A121" s="362">
        <v>4</v>
      </c>
      <c r="B121" s="364">
        <v>43963</v>
      </c>
      <c r="C121" s="362" t="s">
        <v>146</v>
      </c>
      <c r="D121" s="562">
        <v>218489608</v>
      </c>
      <c r="E121" s="562">
        <v>4571528</v>
      </c>
      <c r="F121" s="562">
        <v>275819200</v>
      </c>
      <c r="G121" s="562">
        <f t="shared" si="2"/>
        <v>-52758064</v>
      </c>
      <c r="H121" s="562">
        <v>17530920</v>
      </c>
      <c r="I121" s="624"/>
      <c r="J121" s="362"/>
    </row>
    <row r="122" spans="1:10" hidden="1" x14ac:dyDescent="0.25">
      <c r="A122" s="362">
        <v>5</v>
      </c>
      <c r="B122" s="364">
        <v>43963</v>
      </c>
      <c r="C122" s="362" t="s">
        <v>86</v>
      </c>
      <c r="D122" s="562">
        <v>42293531</v>
      </c>
      <c r="E122" s="562">
        <v>73979058</v>
      </c>
      <c r="F122" s="562">
        <v>122667000</v>
      </c>
      <c r="G122" s="562">
        <f t="shared" si="2"/>
        <v>-6394411</v>
      </c>
      <c r="H122" s="562">
        <v>6862823</v>
      </c>
      <c r="I122" s="624"/>
      <c r="J122" s="362"/>
    </row>
    <row r="123" spans="1:10" hidden="1" x14ac:dyDescent="0.25">
      <c r="A123" s="362">
        <v>6</v>
      </c>
      <c r="B123" s="364">
        <v>43963</v>
      </c>
      <c r="C123" s="362" t="s">
        <v>89</v>
      </c>
      <c r="D123" s="562">
        <v>118953686</v>
      </c>
      <c r="E123" s="562">
        <v>9649500</v>
      </c>
      <c r="F123" s="562">
        <v>128603200</v>
      </c>
      <c r="G123" s="562">
        <f t="shared" si="2"/>
        <v>-14</v>
      </c>
      <c r="H123" s="562">
        <v>15964163</v>
      </c>
      <c r="I123" s="624"/>
      <c r="J123" s="362"/>
    </row>
    <row r="124" spans="1:10" hidden="1" x14ac:dyDescent="0.25">
      <c r="A124" s="362">
        <v>7</v>
      </c>
      <c r="B124" s="364">
        <v>43963</v>
      </c>
      <c r="C124" s="362" t="s">
        <v>4751</v>
      </c>
      <c r="D124" s="562">
        <v>199713913</v>
      </c>
      <c r="E124" s="562">
        <v>19440987</v>
      </c>
      <c r="F124" s="562">
        <v>219154900</v>
      </c>
      <c r="G124" s="562">
        <f t="shared" si="2"/>
        <v>0</v>
      </c>
      <c r="H124" s="562">
        <v>9634849</v>
      </c>
      <c r="I124" s="624"/>
      <c r="J124" s="362"/>
    </row>
    <row r="125" spans="1:10" hidden="1" x14ac:dyDescent="0.25">
      <c r="A125" s="362">
        <v>8</v>
      </c>
      <c r="B125" s="364">
        <v>43963</v>
      </c>
      <c r="C125" s="362" t="s">
        <v>84</v>
      </c>
      <c r="D125" s="562">
        <v>221954768</v>
      </c>
      <c r="E125" s="562">
        <v>18416164</v>
      </c>
      <c r="F125" s="562">
        <v>242856300</v>
      </c>
      <c r="G125" s="562">
        <f t="shared" si="2"/>
        <v>-2485368</v>
      </c>
      <c r="H125" s="562">
        <v>25215716</v>
      </c>
      <c r="I125" s="624"/>
      <c r="J125" s="362"/>
    </row>
    <row r="126" spans="1:10" hidden="1" x14ac:dyDescent="0.25">
      <c r="A126" s="362">
        <v>9</v>
      </c>
      <c r="B126" s="364">
        <v>43963</v>
      </c>
      <c r="C126" s="362" t="s">
        <v>85</v>
      </c>
      <c r="D126" s="562">
        <v>21122593</v>
      </c>
      <c r="E126" s="562">
        <v>3575107</v>
      </c>
      <c r="F126" s="562">
        <v>24697700</v>
      </c>
      <c r="G126" s="562">
        <f t="shared" si="2"/>
        <v>0</v>
      </c>
      <c r="H126" s="562">
        <v>1977005</v>
      </c>
      <c r="I126" s="624"/>
      <c r="J126" s="362"/>
    </row>
    <row r="127" spans="1:10" hidden="1" x14ac:dyDescent="0.25">
      <c r="A127" s="362">
        <v>10</v>
      </c>
      <c r="B127" s="364">
        <v>43963</v>
      </c>
      <c r="C127" s="362" t="s">
        <v>81</v>
      </c>
      <c r="D127" s="562">
        <v>38818524</v>
      </c>
      <c r="E127" s="562">
        <v>16752592</v>
      </c>
      <c r="F127" s="562">
        <v>56658900</v>
      </c>
      <c r="G127" s="562">
        <f t="shared" si="2"/>
        <v>-1087784</v>
      </c>
      <c r="H127" s="562">
        <v>17978396</v>
      </c>
      <c r="I127" s="624"/>
      <c r="J127" s="362"/>
    </row>
    <row r="128" spans="1:10" hidden="1" x14ac:dyDescent="0.25">
      <c r="A128" s="362">
        <v>11</v>
      </c>
      <c r="B128" s="364">
        <v>43963</v>
      </c>
      <c r="C128" s="362" t="s">
        <v>79</v>
      </c>
      <c r="D128" s="562">
        <v>37989466</v>
      </c>
      <c r="E128" s="562">
        <v>7853350</v>
      </c>
      <c r="F128" s="562">
        <v>45842600</v>
      </c>
      <c r="G128" s="562">
        <f t="shared" si="2"/>
        <v>216</v>
      </c>
      <c r="H128" s="562">
        <v>4635224</v>
      </c>
      <c r="I128" s="624"/>
      <c r="J128" s="362"/>
    </row>
    <row r="129" spans="1:10" hidden="1" x14ac:dyDescent="0.25">
      <c r="A129" s="362">
        <v>12</v>
      </c>
      <c r="B129" s="364">
        <v>43963</v>
      </c>
      <c r="C129" s="362" t="s">
        <v>82</v>
      </c>
      <c r="D129" s="562">
        <v>41046795</v>
      </c>
      <c r="E129" s="562">
        <v>741000</v>
      </c>
      <c r="F129" s="562">
        <v>41787800</v>
      </c>
      <c r="G129" s="562">
        <f t="shared" si="2"/>
        <v>-5</v>
      </c>
      <c r="H129" s="562">
        <v>7998077</v>
      </c>
      <c r="I129" s="624"/>
      <c r="J129" s="362"/>
    </row>
    <row r="130" spans="1:10" hidden="1" x14ac:dyDescent="0.25">
      <c r="A130" s="362">
        <v>13</v>
      </c>
      <c r="B130" s="364">
        <v>43963</v>
      </c>
      <c r="C130" s="362" t="s">
        <v>78</v>
      </c>
      <c r="D130" s="562">
        <v>112408868</v>
      </c>
      <c r="E130" s="562">
        <v>3885632</v>
      </c>
      <c r="F130" s="562">
        <v>116294500</v>
      </c>
      <c r="G130" s="562">
        <f t="shared" si="2"/>
        <v>0</v>
      </c>
      <c r="H130" s="562">
        <v>14906195</v>
      </c>
      <c r="I130" s="624"/>
      <c r="J130" s="362"/>
    </row>
    <row r="131" spans="1:10" hidden="1" x14ac:dyDescent="0.25">
      <c r="A131" s="362">
        <v>14</v>
      </c>
      <c r="B131" s="364">
        <v>43963</v>
      </c>
      <c r="C131" s="362" t="s">
        <v>166</v>
      </c>
      <c r="D131" s="562">
        <v>119836139</v>
      </c>
      <c r="E131" s="562"/>
      <c r="F131" s="562">
        <v>119836200</v>
      </c>
      <c r="G131" s="562">
        <f t="shared" si="2"/>
        <v>-61</v>
      </c>
      <c r="H131" s="562"/>
      <c r="I131" s="624"/>
      <c r="J131" s="362"/>
    </row>
    <row r="132" spans="1:10" hidden="1" x14ac:dyDescent="0.25">
      <c r="A132" s="362">
        <v>15</v>
      </c>
      <c r="B132" s="364">
        <v>43963</v>
      </c>
      <c r="C132" s="362" t="s">
        <v>3435</v>
      </c>
      <c r="D132" s="562"/>
      <c r="E132" s="562"/>
      <c r="F132" s="562"/>
      <c r="G132" s="562">
        <f t="shared" si="2"/>
        <v>0</v>
      </c>
      <c r="H132" s="562"/>
      <c r="I132" s="624"/>
      <c r="J132" s="362"/>
    </row>
    <row r="133" spans="1:10" hidden="1" x14ac:dyDescent="0.25">
      <c r="A133" s="532"/>
      <c r="B133" s="532"/>
      <c r="C133" s="532"/>
      <c r="D133" s="532"/>
      <c r="E133" s="532"/>
      <c r="F133" s="532"/>
      <c r="G133" s="564">
        <f t="shared" si="2"/>
        <v>0</v>
      </c>
      <c r="H133" s="532"/>
      <c r="I133" s="625"/>
      <c r="J133" s="532"/>
    </row>
    <row r="134" spans="1:10" hidden="1" x14ac:dyDescent="0.25">
      <c r="A134" s="362">
        <v>1</v>
      </c>
      <c r="B134" s="364">
        <v>43964</v>
      </c>
      <c r="C134" s="362" t="s">
        <v>80</v>
      </c>
      <c r="D134" s="562">
        <v>224765962</v>
      </c>
      <c r="E134" s="562">
        <v>38241969</v>
      </c>
      <c r="F134" s="562">
        <v>263007700</v>
      </c>
      <c r="G134" s="562">
        <f t="shared" si="2"/>
        <v>231</v>
      </c>
      <c r="H134" s="562">
        <v>34318083</v>
      </c>
      <c r="I134" s="624"/>
      <c r="J134" s="362"/>
    </row>
    <row r="135" spans="1:10" hidden="1" x14ac:dyDescent="0.25">
      <c r="A135" s="362">
        <v>2</v>
      </c>
      <c r="B135" s="364">
        <v>43964</v>
      </c>
      <c r="C135" s="362" t="s">
        <v>83</v>
      </c>
      <c r="D135" s="562">
        <v>186093325</v>
      </c>
      <c r="E135" s="562">
        <v>44737723</v>
      </c>
      <c r="F135" s="562">
        <v>230831100</v>
      </c>
      <c r="G135" s="562">
        <f t="shared" ref="G135:G198" si="3">D135+E135-F135</f>
        <v>-52</v>
      </c>
      <c r="H135" s="562">
        <v>6429982</v>
      </c>
      <c r="I135" s="624"/>
      <c r="J135" s="362"/>
    </row>
    <row r="136" spans="1:10" hidden="1" x14ac:dyDescent="0.25">
      <c r="A136" s="362">
        <v>3</v>
      </c>
      <c r="B136" s="364">
        <v>43964</v>
      </c>
      <c r="C136" s="362" t="s">
        <v>88</v>
      </c>
      <c r="D136" s="562">
        <v>295711547</v>
      </c>
      <c r="E136" s="562">
        <v>11756428</v>
      </c>
      <c r="F136" s="562">
        <v>307455700</v>
      </c>
      <c r="G136" s="562">
        <f t="shared" si="3"/>
        <v>12275</v>
      </c>
      <c r="H136" s="562">
        <v>14835551</v>
      </c>
      <c r="I136" s="624"/>
      <c r="J136" s="362"/>
    </row>
    <row r="137" spans="1:10" hidden="1" x14ac:dyDescent="0.25">
      <c r="A137" s="362">
        <v>4</v>
      </c>
      <c r="B137" s="364">
        <v>43964</v>
      </c>
      <c r="C137" s="362" t="s">
        <v>146</v>
      </c>
      <c r="D137" s="562">
        <v>163763373</v>
      </c>
      <c r="E137" s="562">
        <v>15428666</v>
      </c>
      <c r="F137" s="562">
        <v>179192000</v>
      </c>
      <c r="G137" s="562">
        <f t="shared" si="3"/>
        <v>39</v>
      </c>
      <c r="H137" s="562">
        <v>15464920</v>
      </c>
      <c r="I137" s="624"/>
      <c r="J137" s="362"/>
    </row>
    <row r="138" spans="1:10" hidden="1" x14ac:dyDescent="0.25">
      <c r="A138" s="362">
        <v>5</v>
      </c>
      <c r="B138" s="364">
        <v>43964</v>
      </c>
      <c r="C138" s="362" t="s">
        <v>86</v>
      </c>
      <c r="D138" s="562">
        <v>80325567</v>
      </c>
      <c r="E138" s="562">
        <v>49977980</v>
      </c>
      <c r="F138" s="562">
        <v>130303400</v>
      </c>
      <c r="G138" s="562">
        <f t="shared" si="3"/>
        <v>147</v>
      </c>
      <c r="H138" s="562">
        <v>5202823</v>
      </c>
      <c r="I138" s="624"/>
      <c r="J138" s="362"/>
    </row>
    <row r="139" spans="1:10" hidden="1" x14ac:dyDescent="0.25">
      <c r="A139" s="362">
        <v>6</v>
      </c>
      <c r="B139" s="364">
        <v>43964</v>
      </c>
      <c r="C139" s="362" t="s">
        <v>89</v>
      </c>
      <c r="D139" s="562">
        <v>116868676</v>
      </c>
      <c r="E139" s="562">
        <v>23350682</v>
      </c>
      <c r="F139" s="562">
        <v>140219400</v>
      </c>
      <c r="G139" s="562">
        <f t="shared" si="3"/>
        <v>-42</v>
      </c>
      <c r="H139" s="562">
        <v>13199663</v>
      </c>
      <c r="I139" s="624"/>
      <c r="J139" s="362"/>
    </row>
    <row r="140" spans="1:10" hidden="1" x14ac:dyDescent="0.25">
      <c r="A140" s="362">
        <v>7</v>
      </c>
      <c r="B140" s="364">
        <v>43964</v>
      </c>
      <c r="C140" s="362" t="s">
        <v>4751</v>
      </c>
      <c r="D140" s="562">
        <v>160341682</v>
      </c>
      <c r="E140" s="562">
        <v>31545118</v>
      </c>
      <c r="F140" s="562">
        <v>191886800</v>
      </c>
      <c r="G140" s="562">
        <f t="shared" si="3"/>
        <v>0</v>
      </c>
      <c r="H140" s="562">
        <v>20726833</v>
      </c>
      <c r="I140" s="624"/>
      <c r="J140" s="362"/>
    </row>
    <row r="141" spans="1:10" hidden="1" x14ac:dyDescent="0.25">
      <c r="A141" s="362">
        <v>8</v>
      </c>
      <c r="B141" s="364">
        <v>43964</v>
      </c>
      <c r="C141" s="362" t="s">
        <v>84</v>
      </c>
      <c r="D141" s="562">
        <v>290318692</v>
      </c>
      <c r="E141" s="562">
        <v>16001680</v>
      </c>
      <c r="F141" s="562">
        <v>306320400</v>
      </c>
      <c r="G141" s="562">
        <f t="shared" si="3"/>
        <v>-28</v>
      </c>
      <c r="H141" s="562">
        <v>25215716</v>
      </c>
      <c r="I141" s="624"/>
      <c r="J141" s="362"/>
    </row>
    <row r="142" spans="1:10" hidden="1" x14ac:dyDescent="0.25">
      <c r="A142" s="362">
        <v>9</v>
      </c>
      <c r="B142" s="364">
        <v>43964</v>
      </c>
      <c r="C142" s="362" t="s">
        <v>85</v>
      </c>
      <c r="D142" s="562">
        <v>45588264</v>
      </c>
      <c r="E142" s="562">
        <v>2135036</v>
      </c>
      <c r="F142" s="562">
        <v>47723300</v>
      </c>
      <c r="G142" s="562">
        <f t="shared" si="3"/>
        <v>0</v>
      </c>
      <c r="H142" s="562">
        <v>5025210</v>
      </c>
      <c r="I142" s="624"/>
      <c r="J142" s="362"/>
    </row>
    <row r="143" spans="1:10" hidden="1" x14ac:dyDescent="0.25">
      <c r="A143" s="362">
        <v>10</v>
      </c>
      <c r="B143" s="364">
        <v>43964</v>
      </c>
      <c r="C143" s="362" t="s">
        <v>81</v>
      </c>
      <c r="D143" s="562">
        <v>88783826</v>
      </c>
      <c r="E143" s="562">
        <v>6737669</v>
      </c>
      <c r="F143" s="562">
        <v>96213700</v>
      </c>
      <c r="G143" s="562">
        <f t="shared" si="3"/>
        <v>-692205</v>
      </c>
      <c r="H143" s="562">
        <v>15375294</v>
      </c>
      <c r="I143" s="624"/>
      <c r="J143" s="362"/>
    </row>
    <row r="144" spans="1:10" hidden="1" x14ac:dyDescent="0.25">
      <c r="A144" s="362">
        <v>11</v>
      </c>
      <c r="B144" s="364">
        <v>43964</v>
      </c>
      <c r="C144" s="362" t="s">
        <v>79</v>
      </c>
      <c r="D144" s="562">
        <v>118101858</v>
      </c>
      <c r="E144" s="562">
        <v>2831028</v>
      </c>
      <c r="F144" s="562">
        <v>120932900</v>
      </c>
      <c r="G144" s="562">
        <f t="shared" si="3"/>
        <v>-14</v>
      </c>
      <c r="H144" s="562">
        <v>3741262</v>
      </c>
      <c r="I144" s="624"/>
      <c r="J144" s="362"/>
    </row>
    <row r="145" spans="1:10" hidden="1" x14ac:dyDescent="0.25">
      <c r="A145" s="362">
        <v>12</v>
      </c>
      <c r="B145" s="364">
        <v>43964</v>
      </c>
      <c r="C145" s="362" t="s">
        <v>82</v>
      </c>
      <c r="D145" s="562">
        <v>88923394</v>
      </c>
      <c r="E145" s="562">
        <v>776192</v>
      </c>
      <c r="F145" s="562">
        <v>89699600</v>
      </c>
      <c r="G145" s="562">
        <f t="shared" si="3"/>
        <v>-14</v>
      </c>
      <c r="H145" s="562">
        <v>7998077</v>
      </c>
      <c r="I145" s="624"/>
      <c r="J145" s="362"/>
    </row>
    <row r="146" spans="1:10" hidden="1" x14ac:dyDescent="0.25">
      <c r="A146" s="362">
        <v>13</v>
      </c>
      <c r="B146" s="364">
        <v>43964</v>
      </c>
      <c r="C146" s="362" t="s">
        <v>78</v>
      </c>
      <c r="D146" s="562">
        <v>63670127</v>
      </c>
      <c r="E146" s="562">
        <v>8971173</v>
      </c>
      <c r="F146" s="562">
        <v>72641300</v>
      </c>
      <c r="G146" s="562">
        <f t="shared" si="3"/>
        <v>0</v>
      </c>
      <c r="H146" s="562">
        <v>14574695</v>
      </c>
      <c r="I146" s="624"/>
      <c r="J146" s="362"/>
    </row>
    <row r="147" spans="1:10" hidden="1" x14ac:dyDescent="0.25">
      <c r="A147" s="362">
        <v>14</v>
      </c>
      <c r="B147" s="364">
        <v>43964</v>
      </c>
      <c r="C147" s="362" t="s">
        <v>166</v>
      </c>
      <c r="D147" s="562">
        <v>63187946</v>
      </c>
      <c r="E147" s="562"/>
      <c r="F147" s="562">
        <v>63188000</v>
      </c>
      <c r="G147" s="562">
        <f t="shared" si="3"/>
        <v>-54</v>
      </c>
      <c r="H147" s="562"/>
      <c r="I147" s="624"/>
      <c r="J147" s="362"/>
    </row>
    <row r="148" spans="1:10" hidden="1" x14ac:dyDescent="0.25">
      <c r="A148" s="362">
        <v>15</v>
      </c>
      <c r="B148" s="364">
        <v>43964</v>
      </c>
      <c r="C148" s="362" t="s">
        <v>3435</v>
      </c>
      <c r="D148" s="562"/>
      <c r="E148" s="562"/>
      <c r="F148" s="562"/>
      <c r="G148" s="562">
        <f t="shared" si="3"/>
        <v>0</v>
      </c>
      <c r="H148" s="562"/>
      <c r="I148" s="624"/>
      <c r="J148" s="362"/>
    </row>
    <row r="149" spans="1:10" hidden="1" x14ac:dyDescent="0.25">
      <c r="A149" s="532"/>
      <c r="B149" s="532"/>
      <c r="C149" s="532"/>
      <c r="D149" s="532"/>
      <c r="E149" s="532"/>
      <c r="F149" s="532"/>
      <c r="G149" s="564">
        <f t="shared" si="3"/>
        <v>0</v>
      </c>
      <c r="H149" s="532"/>
      <c r="I149" s="625"/>
      <c r="J149" s="532"/>
    </row>
    <row r="150" spans="1:10" hidden="1" x14ac:dyDescent="0.25">
      <c r="A150" s="362">
        <v>1</v>
      </c>
      <c r="B150" s="568">
        <v>43965</v>
      </c>
      <c r="C150" s="362" t="s">
        <v>80</v>
      </c>
      <c r="D150" s="565">
        <v>345251537</v>
      </c>
      <c r="E150" s="565">
        <v>2379728</v>
      </c>
      <c r="F150" s="565">
        <v>347631400</v>
      </c>
      <c r="G150" s="562">
        <f t="shared" si="3"/>
        <v>-135</v>
      </c>
      <c r="H150" s="565">
        <v>3761177</v>
      </c>
      <c r="I150" s="624"/>
      <c r="J150" s="362"/>
    </row>
    <row r="151" spans="1:10" hidden="1" x14ac:dyDescent="0.25">
      <c r="A151" s="362">
        <v>2</v>
      </c>
      <c r="B151" s="568">
        <v>43965</v>
      </c>
      <c r="C151" s="362" t="s">
        <v>83</v>
      </c>
      <c r="D151" s="562">
        <v>187169667</v>
      </c>
      <c r="E151" s="562">
        <v>10776251</v>
      </c>
      <c r="F151" s="562">
        <v>197946000</v>
      </c>
      <c r="G151" s="562">
        <f t="shared" si="3"/>
        <v>-82</v>
      </c>
      <c r="H151" s="562">
        <v>4690751</v>
      </c>
      <c r="I151" s="624"/>
      <c r="J151" s="362"/>
    </row>
    <row r="152" spans="1:10" hidden="1" x14ac:dyDescent="0.25">
      <c r="A152" s="362">
        <v>3</v>
      </c>
      <c r="B152" s="568">
        <v>43965</v>
      </c>
      <c r="C152" s="362" t="s">
        <v>88</v>
      </c>
      <c r="D152" s="562">
        <v>207372252</v>
      </c>
      <c r="E152" s="562">
        <v>4480406</v>
      </c>
      <c r="F152" s="562">
        <v>211852700</v>
      </c>
      <c r="G152" s="562">
        <f t="shared" si="3"/>
        <v>-42</v>
      </c>
      <c r="H152" s="562">
        <v>5279846</v>
      </c>
      <c r="I152" s="624"/>
      <c r="J152" s="362"/>
    </row>
    <row r="153" spans="1:10" hidden="1" x14ac:dyDescent="0.25">
      <c r="A153" s="362">
        <v>4</v>
      </c>
      <c r="B153" s="568">
        <v>43965</v>
      </c>
      <c r="C153" s="362" t="s">
        <v>146</v>
      </c>
      <c r="D153" s="562">
        <v>82057735</v>
      </c>
      <c r="E153" s="562">
        <v>160106849</v>
      </c>
      <c r="F153" s="562">
        <v>242164500</v>
      </c>
      <c r="G153" s="562">
        <f t="shared" si="3"/>
        <v>84</v>
      </c>
      <c r="H153" s="562">
        <v>6690905</v>
      </c>
      <c r="I153" s="624"/>
      <c r="J153" s="362"/>
    </row>
    <row r="154" spans="1:10" hidden="1" x14ac:dyDescent="0.25">
      <c r="A154" s="362">
        <v>5</v>
      </c>
      <c r="B154" s="568">
        <v>43965</v>
      </c>
      <c r="C154" s="362" t="s">
        <v>86</v>
      </c>
      <c r="D154" s="562">
        <v>116913715</v>
      </c>
      <c r="E154" s="562">
        <v>48607241</v>
      </c>
      <c r="F154" s="562">
        <v>165141600</v>
      </c>
      <c r="G154" s="562">
        <f t="shared" si="3"/>
        <v>379356</v>
      </c>
      <c r="H154" s="562">
        <v>2844058</v>
      </c>
      <c r="I154" s="624"/>
      <c r="J154" s="362"/>
    </row>
    <row r="155" spans="1:10" hidden="1" x14ac:dyDescent="0.25">
      <c r="A155" s="362">
        <v>6</v>
      </c>
      <c r="B155" s="568">
        <v>43965</v>
      </c>
      <c r="C155" s="362" t="s">
        <v>89</v>
      </c>
      <c r="D155" s="562">
        <v>194368387</v>
      </c>
      <c r="E155" s="562">
        <v>9516064</v>
      </c>
      <c r="F155" s="562">
        <v>203885000</v>
      </c>
      <c r="G155" s="562">
        <f t="shared" si="3"/>
        <v>-549</v>
      </c>
      <c r="H155" s="562">
        <v>6820012</v>
      </c>
      <c r="I155" s="624"/>
      <c r="J155" s="362"/>
    </row>
    <row r="156" spans="1:10" hidden="1" x14ac:dyDescent="0.25">
      <c r="A156" s="362">
        <v>7</v>
      </c>
      <c r="B156" s="568">
        <v>43965</v>
      </c>
      <c r="C156" s="362" t="s">
        <v>4751</v>
      </c>
      <c r="D156" s="562">
        <v>166921856</v>
      </c>
      <c r="E156" s="562">
        <v>9636944</v>
      </c>
      <c r="F156" s="562">
        <v>176558800</v>
      </c>
      <c r="G156" s="562">
        <f t="shared" si="3"/>
        <v>0</v>
      </c>
      <c r="H156" s="562">
        <v>12406058</v>
      </c>
      <c r="I156" s="624"/>
      <c r="J156" s="362"/>
    </row>
    <row r="157" spans="1:10" hidden="1" x14ac:dyDescent="0.25">
      <c r="A157" s="362">
        <v>8</v>
      </c>
      <c r="B157" s="568">
        <v>43965</v>
      </c>
      <c r="C157" s="362" t="s">
        <v>84</v>
      </c>
      <c r="D157" s="562">
        <v>189356923</v>
      </c>
      <c r="E157" s="562">
        <v>30149642</v>
      </c>
      <c r="F157" s="562">
        <v>219505700</v>
      </c>
      <c r="G157" s="562">
        <f t="shared" si="3"/>
        <v>865</v>
      </c>
      <c r="H157" s="562">
        <v>7579694</v>
      </c>
      <c r="I157" s="624"/>
      <c r="J157" s="362"/>
    </row>
    <row r="158" spans="1:10" hidden="1" x14ac:dyDescent="0.25">
      <c r="A158" s="362">
        <v>9</v>
      </c>
      <c r="B158" s="568">
        <v>43965</v>
      </c>
      <c r="C158" s="362" t="s">
        <v>85</v>
      </c>
      <c r="D158" s="562">
        <v>32305316</v>
      </c>
      <c r="E158" s="562">
        <v>2545484</v>
      </c>
      <c r="F158" s="562">
        <v>34850800</v>
      </c>
      <c r="G158" s="562">
        <f t="shared" si="3"/>
        <v>0</v>
      </c>
      <c r="H158" s="562">
        <v>2965355</v>
      </c>
      <c r="I158" s="624"/>
      <c r="J158" s="362"/>
    </row>
    <row r="159" spans="1:10" hidden="1" x14ac:dyDescent="0.25">
      <c r="A159" s="362">
        <v>10</v>
      </c>
      <c r="B159" s="568">
        <v>43965</v>
      </c>
      <c r="C159" s="362" t="s">
        <v>81</v>
      </c>
      <c r="D159" s="562">
        <v>215301113</v>
      </c>
      <c r="E159" s="562">
        <v>65617457</v>
      </c>
      <c r="F159" s="562">
        <v>283692700</v>
      </c>
      <c r="G159" s="562">
        <f t="shared" si="3"/>
        <v>-2774130</v>
      </c>
      <c r="H159" s="562">
        <v>3990915</v>
      </c>
      <c r="I159" s="624"/>
      <c r="J159" s="362"/>
    </row>
    <row r="160" spans="1:10" hidden="1" x14ac:dyDescent="0.25">
      <c r="A160" s="362">
        <v>11</v>
      </c>
      <c r="B160" s="568">
        <v>43965</v>
      </c>
      <c r="C160" s="362" t="s">
        <v>79</v>
      </c>
      <c r="D160" s="562">
        <v>72632482</v>
      </c>
      <c r="E160" s="562">
        <v>1862836</v>
      </c>
      <c r="F160" s="562">
        <v>74495300</v>
      </c>
      <c r="G160" s="562">
        <f t="shared" si="3"/>
        <v>18</v>
      </c>
      <c r="H160" s="562">
        <v>1658012</v>
      </c>
      <c r="I160" s="624"/>
      <c r="J160" s="362"/>
    </row>
    <row r="161" spans="1:10" hidden="1" x14ac:dyDescent="0.25">
      <c r="A161" s="362">
        <v>12</v>
      </c>
      <c r="B161" s="568">
        <v>43965</v>
      </c>
      <c r="C161" s="362" t="s">
        <v>82</v>
      </c>
      <c r="D161" s="562">
        <v>122279319</v>
      </c>
      <c r="E161" s="562"/>
      <c r="F161" s="562">
        <v>122279300</v>
      </c>
      <c r="G161" s="562">
        <f t="shared" si="3"/>
        <v>19</v>
      </c>
      <c r="H161" s="562">
        <v>2960177</v>
      </c>
      <c r="I161" s="624"/>
      <c r="J161" s="362"/>
    </row>
    <row r="162" spans="1:10" hidden="1" x14ac:dyDescent="0.25">
      <c r="A162" s="362">
        <v>13</v>
      </c>
      <c r="B162" s="568">
        <v>43965</v>
      </c>
      <c r="C162" s="362" t="s">
        <v>78</v>
      </c>
      <c r="D162" s="562">
        <v>92525014</v>
      </c>
      <c r="E162" s="562">
        <v>2050186</v>
      </c>
      <c r="F162" s="562">
        <v>94575200</v>
      </c>
      <c r="G162" s="562">
        <f t="shared" si="3"/>
        <v>0</v>
      </c>
      <c r="H162" s="562">
        <v>9731812</v>
      </c>
      <c r="I162" s="624"/>
      <c r="J162" s="362"/>
    </row>
    <row r="163" spans="1:10" hidden="1" x14ac:dyDescent="0.25">
      <c r="A163" s="362">
        <v>14</v>
      </c>
      <c r="B163" s="568">
        <v>43965</v>
      </c>
      <c r="C163" s="362" t="s">
        <v>166</v>
      </c>
      <c r="D163" s="562">
        <v>46515160</v>
      </c>
      <c r="E163" s="562"/>
      <c r="F163" s="562">
        <v>46515200</v>
      </c>
      <c r="G163" s="562">
        <f t="shared" si="3"/>
        <v>-40</v>
      </c>
      <c r="H163" s="562"/>
      <c r="I163" s="624"/>
      <c r="J163" s="362"/>
    </row>
    <row r="164" spans="1:10" hidden="1" x14ac:dyDescent="0.25">
      <c r="A164" s="362">
        <v>15</v>
      </c>
      <c r="B164" s="568">
        <v>43965</v>
      </c>
      <c r="C164" s="362" t="s">
        <v>3435</v>
      </c>
      <c r="D164" s="562"/>
      <c r="E164" s="562"/>
      <c r="F164" s="562"/>
      <c r="G164" s="562">
        <f t="shared" si="3"/>
        <v>0</v>
      </c>
      <c r="H164" s="562"/>
      <c r="I164" s="624"/>
      <c r="J164" s="362"/>
    </row>
    <row r="165" spans="1:10" hidden="1" x14ac:dyDescent="0.25">
      <c r="A165" s="532"/>
      <c r="B165" s="532"/>
      <c r="C165" s="532"/>
      <c r="D165" s="564"/>
      <c r="E165" s="564"/>
      <c r="F165" s="564"/>
      <c r="G165" s="564">
        <f t="shared" si="3"/>
        <v>0</v>
      </c>
      <c r="H165" s="564"/>
      <c r="I165" s="625"/>
      <c r="J165" s="532"/>
    </row>
    <row r="166" spans="1:10" hidden="1" x14ac:dyDescent="0.25">
      <c r="A166" s="362">
        <v>1</v>
      </c>
      <c r="B166" s="364">
        <v>43966</v>
      </c>
      <c r="C166" s="362" t="s">
        <v>80</v>
      </c>
      <c r="D166" s="562">
        <v>358910977</v>
      </c>
      <c r="E166" s="562">
        <v>4393963</v>
      </c>
      <c r="F166" s="562">
        <v>363305000</v>
      </c>
      <c r="G166" s="562">
        <f t="shared" si="3"/>
        <v>-60</v>
      </c>
      <c r="H166" s="562">
        <v>916966</v>
      </c>
      <c r="I166" s="624"/>
      <c r="J166" s="362"/>
    </row>
    <row r="167" spans="1:10" hidden="1" x14ac:dyDescent="0.25">
      <c r="A167" s="362">
        <v>2</v>
      </c>
      <c r="B167" s="364">
        <v>43966</v>
      </c>
      <c r="C167" s="362" t="s">
        <v>83</v>
      </c>
      <c r="D167" s="562">
        <v>231404379</v>
      </c>
      <c r="E167" s="562">
        <v>27108465</v>
      </c>
      <c r="F167" s="562">
        <v>258512900</v>
      </c>
      <c r="G167" s="562">
        <f t="shared" si="3"/>
        <v>-56</v>
      </c>
      <c r="H167" s="562">
        <v>3843901</v>
      </c>
      <c r="I167" s="624"/>
      <c r="J167" s="362"/>
    </row>
    <row r="168" spans="1:10" hidden="1" x14ac:dyDescent="0.25">
      <c r="A168" s="362">
        <v>3</v>
      </c>
      <c r="B168" s="364">
        <v>43966</v>
      </c>
      <c r="C168" s="362" t="s">
        <v>88</v>
      </c>
      <c r="D168" s="562">
        <v>141133660</v>
      </c>
      <c r="E168" s="562">
        <v>32605089</v>
      </c>
      <c r="F168" s="562">
        <v>173738800</v>
      </c>
      <c r="G168" s="562">
        <f t="shared" si="3"/>
        <v>-51</v>
      </c>
      <c r="H168" s="562">
        <v>5279846</v>
      </c>
      <c r="I168" s="624"/>
      <c r="J168" s="362"/>
    </row>
    <row r="169" spans="1:10" hidden="1" x14ac:dyDescent="0.25">
      <c r="A169" s="362">
        <v>4</v>
      </c>
      <c r="B169" s="364">
        <v>43966</v>
      </c>
      <c r="C169" s="362" t="s">
        <v>146</v>
      </c>
      <c r="D169" s="562">
        <v>153171306</v>
      </c>
      <c r="E169" s="562">
        <v>91063496</v>
      </c>
      <c r="F169" s="562">
        <v>244235000</v>
      </c>
      <c r="G169" s="562">
        <f t="shared" si="3"/>
        <v>-198</v>
      </c>
      <c r="H169" s="562">
        <v>3410605</v>
      </c>
      <c r="I169" s="624"/>
      <c r="J169" s="362"/>
    </row>
    <row r="170" spans="1:10" hidden="1" x14ac:dyDescent="0.25">
      <c r="A170" s="362">
        <v>5</v>
      </c>
      <c r="B170" s="364">
        <v>43966</v>
      </c>
      <c r="C170" s="362" t="s">
        <v>86</v>
      </c>
      <c r="D170" s="562">
        <v>25018383</v>
      </c>
      <c r="E170" s="562">
        <v>126846411</v>
      </c>
      <c r="F170" s="562">
        <v>151865000</v>
      </c>
      <c r="G170" s="562">
        <f t="shared" si="3"/>
        <v>-206</v>
      </c>
      <c r="H170" s="562">
        <v>2844058</v>
      </c>
      <c r="I170" s="624"/>
      <c r="J170" s="362"/>
    </row>
    <row r="171" spans="1:10" hidden="1" x14ac:dyDescent="0.25">
      <c r="A171" s="362">
        <v>6</v>
      </c>
      <c r="B171" s="364">
        <v>43966</v>
      </c>
      <c r="C171" s="362" t="s">
        <v>89</v>
      </c>
      <c r="D171" s="562">
        <v>155236478</v>
      </c>
      <c r="E171" s="562">
        <v>23477657</v>
      </c>
      <c r="F171" s="562">
        <v>178714200</v>
      </c>
      <c r="G171" s="562">
        <f t="shared" si="3"/>
        <v>-65</v>
      </c>
      <c r="H171" s="562">
        <v>6261812</v>
      </c>
      <c r="I171" s="624"/>
      <c r="J171" s="362"/>
    </row>
    <row r="172" spans="1:10" hidden="1" x14ac:dyDescent="0.25">
      <c r="A172" s="362">
        <v>7</v>
      </c>
      <c r="B172" s="364">
        <v>43966</v>
      </c>
      <c r="C172" s="362" t="s">
        <v>4751</v>
      </c>
      <c r="D172" s="562">
        <v>172384146</v>
      </c>
      <c r="E172" s="562">
        <v>48714654</v>
      </c>
      <c r="F172" s="562">
        <v>221098800</v>
      </c>
      <c r="G172" s="562">
        <f t="shared" si="3"/>
        <v>0</v>
      </c>
      <c r="H172" s="562">
        <v>11872058</v>
      </c>
      <c r="I172" s="624"/>
      <c r="J172" s="362"/>
    </row>
    <row r="173" spans="1:10" hidden="1" x14ac:dyDescent="0.25">
      <c r="A173" s="362">
        <v>8</v>
      </c>
      <c r="B173" s="364">
        <v>43966</v>
      </c>
      <c r="C173" s="362" t="s">
        <v>84</v>
      </c>
      <c r="D173" s="562">
        <v>160622383</v>
      </c>
      <c r="E173" s="562">
        <v>14469921</v>
      </c>
      <c r="F173" s="562">
        <v>219505700</v>
      </c>
      <c r="G173" s="562">
        <f t="shared" si="3"/>
        <v>-44413396</v>
      </c>
      <c r="H173" s="562">
        <v>7579694</v>
      </c>
      <c r="I173" s="624"/>
      <c r="J173" s="362"/>
    </row>
    <row r="174" spans="1:10" hidden="1" x14ac:dyDescent="0.25">
      <c r="A174" s="362">
        <v>9</v>
      </c>
      <c r="B174" s="364">
        <v>43966</v>
      </c>
      <c r="C174" s="362" t="s">
        <v>85</v>
      </c>
      <c r="D174" s="562">
        <v>17755523</v>
      </c>
      <c r="E174" s="562">
        <v>3409477</v>
      </c>
      <c r="F174" s="562">
        <v>21165000</v>
      </c>
      <c r="G174" s="562">
        <f t="shared" si="3"/>
        <v>0</v>
      </c>
      <c r="H174" s="562">
        <v>2965355</v>
      </c>
      <c r="I174" s="624"/>
      <c r="J174" s="362"/>
    </row>
    <row r="175" spans="1:10" hidden="1" x14ac:dyDescent="0.25">
      <c r="A175" s="362">
        <v>10</v>
      </c>
      <c r="B175" s="364">
        <v>43966</v>
      </c>
      <c r="C175" s="362" t="s">
        <v>81</v>
      </c>
      <c r="D175" s="562">
        <v>68723108</v>
      </c>
      <c r="E175" s="562">
        <v>13629970</v>
      </c>
      <c r="F175" s="562">
        <v>78950800</v>
      </c>
      <c r="G175" s="562">
        <f t="shared" si="3"/>
        <v>3402278</v>
      </c>
      <c r="H175" s="562">
        <v>3756415</v>
      </c>
      <c r="I175" s="624"/>
      <c r="J175" s="362"/>
    </row>
    <row r="176" spans="1:10" hidden="1" x14ac:dyDescent="0.25">
      <c r="A176" s="362">
        <v>11</v>
      </c>
      <c r="B176" s="364">
        <v>43966</v>
      </c>
      <c r="C176" s="362" t="s">
        <v>79</v>
      </c>
      <c r="D176" s="562">
        <v>57151945</v>
      </c>
      <c r="E176" s="562">
        <v>1127409</v>
      </c>
      <c r="F176" s="562">
        <v>58279400</v>
      </c>
      <c r="G176" s="562">
        <f t="shared" si="3"/>
        <v>-46</v>
      </c>
      <c r="H176" s="562">
        <v>1518012</v>
      </c>
      <c r="I176" s="624"/>
      <c r="J176" s="362"/>
    </row>
    <row r="177" spans="1:10" hidden="1" x14ac:dyDescent="0.25">
      <c r="A177" s="362">
        <v>12</v>
      </c>
      <c r="B177" s="364">
        <v>43966</v>
      </c>
      <c r="C177" s="362" t="s">
        <v>82</v>
      </c>
      <c r="D177" s="562">
        <v>57541270</v>
      </c>
      <c r="E177" s="562">
        <v>2057400</v>
      </c>
      <c r="F177" s="562">
        <v>59598700</v>
      </c>
      <c r="G177" s="562">
        <f t="shared" si="3"/>
        <v>-30</v>
      </c>
      <c r="H177" s="562">
        <v>2960177</v>
      </c>
      <c r="I177" s="624"/>
      <c r="J177" s="362"/>
    </row>
    <row r="178" spans="1:10" hidden="1" x14ac:dyDescent="0.25">
      <c r="A178" s="362">
        <v>13</v>
      </c>
      <c r="B178" s="364">
        <v>43966</v>
      </c>
      <c r="C178" s="362" t="s">
        <v>78</v>
      </c>
      <c r="D178" s="562">
        <v>137851190</v>
      </c>
      <c r="E178" s="562">
        <v>2532210</v>
      </c>
      <c r="F178" s="562">
        <v>140383400</v>
      </c>
      <c r="G178" s="562">
        <f t="shared" si="3"/>
        <v>0</v>
      </c>
      <c r="H178" s="562">
        <v>9062017</v>
      </c>
      <c r="I178" s="624"/>
      <c r="J178" s="362"/>
    </row>
    <row r="179" spans="1:10" hidden="1" x14ac:dyDescent="0.25">
      <c r="A179" s="362">
        <v>14</v>
      </c>
      <c r="B179" s="364">
        <v>43966</v>
      </c>
      <c r="C179" s="362" t="s">
        <v>166</v>
      </c>
      <c r="D179" s="562">
        <v>32482803</v>
      </c>
      <c r="E179" s="562"/>
      <c r="F179" s="562">
        <v>32483000</v>
      </c>
      <c r="G179" s="562">
        <f t="shared" si="3"/>
        <v>-197</v>
      </c>
      <c r="H179" s="562"/>
      <c r="I179" s="624"/>
      <c r="J179" s="362"/>
    </row>
    <row r="180" spans="1:10" hidden="1" x14ac:dyDescent="0.25">
      <c r="A180" s="362">
        <v>15</v>
      </c>
      <c r="B180" s="364">
        <v>43966</v>
      </c>
      <c r="C180" s="362" t="s">
        <v>3435</v>
      </c>
      <c r="D180" s="562"/>
      <c r="E180" s="562"/>
      <c r="F180" s="562"/>
      <c r="G180" s="562">
        <f t="shared" si="3"/>
        <v>0</v>
      </c>
      <c r="H180" s="562"/>
      <c r="I180" s="624"/>
      <c r="J180" s="362"/>
    </row>
    <row r="181" spans="1:10" hidden="1" x14ac:dyDescent="0.25">
      <c r="A181" s="532"/>
      <c r="B181" s="532"/>
      <c r="C181" s="532"/>
      <c r="D181" s="532"/>
      <c r="E181" s="532"/>
      <c r="F181" s="532"/>
      <c r="G181" s="564">
        <f t="shared" si="3"/>
        <v>0</v>
      </c>
      <c r="H181" s="532"/>
      <c r="I181" s="625"/>
      <c r="J181" s="532"/>
    </row>
    <row r="182" spans="1:10" hidden="1" x14ac:dyDescent="0.25">
      <c r="A182" s="362">
        <v>1</v>
      </c>
      <c r="B182" s="364">
        <v>43967</v>
      </c>
      <c r="C182" s="362" t="s">
        <v>80</v>
      </c>
      <c r="D182" s="562">
        <v>124391979</v>
      </c>
      <c r="E182" s="562">
        <v>27648252</v>
      </c>
      <c r="F182" s="562">
        <v>152040400</v>
      </c>
      <c r="G182" s="562">
        <f t="shared" si="3"/>
        <v>-169</v>
      </c>
      <c r="H182" s="562">
        <v>916966</v>
      </c>
      <c r="I182" s="624"/>
      <c r="J182" s="362"/>
    </row>
    <row r="183" spans="1:10" hidden="1" x14ac:dyDescent="0.25">
      <c r="A183" s="362">
        <v>2</v>
      </c>
      <c r="B183" s="364">
        <v>43967</v>
      </c>
      <c r="C183" s="362" t="s">
        <v>83</v>
      </c>
      <c r="D183" s="562">
        <v>167992065</v>
      </c>
      <c r="E183" s="562">
        <v>48375302</v>
      </c>
      <c r="F183" s="562">
        <v>216367400</v>
      </c>
      <c r="G183" s="562">
        <f t="shared" si="3"/>
        <v>-33</v>
      </c>
      <c r="H183" s="562">
        <v>3286151</v>
      </c>
      <c r="I183" s="624"/>
      <c r="J183" s="362"/>
    </row>
    <row r="184" spans="1:10" hidden="1" x14ac:dyDescent="0.25">
      <c r="A184" s="362">
        <v>3</v>
      </c>
      <c r="B184" s="364">
        <v>43967</v>
      </c>
      <c r="C184" s="362" t="s">
        <v>88</v>
      </c>
      <c r="D184" s="562">
        <v>144817481</v>
      </c>
      <c r="E184" s="562">
        <v>23162940</v>
      </c>
      <c r="F184" s="562">
        <v>167980500</v>
      </c>
      <c r="G184" s="562">
        <f t="shared" si="3"/>
        <v>-79</v>
      </c>
      <c r="H184" s="562">
        <v>5279846</v>
      </c>
      <c r="I184" s="624"/>
      <c r="J184" s="362"/>
    </row>
    <row r="185" spans="1:10" hidden="1" x14ac:dyDescent="0.25">
      <c r="A185" s="362">
        <v>4</v>
      </c>
      <c r="B185" s="364">
        <v>43967</v>
      </c>
      <c r="C185" s="362" t="s">
        <v>146</v>
      </c>
      <c r="D185" s="562">
        <v>21648547</v>
      </c>
      <c r="E185" s="562">
        <v>129022612</v>
      </c>
      <c r="F185" s="562">
        <v>150671400</v>
      </c>
      <c r="G185" s="562">
        <f t="shared" si="3"/>
        <v>-241</v>
      </c>
      <c r="H185" s="562">
        <v>410605</v>
      </c>
      <c r="I185" s="624"/>
      <c r="J185" s="362"/>
    </row>
    <row r="186" spans="1:10" hidden="1" x14ac:dyDescent="0.25">
      <c r="A186" s="362">
        <v>5</v>
      </c>
      <c r="B186" s="364">
        <v>43967</v>
      </c>
      <c r="C186" s="362" t="s">
        <v>86</v>
      </c>
      <c r="D186" s="562">
        <v>46294702</v>
      </c>
      <c r="E186" s="562">
        <v>132687500</v>
      </c>
      <c r="F186" s="562">
        <v>185180600</v>
      </c>
      <c r="G186" s="562">
        <f t="shared" si="3"/>
        <v>-6198398</v>
      </c>
      <c r="H186" s="562">
        <v>604558</v>
      </c>
      <c r="I186" s="624"/>
      <c r="J186" s="362"/>
    </row>
    <row r="187" spans="1:10" hidden="1" x14ac:dyDescent="0.25">
      <c r="A187" s="362">
        <v>6</v>
      </c>
      <c r="B187" s="364">
        <v>43967</v>
      </c>
      <c r="C187" s="362" t="s">
        <v>89</v>
      </c>
      <c r="D187" s="562">
        <v>72125593</v>
      </c>
      <c r="E187" s="562">
        <v>15972900</v>
      </c>
      <c r="F187" s="562">
        <v>88098500</v>
      </c>
      <c r="G187" s="562">
        <f t="shared" si="3"/>
        <v>-7</v>
      </c>
      <c r="H187" s="562">
        <v>6261812</v>
      </c>
      <c r="I187" s="624"/>
      <c r="J187" s="362"/>
    </row>
    <row r="188" spans="1:10" hidden="1" x14ac:dyDescent="0.25">
      <c r="A188" s="362">
        <v>7</v>
      </c>
      <c r="B188" s="364">
        <v>43967</v>
      </c>
      <c r="C188" s="362" t="s">
        <v>4751</v>
      </c>
      <c r="D188" s="562">
        <v>92930871</v>
      </c>
      <c r="E188" s="562">
        <v>17460429</v>
      </c>
      <c r="F188" s="562">
        <v>110391300</v>
      </c>
      <c r="G188" s="562">
        <f t="shared" si="3"/>
        <v>0</v>
      </c>
      <c r="H188" s="562">
        <v>11425658</v>
      </c>
      <c r="I188" s="624"/>
      <c r="J188" s="362"/>
    </row>
    <row r="189" spans="1:10" hidden="1" x14ac:dyDescent="0.25">
      <c r="A189" s="362">
        <v>8</v>
      </c>
      <c r="B189" s="364">
        <v>43967</v>
      </c>
      <c r="C189" s="362" t="s">
        <v>84</v>
      </c>
      <c r="D189" s="562">
        <v>108729091</v>
      </c>
      <c r="E189" s="562">
        <v>20758083</v>
      </c>
      <c r="F189" s="562">
        <v>129827500</v>
      </c>
      <c r="G189" s="562">
        <f t="shared" si="3"/>
        <v>-340326</v>
      </c>
      <c r="H189" s="562">
        <v>7579694</v>
      </c>
      <c r="I189" s="624"/>
      <c r="J189" s="362"/>
    </row>
    <row r="190" spans="1:10" hidden="1" x14ac:dyDescent="0.25">
      <c r="A190" s="362">
        <v>9</v>
      </c>
      <c r="B190" s="364">
        <v>43967</v>
      </c>
      <c r="C190" s="362" t="s">
        <v>85</v>
      </c>
      <c r="D190" s="562">
        <v>18760798</v>
      </c>
      <c r="E190" s="562">
        <v>4469202</v>
      </c>
      <c r="F190" s="562">
        <v>23230000</v>
      </c>
      <c r="G190" s="562">
        <f t="shared" si="3"/>
        <v>0</v>
      </c>
      <c r="H190" s="562">
        <v>2965355</v>
      </c>
      <c r="I190" s="624"/>
      <c r="J190" s="362"/>
    </row>
    <row r="191" spans="1:10" hidden="1" x14ac:dyDescent="0.25">
      <c r="A191" s="362">
        <v>10</v>
      </c>
      <c r="B191" s="364">
        <v>43967</v>
      </c>
      <c r="C191" s="362" t="s">
        <v>81</v>
      </c>
      <c r="D191" s="562">
        <v>88036045</v>
      </c>
      <c r="E191" s="562">
        <v>9299737</v>
      </c>
      <c r="F191" s="562">
        <v>97335800</v>
      </c>
      <c r="G191" s="562">
        <f t="shared" si="3"/>
        <v>-18</v>
      </c>
      <c r="H191" s="562">
        <v>3680915</v>
      </c>
      <c r="I191" s="624"/>
      <c r="J191" s="362"/>
    </row>
    <row r="192" spans="1:10" hidden="1" x14ac:dyDescent="0.25">
      <c r="A192" s="362">
        <v>11</v>
      </c>
      <c r="B192" s="364">
        <v>43967</v>
      </c>
      <c r="C192" s="362" t="s">
        <v>79</v>
      </c>
      <c r="D192" s="562">
        <v>31831421</v>
      </c>
      <c r="E192" s="562">
        <v>2251530</v>
      </c>
      <c r="F192" s="562">
        <v>34083000</v>
      </c>
      <c r="G192" s="562">
        <f t="shared" si="3"/>
        <v>-49</v>
      </c>
      <c r="H192" s="562">
        <v>1454012</v>
      </c>
      <c r="I192" s="624"/>
      <c r="J192" s="362"/>
    </row>
    <row r="193" spans="1:10" hidden="1" x14ac:dyDescent="0.25">
      <c r="A193" s="362">
        <v>12</v>
      </c>
      <c r="B193" s="364">
        <v>43967</v>
      </c>
      <c r="C193" s="362" t="s">
        <v>82</v>
      </c>
      <c r="D193" s="562">
        <v>203484930</v>
      </c>
      <c r="E193" s="562">
        <v>9068216</v>
      </c>
      <c r="F193" s="562">
        <v>212552900</v>
      </c>
      <c r="G193" s="562">
        <f t="shared" si="3"/>
        <v>246</v>
      </c>
      <c r="H193" s="562">
        <v>2960177</v>
      </c>
      <c r="I193" s="624"/>
      <c r="J193" s="362"/>
    </row>
    <row r="194" spans="1:10" hidden="1" x14ac:dyDescent="0.25">
      <c r="A194" s="362">
        <v>13</v>
      </c>
      <c r="B194" s="364">
        <v>43967</v>
      </c>
      <c r="C194" s="362" t="s">
        <v>78</v>
      </c>
      <c r="D194" s="562">
        <v>124308614</v>
      </c>
      <c r="E194" s="562">
        <v>9889484</v>
      </c>
      <c r="F194" s="562">
        <v>134198100</v>
      </c>
      <c r="G194" s="562">
        <f t="shared" si="3"/>
        <v>-2</v>
      </c>
      <c r="H194" s="562">
        <v>6855570</v>
      </c>
      <c r="I194" s="624"/>
      <c r="J194" s="362"/>
    </row>
    <row r="195" spans="1:10" hidden="1" x14ac:dyDescent="0.25">
      <c r="A195" s="362">
        <v>14</v>
      </c>
      <c r="B195" s="364">
        <v>43967</v>
      </c>
      <c r="C195" s="362" t="s">
        <v>166</v>
      </c>
      <c r="D195" s="562"/>
      <c r="E195" s="562"/>
      <c r="F195" s="562"/>
      <c r="G195" s="562">
        <f t="shared" si="3"/>
        <v>0</v>
      </c>
      <c r="H195" s="562"/>
      <c r="I195" s="624"/>
      <c r="J195" s="362"/>
    </row>
    <row r="196" spans="1:10" hidden="1" x14ac:dyDescent="0.25">
      <c r="A196" s="362">
        <v>15</v>
      </c>
      <c r="B196" s="364">
        <v>43967</v>
      </c>
      <c r="C196" s="362" t="s">
        <v>3435</v>
      </c>
      <c r="D196" s="562"/>
      <c r="E196" s="562"/>
      <c r="F196" s="562"/>
      <c r="G196" s="562">
        <f t="shared" si="3"/>
        <v>0</v>
      </c>
      <c r="H196" s="362"/>
      <c r="I196" s="624"/>
      <c r="J196" s="362"/>
    </row>
    <row r="197" spans="1:10" hidden="1" x14ac:dyDescent="0.25">
      <c r="A197" s="532"/>
      <c r="B197" s="532"/>
      <c r="C197" s="532"/>
      <c r="D197" s="532"/>
      <c r="E197" s="532"/>
      <c r="F197" s="532"/>
      <c r="G197" s="564"/>
      <c r="H197" s="532"/>
      <c r="I197" s="625"/>
      <c r="J197" s="532"/>
    </row>
    <row r="198" spans="1:10" hidden="1" x14ac:dyDescent="0.25">
      <c r="A198" s="362">
        <v>1</v>
      </c>
      <c r="B198" s="364">
        <v>43969</v>
      </c>
      <c r="C198" s="362" t="s">
        <v>80</v>
      </c>
      <c r="D198" s="562">
        <v>298095582</v>
      </c>
      <c r="E198" s="562">
        <v>12208100</v>
      </c>
      <c r="F198" s="562">
        <v>310303600</v>
      </c>
      <c r="G198" s="562">
        <f t="shared" si="3"/>
        <v>82</v>
      </c>
      <c r="H198" s="562">
        <v>916966</v>
      </c>
      <c r="I198" s="624"/>
      <c r="J198" s="362"/>
    </row>
    <row r="199" spans="1:10" hidden="1" x14ac:dyDescent="0.25">
      <c r="A199" s="362">
        <v>2</v>
      </c>
      <c r="B199" s="364">
        <v>43969</v>
      </c>
      <c r="C199" s="362" t="s">
        <v>83</v>
      </c>
      <c r="D199" s="562">
        <v>339762133</v>
      </c>
      <c r="E199" s="562">
        <v>25907211</v>
      </c>
      <c r="F199" s="562">
        <v>365669400</v>
      </c>
      <c r="G199" s="562">
        <f t="shared" ref="G199:G262" si="4">D199+E199-F199</f>
        <v>-56</v>
      </c>
      <c r="H199" s="562">
        <v>7984434</v>
      </c>
      <c r="I199" s="624"/>
      <c r="J199" s="362"/>
    </row>
    <row r="200" spans="1:10" hidden="1" x14ac:dyDescent="0.25">
      <c r="A200" s="362">
        <v>3</v>
      </c>
      <c r="B200" s="364">
        <v>43969</v>
      </c>
      <c r="C200" s="362" t="s">
        <v>88</v>
      </c>
      <c r="D200" s="562">
        <v>263730703</v>
      </c>
      <c r="E200" s="562">
        <v>22682237</v>
      </c>
      <c r="F200" s="562">
        <v>286413000</v>
      </c>
      <c r="G200" s="562">
        <f t="shared" si="4"/>
        <v>-60</v>
      </c>
      <c r="H200" s="562">
        <v>16112201</v>
      </c>
      <c r="I200" s="624"/>
      <c r="J200" s="362"/>
    </row>
    <row r="201" spans="1:10" hidden="1" x14ac:dyDescent="0.25">
      <c r="A201" s="362">
        <v>4</v>
      </c>
      <c r="B201" s="364">
        <v>43969</v>
      </c>
      <c r="C201" s="362" t="s">
        <v>146</v>
      </c>
      <c r="D201" s="562">
        <v>73844878</v>
      </c>
      <c r="E201" s="562">
        <v>239175882</v>
      </c>
      <c r="F201" s="562">
        <v>313021000</v>
      </c>
      <c r="G201" s="562">
        <f t="shared" si="4"/>
        <v>-240</v>
      </c>
      <c r="H201" s="562">
        <v>17822970</v>
      </c>
      <c r="I201" s="624"/>
      <c r="J201" s="362"/>
    </row>
    <row r="202" spans="1:10" hidden="1" x14ac:dyDescent="0.25">
      <c r="A202" s="362">
        <v>5</v>
      </c>
      <c r="B202" s="364">
        <v>43969</v>
      </c>
      <c r="C202" s="362" t="s">
        <v>86</v>
      </c>
      <c r="D202" s="562">
        <v>53444888</v>
      </c>
      <c r="E202" s="562">
        <v>26711062</v>
      </c>
      <c r="F202" s="562">
        <v>80155500</v>
      </c>
      <c r="G202" s="562">
        <f t="shared" si="4"/>
        <v>450</v>
      </c>
      <c r="H202" s="562">
        <v>9511211</v>
      </c>
      <c r="I202" s="624"/>
      <c r="J202" s="362"/>
    </row>
    <row r="203" spans="1:10" hidden="1" x14ac:dyDescent="0.25">
      <c r="A203" s="362">
        <v>6</v>
      </c>
      <c r="B203" s="364">
        <v>43969</v>
      </c>
      <c r="C203" s="362" t="s">
        <v>89</v>
      </c>
      <c r="D203" s="562">
        <v>127437505</v>
      </c>
      <c r="E203" s="562">
        <v>10137095</v>
      </c>
      <c r="F203" s="562">
        <v>137574600</v>
      </c>
      <c r="G203" s="562">
        <f t="shared" si="4"/>
        <v>0</v>
      </c>
      <c r="H203" s="562">
        <v>5727112</v>
      </c>
      <c r="I203" s="624"/>
      <c r="J203" s="362"/>
    </row>
    <row r="204" spans="1:10" hidden="1" x14ac:dyDescent="0.25">
      <c r="A204" s="362">
        <v>7</v>
      </c>
      <c r="B204" s="364">
        <v>43969</v>
      </c>
      <c r="C204" s="362" t="s">
        <v>4751</v>
      </c>
      <c r="D204" s="562">
        <v>241213491</v>
      </c>
      <c r="E204" s="562">
        <v>21463309</v>
      </c>
      <c r="F204" s="562">
        <v>262676800</v>
      </c>
      <c r="G204" s="562">
        <f t="shared" si="4"/>
        <v>0</v>
      </c>
      <c r="H204" s="562">
        <v>8222914</v>
      </c>
      <c r="I204" s="624"/>
      <c r="J204" s="362"/>
    </row>
    <row r="205" spans="1:10" hidden="1" x14ac:dyDescent="0.25">
      <c r="A205" s="362">
        <v>8</v>
      </c>
      <c r="B205" s="364">
        <v>43969</v>
      </c>
      <c r="C205" s="362" t="s">
        <v>84</v>
      </c>
      <c r="D205" s="562">
        <v>198316891</v>
      </c>
      <c r="E205" s="562">
        <v>35185608</v>
      </c>
      <c r="F205" s="562">
        <v>233502900</v>
      </c>
      <c r="G205" s="562">
        <f t="shared" si="4"/>
        <v>-401</v>
      </c>
      <c r="H205" s="562">
        <v>7579694</v>
      </c>
      <c r="I205" s="624"/>
      <c r="J205" s="362"/>
    </row>
    <row r="206" spans="1:10" hidden="1" x14ac:dyDescent="0.25">
      <c r="A206" s="362">
        <v>9</v>
      </c>
      <c r="B206" s="364">
        <v>43969</v>
      </c>
      <c r="C206" s="362" t="s">
        <v>85</v>
      </c>
      <c r="D206" s="562">
        <v>30822170</v>
      </c>
      <c r="E206" s="562">
        <v>1503830</v>
      </c>
      <c r="F206" s="562">
        <v>32326000</v>
      </c>
      <c r="G206" s="562">
        <f t="shared" si="4"/>
        <v>0</v>
      </c>
      <c r="H206" s="562">
        <v>2965355</v>
      </c>
      <c r="I206" s="624"/>
      <c r="J206" s="362"/>
    </row>
    <row r="207" spans="1:10" hidden="1" x14ac:dyDescent="0.25">
      <c r="A207" s="362">
        <v>10</v>
      </c>
      <c r="B207" s="364">
        <v>43969</v>
      </c>
      <c r="C207" s="362" t="s">
        <v>81</v>
      </c>
      <c r="D207" s="562">
        <v>70740766</v>
      </c>
      <c r="E207" s="562">
        <v>29155015</v>
      </c>
      <c r="F207" s="562">
        <v>99895800</v>
      </c>
      <c r="G207" s="562">
        <f t="shared" si="4"/>
        <v>-19</v>
      </c>
      <c r="H207" s="562">
        <v>1476965</v>
      </c>
      <c r="I207" s="624"/>
      <c r="J207" s="362"/>
    </row>
    <row r="208" spans="1:10" hidden="1" x14ac:dyDescent="0.25">
      <c r="A208" s="362">
        <v>11</v>
      </c>
      <c r="B208" s="364">
        <v>43969</v>
      </c>
      <c r="C208" s="362" t="s">
        <v>79</v>
      </c>
      <c r="D208" s="562">
        <v>37447482</v>
      </c>
      <c r="E208" s="562">
        <v>34170002</v>
      </c>
      <c r="F208" s="562">
        <v>71617500</v>
      </c>
      <c r="G208" s="562">
        <f t="shared" si="4"/>
        <v>-16</v>
      </c>
      <c r="H208" s="562">
        <v>996132</v>
      </c>
      <c r="I208" s="624"/>
      <c r="J208" s="362"/>
    </row>
    <row r="209" spans="1:10" hidden="1" x14ac:dyDescent="0.25">
      <c r="A209" s="362">
        <v>12</v>
      </c>
      <c r="B209" s="364">
        <v>43969</v>
      </c>
      <c r="C209" s="362" t="s">
        <v>82</v>
      </c>
      <c r="D209" s="562">
        <v>137102821</v>
      </c>
      <c r="E209" s="562"/>
      <c r="F209" s="562">
        <v>137102900</v>
      </c>
      <c r="G209" s="562">
        <f t="shared" si="4"/>
        <v>-79</v>
      </c>
      <c r="H209" s="562">
        <v>10410377</v>
      </c>
      <c r="I209" s="624"/>
      <c r="J209" s="362"/>
    </row>
    <row r="210" spans="1:10" hidden="1" x14ac:dyDescent="0.25">
      <c r="A210" s="362">
        <v>13</v>
      </c>
      <c r="B210" s="364">
        <v>43969</v>
      </c>
      <c r="C210" s="362" t="s">
        <v>78</v>
      </c>
      <c r="D210" s="562">
        <v>119343972</v>
      </c>
      <c r="E210" s="562">
        <v>8416528</v>
      </c>
      <c r="F210" s="562">
        <v>127760500</v>
      </c>
      <c r="G210" s="562">
        <f t="shared" si="4"/>
        <v>0</v>
      </c>
      <c r="H210" s="562">
        <v>6413470</v>
      </c>
      <c r="I210" s="624"/>
      <c r="J210" s="362"/>
    </row>
    <row r="211" spans="1:10" hidden="1" x14ac:dyDescent="0.25">
      <c r="A211" s="362">
        <v>14</v>
      </c>
      <c r="B211" s="364">
        <v>43969</v>
      </c>
      <c r="C211" s="362" t="s">
        <v>166</v>
      </c>
      <c r="D211" s="562">
        <v>43244889</v>
      </c>
      <c r="E211" s="562"/>
      <c r="F211" s="562">
        <v>43244900</v>
      </c>
      <c r="G211" s="562">
        <f t="shared" si="4"/>
        <v>-11</v>
      </c>
      <c r="H211" s="562"/>
      <c r="I211" s="624"/>
      <c r="J211" s="362"/>
    </row>
    <row r="212" spans="1:10" hidden="1" x14ac:dyDescent="0.25">
      <c r="A212" s="362">
        <v>15</v>
      </c>
      <c r="B212" s="364">
        <v>43969</v>
      </c>
      <c r="C212" s="362" t="s">
        <v>3435</v>
      </c>
      <c r="D212" s="562"/>
      <c r="E212" s="562"/>
      <c r="F212" s="562"/>
      <c r="G212" s="562">
        <f t="shared" si="4"/>
        <v>0</v>
      </c>
      <c r="H212" s="562"/>
      <c r="I212" s="624"/>
      <c r="J212" s="362"/>
    </row>
    <row r="213" spans="1:10" hidden="1" x14ac:dyDescent="0.25">
      <c r="A213" s="532"/>
      <c r="B213" s="532"/>
      <c r="C213" s="532"/>
      <c r="D213" s="564"/>
      <c r="E213" s="564"/>
      <c r="F213" s="564"/>
      <c r="G213" s="564"/>
      <c r="H213" s="564"/>
      <c r="I213" s="625"/>
      <c r="J213" s="532"/>
    </row>
    <row r="214" spans="1:10" hidden="1" x14ac:dyDescent="0.25">
      <c r="A214" s="362">
        <v>1</v>
      </c>
      <c r="B214" s="364">
        <v>43970</v>
      </c>
      <c r="C214" s="362" t="s">
        <v>80</v>
      </c>
      <c r="D214" s="562">
        <v>210857390</v>
      </c>
      <c r="E214" s="562">
        <v>2928915</v>
      </c>
      <c r="F214" s="562">
        <v>213786300</v>
      </c>
      <c r="G214" s="562">
        <f t="shared" si="4"/>
        <v>5</v>
      </c>
      <c r="H214" s="562">
        <v>27148820</v>
      </c>
      <c r="I214" s="624"/>
      <c r="J214" s="362"/>
    </row>
    <row r="215" spans="1:10" hidden="1" x14ac:dyDescent="0.25">
      <c r="A215" s="362">
        <v>2</v>
      </c>
      <c r="B215" s="364">
        <v>43970</v>
      </c>
      <c r="C215" s="362" t="s">
        <v>83</v>
      </c>
      <c r="D215" s="562">
        <v>253564160</v>
      </c>
      <c r="E215" s="562">
        <v>599000</v>
      </c>
      <c r="F215" s="562">
        <v>254163200</v>
      </c>
      <c r="G215" s="562">
        <f t="shared" si="4"/>
        <v>-40</v>
      </c>
      <c r="H215" s="562">
        <v>6612984</v>
      </c>
      <c r="I215" s="624"/>
      <c r="J215" s="362"/>
    </row>
    <row r="216" spans="1:10" hidden="1" x14ac:dyDescent="0.25">
      <c r="A216" s="362">
        <v>3</v>
      </c>
      <c r="B216" s="364">
        <v>43970</v>
      </c>
      <c r="C216" s="362" t="s">
        <v>88</v>
      </c>
      <c r="D216" s="562">
        <v>197922758</v>
      </c>
      <c r="E216" s="562">
        <v>15295233</v>
      </c>
      <c r="F216" s="562">
        <v>216330100</v>
      </c>
      <c r="G216" s="562">
        <f t="shared" si="4"/>
        <v>-3112109</v>
      </c>
      <c r="H216" s="562">
        <v>14106851</v>
      </c>
      <c r="I216" s="624"/>
      <c r="J216" s="362"/>
    </row>
    <row r="217" spans="1:10" hidden="1" x14ac:dyDescent="0.25">
      <c r="A217" s="362">
        <v>4</v>
      </c>
      <c r="B217" s="364">
        <v>43970</v>
      </c>
      <c r="C217" s="362" t="s">
        <v>146</v>
      </c>
      <c r="D217" s="562">
        <v>93809636</v>
      </c>
      <c r="E217" s="562">
        <v>102165610</v>
      </c>
      <c r="F217" s="562">
        <v>195973700</v>
      </c>
      <c r="G217" s="562">
        <f t="shared" si="4"/>
        <v>1546</v>
      </c>
      <c r="H217" s="562">
        <v>7822970</v>
      </c>
      <c r="I217" s="624"/>
      <c r="J217" s="362"/>
    </row>
    <row r="218" spans="1:10" hidden="1" x14ac:dyDescent="0.25">
      <c r="A218" s="362">
        <v>5</v>
      </c>
      <c r="B218" s="364">
        <v>43970</v>
      </c>
      <c r="C218" s="362" t="s">
        <v>86</v>
      </c>
      <c r="D218" s="562">
        <v>97267638</v>
      </c>
      <c r="E218" s="562">
        <v>51038772</v>
      </c>
      <c r="F218" s="562">
        <v>148306500</v>
      </c>
      <c r="G218" s="562">
        <f t="shared" si="4"/>
        <v>-90</v>
      </c>
      <c r="H218" s="562">
        <v>7274250</v>
      </c>
      <c r="I218" s="624" t="s">
        <v>18</v>
      </c>
      <c r="J218" s="362"/>
    </row>
    <row r="219" spans="1:10" hidden="1" x14ac:dyDescent="0.25">
      <c r="A219" s="362">
        <v>6</v>
      </c>
      <c r="B219" s="364">
        <v>43970</v>
      </c>
      <c r="C219" s="362" t="s">
        <v>89</v>
      </c>
      <c r="D219" s="562">
        <v>158758880</v>
      </c>
      <c r="E219" s="562">
        <v>3923920</v>
      </c>
      <c r="F219" s="562">
        <v>162682800</v>
      </c>
      <c r="G219" s="562">
        <f t="shared" si="4"/>
        <v>0</v>
      </c>
      <c r="H219" s="562">
        <v>15774662</v>
      </c>
      <c r="I219" s="624"/>
      <c r="J219" s="362"/>
    </row>
    <row r="220" spans="1:10" hidden="1" x14ac:dyDescent="0.25">
      <c r="A220" s="362">
        <v>7</v>
      </c>
      <c r="B220" s="364">
        <v>43970</v>
      </c>
      <c r="C220" s="362" t="s">
        <v>4751</v>
      </c>
      <c r="D220" s="562">
        <v>159266598</v>
      </c>
      <c r="E220" s="562">
        <v>10903402</v>
      </c>
      <c r="F220" s="562">
        <v>170170000</v>
      </c>
      <c r="G220" s="562">
        <f t="shared" si="4"/>
        <v>0</v>
      </c>
      <c r="H220" s="562">
        <v>7933564</v>
      </c>
      <c r="I220" s="624"/>
      <c r="J220" s="362"/>
    </row>
    <row r="221" spans="1:10" hidden="1" x14ac:dyDescent="0.25">
      <c r="A221" s="362">
        <v>8</v>
      </c>
      <c r="B221" s="364">
        <v>43970</v>
      </c>
      <c r="C221" s="362" t="s">
        <v>84</v>
      </c>
      <c r="D221" s="562">
        <v>212929999</v>
      </c>
      <c r="E221" s="562">
        <v>20325669</v>
      </c>
      <c r="F221" s="562">
        <v>233256800</v>
      </c>
      <c r="G221" s="562">
        <f t="shared" si="4"/>
        <v>-1132</v>
      </c>
      <c r="H221" s="562">
        <v>22642716</v>
      </c>
      <c r="I221" s="624"/>
      <c r="J221" s="362"/>
    </row>
    <row r="222" spans="1:10" hidden="1" x14ac:dyDescent="0.25">
      <c r="A222" s="362">
        <v>9</v>
      </c>
      <c r="B222" s="364">
        <v>43970</v>
      </c>
      <c r="C222" s="362" t="s">
        <v>85</v>
      </c>
      <c r="D222" s="562">
        <v>29770077</v>
      </c>
      <c r="E222" s="562">
        <v>1404123</v>
      </c>
      <c r="F222" s="562">
        <v>31174200</v>
      </c>
      <c r="G222" s="562">
        <f t="shared" si="4"/>
        <v>0</v>
      </c>
      <c r="H222" s="562">
        <v>4812923</v>
      </c>
      <c r="I222" s="624"/>
      <c r="J222" s="362"/>
    </row>
    <row r="223" spans="1:10" hidden="1" x14ac:dyDescent="0.25">
      <c r="A223" s="362">
        <v>10</v>
      </c>
      <c r="B223" s="364">
        <v>43970</v>
      </c>
      <c r="C223" s="362" t="s">
        <v>81</v>
      </c>
      <c r="D223" s="562">
        <v>97697391</v>
      </c>
      <c r="E223" s="562">
        <v>7616600</v>
      </c>
      <c r="F223" s="562">
        <v>105314000</v>
      </c>
      <c r="G223" s="562">
        <f t="shared" si="4"/>
        <v>-9</v>
      </c>
      <c r="H223" s="562">
        <v>15820596</v>
      </c>
      <c r="I223" s="624"/>
      <c r="J223" s="362"/>
    </row>
    <row r="224" spans="1:10" hidden="1" x14ac:dyDescent="0.25">
      <c r="A224" s="362">
        <v>11</v>
      </c>
      <c r="B224" s="364">
        <v>43970</v>
      </c>
      <c r="C224" s="362" t="s">
        <v>79</v>
      </c>
      <c r="D224" s="562">
        <v>61446995</v>
      </c>
      <c r="E224" s="562">
        <v>3213259</v>
      </c>
      <c r="F224" s="562">
        <v>64660300</v>
      </c>
      <c r="G224" s="562">
        <f t="shared" si="4"/>
        <v>-46</v>
      </c>
      <c r="H224" s="562">
        <v>5687491</v>
      </c>
      <c r="I224" s="624"/>
      <c r="J224" s="362"/>
    </row>
    <row r="225" spans="1:10" hidden="1" x14ac:dyDescent="0.25">
      <c r="A225" s="362">
        <v>12</v>
      </c>
      <c r="B225" s="364">
        <v>43970</v>
      </c>
      <c r="C225" s="362" t="s">
        <v>82</v>
      </c>
      <c r="D225" s="562">
        <v>56017779</v>
      </c>
      <c r="E225" s="562">
        <v>2108470</v>
      </c>
      <c r="F225" s="562">
        <v>58126300</v>
      </c>
      <c r="G225" s="562">
        <f t="shared" si="4"/>
        <v>-51</v>
      </c>
      <c r="H225" s="562">
        <v>9063277</v>
      </c>
      <c r="I225" s="624"/>
      <c r="J225" s="362"/>
    </row>
    <row r="226" spans="1:10" hidden="1" x14ac:dyDescent="0.25">
      <c r="A226" s="362">
        <v>13</v>
      </c>
      <c r="B226" s="364">
        <v>43970</v>
      </c>
      <c r="C226" s="362" t="s">
        <v>78</v>
      </c>
      <c r="D226" s="562">
        <v>108548698</v>
      </c>
      <c r="E226" s="562">
        <v>3012202</v>
      </c>
      <c r="F226" s="562">
        <v>111560900</v>
      </c>
      <c r="G226" s="562">
        <f t="shared" si="4"/>
        <v>0</v>
      </c>
      <c r="H226" s="562">
        <v>15991788</v>
      </c>
      <c r="I226" s="624"/>
      <c r="J226" s="362"/>
    </row>
    <row r="227" spans="1:10" hidden="1" x14ac:dyDescent="0.25">
      <c r="A227" s="362">
        <v>14</v>
      </c>
      <c r="B227" s="364">
        <v>43970</v>
      </c>
      <c r="C227" s="362" t="s">
        <v>166</v>
      </c>
      <c r="D227" s="562">
        <v>63726206</v>
      </c>
      <c r="E227" s="562"/>
      <c r="F227" s="562">
        <v>63726200</v>
      </c>
      <c r="G227" s="562">
        <f t="shared" si="4"/>
        <v>6</v>
      </c>
      <c r="H227" s="562"/>
      <c r="I227" s="624"/>
      <c r="J227" s="362"/>
    </row>
    <row r="228" spans="1:10" hidden="1" x14ac:dyDescent="0.25">
      <c r="A228" s="362">
        <v>15</v>
      </c>
      <c r="B228" s="364">
        <v>43970</v>
      </c>
      <c r="C228" s="362" t="s">
        <v>3435</v>
      </c>
      <c r="D228" s="562"/>
      <c r="E228" s="562"/>
      <c r="F228" s="562"/>
      <c r="G228" s="562">
        <f t="shared" si="4"/>
        <v>0</v>
      </c>
      <c r="H228" s="562"/>
      <c r="I228" s="624"/>
      <c r="J228" s="362"/>
    </row>
    <row r="229" spans="1:10" hidden="1" x14ac:dyDescent="0.25">
      <c r="A229" s="532"/>
      <c r="B229" s="532"/>
      <c r="C229" s="532"/>
      <c r="D229" s="564"/>
      <c r="E229" s="564"/>
      <c r="F229" s="564"/>
      <c r="G229" s="564">
        <f t="shared" si="4"/>
        <v>0</v>
      </c>
      <c r="H229" s="564"/>
      <c r="I229" s="625"/>
      <c r="J229" s="532"/>
    </row>
    <row r="230" spans="1:10" hidden="1" x14ac:dyDescent="0.25">
      <c r="A230" s="362">
        <v>1</v>
      </c>
      <c r="B230" s="364">
        <v>43971</v>
      </c>
      <c r="C230" s="362" t="s">
        <v>80</v>
      </c>
      <c r="D230" s="562">
        <v>286432048</v>
      </c>
      <c r="E230" s="562">
        <v>263444</v>
      </c>
      <c r="F230" s="562">
        <v>286695500</v>
      </c>
      <c r="G230" s="562">
        <f t="shared" si="4"/>
        <v>-8</v>
      </c>
      <c r="H230" s="562">
        <v>27148820</v>
      </c>
      <c r="I230" s="624"/>
      <c r="J230" s="362"/>
    </row>
    <row r="231" spans="1:10" hidden="1" x14ac:dyDescent="0.25">
      <c r="A231" s="362">
        <v>2</v>
      </c>
      <c r="B231" s="364">
        <v>43971</v>
      </c>
      <c r="C231" s="362" t="s">
        <v>83</v>
      </c>
      <c r="D231" s="562">
        <v>243373373</v>
      </c>
      <c r="E231" s="562">
        <v>49273028</v>
      </c>
      <c r="F231" s="562">
        <v>292646500</v>
      </c>
      <c r="G231" s="562">
        <f t="shared" si="4"/>
        <v>-99</v>
      </c>
      <c r="H231" s="562">
        <v>1287920</v>
      </c>
      <c r="I231" s="624"/>
      <c r="J231" s="362"/>
    </row>
    <row r="232" spans="1:10" hidden="1" x14ac:dyDescent="0.25">
      <c r="A232" s="362">
        <v>3</v>
      </c>
      <c r="B232" s="364">
        <v>43971</v>
      </c>
      <c r="C232" s="362" t="s">
        <v>88</v>
      </c>
      <c r="D232" s="562">
        <v>218562562</v>
      </c>
      <c r="E232" s="562">
        <v>93177761</v>
      </c>
      <c r="F232" s="562">
        <v>311740400</v>
      </c>
      <c r="G232" s="562">
        <f t="shared" si="4"/>
        <v>-77</v>
      </c>
      <c r="H232" s="562">
        <v>14106851</v>
      </c>
      <c r="I232" s="624"/>
      <c r="J232" s="362"/>
    </row>
    <row r="233" spans="1:10" hidden="1" x14ac:dyDescent="0.25">
      <c r="A233" s="362">
        <v>4</v>
      </c>
      <c r="B233" s="364">
        <v>43971</v>
      </c>
      <c r="C233" s="362" t="s">
        <v>146</v>
      </c>
      <c r="D233" s="562">
        <v>75419346</v>
      </c>
      <c r="E233" s="562">
        <v>356962238</v>
      </c>
      <c r="F233" s="562">
        <v>432381700</v>
      </c>
      <c r="G233" s="562">
        <f t="shared" si="4"/>
        <v>-116</v>
      </c>
      <c r="H233" s="562">
        <v>13433670</v>
      </c>
      <c r="I233" s="624"/>
      <c r="J233" s="362"/>
    </row>
    <row r="234" spans="1:10" hidden="1" x14ac:dyDescent="0.25">
      <c r="A234" s="362">
        <v>5</v>
      </c>
      <c r="B234" s="364">
        <v>43971</v>
      </c>
      <c r="C234" s="362" t="s">
        <v>86</v>
      </c>
      <c r="D234" s="562">
        <v>80220465</v>
      </c>
      <c r="E234" s="562">
        <v>37578325</v>
      </c>
      <c r="F234" s="562">
        <v>117799300</v>
      </c>
      <c r="G234" s="562">
        <f t="shared" si="4"/>
        <v>-510</v>
      </c>
      <c r="H234" s="562">
        <v>6574298</v>
      </c>
      <c r="I234" s="624"/>
      <c r="J234" s="362"/>
    </row>
    <row r="235" spans="1:10" hidden="1" x14ac:dyDescent="0.25">
      <c r="A235" s="362">
        <v>6</v>
      </c>
      <c r="B235" s="364">
        <v>43971</v>
      </c>
      <c r="C235" s="362" t="s">
        <v>89</v>
      </c>
      <c r="D235" s="562">
        <v>118797296</v>
      </c>
      <c r="E235" s="562">
        <v>3632061</v>
      </c>
      <c r="F235" s="562">
        <v>122429400</v>
      </c>
      <c r="G235" s="562">
        <f t="shared" si="4"/>
        <v>-43</v>
      </c>
      <c r="H235" s="562">
        <v>13113162</v>
      </c>
      <c r="I235" s="624"/>
      <c r="J235" s="362"/>
    </row>
    <row r="236" spans="1:10" hidden="1" x14ac:dyDescent="0.25">
      <c r="A236" s="362">
        <v>7</v>
      </c>
      <c r="B236" s="364">
        <v>43971</v>
      </c>
      <c r="C236" s="362" t="s">
        <v>4751</v>
      </c>
      <c r="D236" s="562">
        <v>156872551</v>
      </c>
      <c r="E236" s="562">
        <v>10779249</v>
      </c>
      <c r="F236" s="562">
        <v>167651800</v>
      </c>
      <c r="G236" s="562">
        <f t="shared" si="4"/>
        <v>0</v>
      </c>
      <c r="H236" s="562">
        <v>24421314</v>
      </c>
      <c r="I236" s="624"/>
      <c r="J236" s="362"/>
    </row>
    <row r="237" spans="1:10" hidden="1" x14ac:dyDescent="0.25">
      <c r="A237" s="362">
        <v>8</v>
      </c>
      <c r="B237" s="364">
        <v>43971</v>
      </c>
      <c r="C237" s="362" t="s">
        <v>84</v>
      </c>
      <c r="D237" s="562">
        <v>343051976</v>
      </c>
      <c r="E237" s="562">
        <v>23026974</v>
      </c>
      <c r="F237" s="562">
        <v>366079100</v>
      </c>
      <c r="G237" s="562">
        <f t="shared" si="4"/>
        <v>-150</v>
      </c>
      <c r="H237" s="562">
        <v>15727134</v>
      </c>
      <c r="I237" s="624"/>
      <c r="J237" s="362"/>
    </row>
    <row r="238" spans="1:10" hidden="1" x14ac:dyDescent="0.25">
      <c r="A238" s="362">
        <v>9</v>
      </c>
      <c r="B238" s="364">
        <v>43971</v>
      </c>
      <c r="C238" s="362" t="s">
        <v>85</v>
      </c>
      <c r="D238" s="562">
        <v>38017639</v>
      </c>
      <c r="E238" s="562">
        <v>1498061</v>
      </c>
      <c r="F238" s="562">
        <v>39515700</v>
      </c>
      <c r="G238" s="562">
        <f t="shared" si="4"/>
        <v>0</v>
      </c>
      <c r="H238" s="562">
        <v>4812923</v>
      </c>
      <c r="I238" s="624"/>
      <c r="J238" s="362"/>
    </row>
    <row r="239" spans="1:10" hidden="1" x14ac:dyDescent="0.25">
      <c r="A239" s="362">
        <v>10</v>
      </c>
      <c r="B239" s="364">
        <v>43971</v>
      </c>
      <c r="C239" s="362" t="s">
        <v>81</v>
      </c>
      <c r="D239" s="562">
        <v>79945220</v>
      </c>
      <c r="E239" s="562">
        <v>10724638</v>
      </c>
      <c r="F239" s="562">
        <v>90669900</v>
      </c>
      <c r="G239" s="562">
        <f t="shared" si="4"/>
        <v>-42</v>
      </c>
      <c r="H239" s="562">
        <v>10152561</v>
      </c>
      <c r="I239" s="624"/>
      <c r="J239" s="362"/>
    </row>
    <row r="240" spans="1:10" hidden="1" x14ac:dyDescent="0.25">
      <c r="A240" s="362">
        <v>11</v>
      </c>
      <c r="B240" s="364">
        <v>43971</v>
      </c>
      <c r="C240" s="362" t="s">
        <v>79</v>
      </c>
      <c r="D240" s="562">
        <v>56375443</v>
      </c>
      <c r="E240" s="562">
        <v>32743300</v>
      </c>
      <c r="F240" s="562">
        <v>89118800</v>
      </c>
      <c r="G240" s="562">
        <f t="shared" si="4"/>
        <v>-57</v>
      </c>
      <c r="H240" s="562">
        <v>5112491</v>
      </c>
      <c r="I240" s="624"/>
      <c r="J240" s="362"/>
    </row>
    <row r="241" spans="1:10" hidden="1" x14ac:dyDescent="0.25">
      <c r="A241" s="362">
        <v>12</v>
      </c>
      <c r="B241" s="364">
        <v>43971</v>
      </c>
      <c r="C241" s="362" t="s">
        <v>82</v>
      </c>
      <c r="D241" s="562">
        <v>59938399</v>
      </c>
      <c r="E241" s="562">
        <v>339646</v>
      </c>
      <c r="F241" s="562">
        <v>60278100</v>
      </c>
      <c r="G241" s="562">
        <f t="shared" si="4"/>
        <v>-55</v>
      </c>
      <c r="H241" s="562">
        <v>7547277</v>
      </c>
      <c r="I241" s="624"/>
      <c r="J241" s="362"/>
    </row>
    <row r="242" spans="1:10" hidden="1" x14ac:dyDescent="0.25">
      <c r="A242" s="362">
        <v>13</v>
      </c>
      <c r="B242" s="364">
        <v>43971</v>
      </c>
      <c r="C242" s="362" t="s">
        <v>78</v>
      </c>
      <c r="D242" s="562">
        <v>92376638</v>
      </c>
      <c r="E242" s="562">
        <v>9622662</v>
      </c>
      <c r="F242" s="562">
        <v>101999300</v>
      </c>
      <c r="G242" s="562">
        <f t="shared" si="4"/>
        <v>0</v>
      </c>
      <c r="H242" s="562">
        <v>14558004</v>
      </c>
      <c r="I242" s="624"/>
      <c r="J242" s="362"/>
    </row>
    <row r="243" spans="1:10" hidden="1" x14ac:dyDescent="0.25">
      <c r="A243" s="362">
        <v>14</v>
      </c>
      <c r="B243" s="364">
        <v>43971</v>
      </c>
      <c r="C243" s="362" t="s">
        <v>166</v>
      </c>
      <c r="D243" s="562">
        <v>51183146</v>
      </c>
      <c r="E243" s="562"/>
      <c r="F243" s="562">
        <v>51183200</v>
      </c>
      <c r="G243" s="562">
        <f t="shared" si="4"/>
        <v>-54</v>
      </c>
      <c r="H243" s="562"/>
      <c r="I243" s="624"/>
      <c r="J243" s="362"/>
    </row>
    <row r="244" spans="1:10" hidden="1" x14ac:dyDescent="0.25">
      <c r="A244" s="362">
        <v>15</v>
      </c>
      <c r="B244" s="364">
        <v>43971</v>
      </c>
      <c r="C244" s="362" t="s">
        <v>3435</v>
      </c>
      <c r="D244" s="562"/>
      <c r="E244" s="562"/>
      <c r="F244" s="562"/>
      <c r="G244" s="562">
        <f t="shared" si="4"/>
        <v>0</v>
      </c>
      <c r="H244" s="562"/>
      <c r="I244" s="624"/>
      <c r="J244" s="362"/>
    </row>
    <row r="245" spans="1:10" hidden="1" x14ac:dyDescent="0.25">
      <c r="A245" s="532"/>
      <c r="B245" s="587"/>
      <c r="C245" s="532"/>
      <c r="D245" s="532"/>
      <c r="E245" s="532"/>
      <c r="F245" s="532"/>
      <c r="G245" s="564"/>
      <c r="H245" s="532"/>
      <c r="I245" s="625"/>
      <c r="J245" s="532"/>
    </row>
    <row r="246" spans="1:10" hidden="1" x14ac:dyDescent="0.25">
      <c r="A246" s="362">
        <v>1</v>
      </c>
      <c r="B246" s="364">
        <v>43972</v>
      </c>
      <c r="C246" s="362" t="s">
        <v>80</v>
      </c>
      <c r="D246" s="562">
        <v>219233284</v>
      </c>
      <c r="E246" s="562">
        <v>14737536</v>
      </c>
      <c r="F246" s="562">
        <v>233970900</v>
      </c>
      <c r="G246" s="562">
        <f t="shared" si="4"/>
        <v>-80</v>
      </c>
      <c r="H246" s="562">
        <v>1252434</v>
      </c>
      <c r="I246" s="624"/>
      <c r="J246" s="362"/>
    </row>
    <row r="247" spans="1:10" hidden="1" x14ac:dyDescent="0.25">
      <c r="A247" s="362">
        <v>2</v>
      </c>
      <c r="B247" s="364">
        <v>43972</v>
      </c>
      <c r="C247" s="362" t="s">
        <v>83</v>
      </c>
      <c r="D247" s="562">
        <v>385980068</v>
      </c>
      <c r="E247" s="562">
        <v>48376300</v>
      </c>
      <c r="F247" s="562">
        <v>434356400</v>
      </c>
      <c r="G247" s="562">
        <f t="shared" si="4"/>
        <v>-32</v>
      </c>
      <c r="H247" s="562">
        <v>757320</v>
      </c>
      <c r="I247" s="624"/>
      <c r="J247" s="362"/>
    </row>
    <row r="248" spans="1:10" hidden="1" x14ac:dyDescent="0.25">
      <c r="A248" s="362">
        <v>3</v>
      </c>
      <c r="B248" s="364">
        <v>43972</v>
      </c>
      <c r="C248" s="362" t="s">
        <v>88</v>
      </c>
      <c r="D248" s="562">
        <v>214597147</v>
      </c>
      <c r="E248" s="562">
        <v>10894007</v>
      </c>
      <c r="F248" s="562">
        <v>225491200</v>
      </c>
      <c r="G248" s="562">
        <f t="shared" si="4"/>
        <v>-46</v>
      </c>
      <c r="H248" s="562">
        <v>2180465</v>
      </c>
      <c r="I248" s="624"/>
      <c r="J248" s="362"/>
    </row>
    <row r="249" spans="1:10" hidden="1" x14ac:dyDescent="0.25">
      <c r="A249" s="362">
        <v>4</v>
      </c>
      <c r="B249" s="364">
        <v>43972</v>
      </c>
      <c r="C249" s="362" t="s">
        <v>146</v>
      </c>
      <c r="D249" s="562">
        <v>82544700</v>
      </c>
      <c r="E249" s="562">
        <v>87046495</v>
      </c>
      <c r="F249" s="562">
        <v>169591300</v>
      </c>
      <c r="G249" s="562">
        <f t="shared" si="4"/>
        <v>-105</v>
      </c>
      <c r="H249" s="562">
        <v>2304325</v>
      </c>
      <c r="I249" s="624"/>
      <c r="J249" s="362"/>
    </row>
    <row r="250" spans="1:10" hidden="1" x14ac:dyDescent="0.25">
      <c r="A250" s="362">
        <v>5</v>
      </c>
      <c r="B250" s="364">
        <v>43972</v>
      </c>
      <c r="C250" s="362" t="s">
        <v>86</v>
      </c>
      <c r="D250" s="562">
        <v>59307257</v>
      </c>
      <c r="E250" s="562">
        <v>159484410</v>
      </c>
      <c r="F250" s="562">
        <v>218791700</v>
      </c>
      <c r="G250" s="562">
        <f t="shared" si="4"/>
        <v>-33</v>
      </c>
      <c r="H250" s="562">
        <v>1460723</v>
      </c>
      <c r="I250" s="624"/>
      <c r="J250" s="362"/>
    </row>
    <row r="251" spans="1:10" hidden="1" x14ac:dyDescent="0.25">
      <c r="A251" s="362">
        <v>6</v>
      </c>
      <c r="B251" s="364">
        <v>43972</v>
      </c>
      <c r="C251" s="362" t="s">
        <v>89</v>
      </c>
      <c r="D251" s="562">
        <v>133434018</v>
      </c>
      <c r="E251" s="562">
        <v>5938782</v>
      </c>
      <c r="F251" s="562">
        <v>139372800</v>
      </c>
      <c r="G251" s="562">
        <f t="shared" si="4"/>
        <v>0</v>
      </c>
      <c r="H251" s="562">
        <v>7989683</v>
      </c>
      <c r="I251" s="624"/>
      <c r="J251" s="362"/>
    </row>
    <row r="252" spans="1:10" hidden="1" x14ac:dyDescent="0.25">
      <c r="A252" s="362">
        <v>7</v>
      </c>
      <c r="B252" s="364">
        <v>43972</v>
      </c>
      <c r="C252" s="362" t="s">
        <v>4751</v>
      </c>
      <c r="D252" s="562">
        <v>212887201</v>
      </c>
      <c r="E252" s="562">
        <v>21763799</v>
      </c>
      <c r="F252" s="562">
        <v>234651000</v>
      </c>
      <c r="G252" s="562">
        <f t="shared" si="4"/>
        <v>0</v>
      </c>
      <c r="H252" s="562">
        <v>15152676</v>
      </c>
      <c r="I252" s="624"/>
      <c r="J252" s="362"/>
    </row>
    <row r="253" spans="1:10" hidden="1" x14ac:dyDescent="0.25">
      <c r="A253" s="362">
        <v>8</v>
      </c>
      <c r="B253" s="364">
        <v>43972</v>
      </c>
      <c r="C253" s="362" t="s">
        <v>84</v>
      </c>
      <c r="D253" s="562">
        <v>239103748</v>
      </c>
      <c r="E253" s="562">
        <v>53986176</v>
      </c>
      <c r="F253" s="562">
        <v>293089900</v>
      </c>
      <c r="G253" s="562">
        <f t="shared" si="4"/>
        <v>24</v>
      </c>
      <c r="H253" s="562">
        <v>3788084</v>
      </c>
      <c r="I253" s="624"/>
      <c r="J253" s="362"/>
    </row>
    <row r="254" spans="1:10" hidden="1" x14ac:dyDescent="0.25">
      <c r="A254" s="362">
        <v>9</v>
      </c>
      <c r="B254" s="364">
        <v>43972</v>
      </c>
      <c r="C254" s="362" t="s">
        <v>85</v>
      </c>
      <c r="D254" s="562">
        <v>29711986</v>
      </c>
      <c r="E254" s="562">
        <v>590014</v>
      </c>
      <c r="F254" s="562">
        <v>30302000</v>
      </c>
      <c r="G254" s="562">
        <f t="shared" si="4"/>
        <v>0</v>
      </c>
      <c r="H254" s="562">
        <v>2874731</v>
      </c>
      <c r="I254" s="624"/>
      <c r="J254" s="362"/>
    </row>
    <row r="255" spans="1:10" hidden="1" x14ac:dyDescent="0.25">
      <c r="A255" s="362">
        <v>10</v>
      </c>
      <c r="B255" s="364">
        <v>43972</v>
      </c>
      <c r="C255" s="362" t="s">
        <v>81</v>
      </c>
      <c r="D255" s="562">
        <v>50067645</v>
      </c>
      <c r="E255" s="562">
        <v>22785318</v>
      </c>
      <c r="F255" s="562">
        <v>72853000</v>
      </c>
      <c r="G255" s="562">
        <f t="shared" si="4"/>
        <v>-37</v>
      </c>
      <c r="H255" s="562">
        <v>6430761</v>
      </c>
      <c r="I255" s="624"/>
      <c r="J255" s="362"/>
    </row>
    <row r="256" spans="1:10" hidden="1" x14ac:dyDescent="0.25">
      <c r="A256" s="362">
        <v>11</v>
      </c>
      <c r="B256" s="364">
        <v>43972</v>
      </c>
      <c r="C256" s="362" t="s">
        <v>79</v>
      </c>
      <c r="D256" s="562">
        <v>105757032</v>
      </c>
      <c r="E256" s="562">
        <v>9147926</v>
      </c>
      <c r="F256" s="562">
        <v>114905000</v>
      </c>
      <c r="G256" s="562">
        <f t="shared" si="4"/>
        <v>-42</v>
      </c>
      <c r="H256" s="562">
        <v>3683541</v>
      </c>
      <c r="I256" s="624"/>
      <c r="J256" s="362"/>
    </row>
    <row r="257" spans="1:10" hidden="1" x14ac:dyDescent="0.25">
      <c r="A257" s="362">
        <v>12</v>
      </c>
      <c r="B257" s="364">
        <v>43972</v>
      </c>
      <c r="C257" s="362" t="s">
        <v>82</v>
      </c>
      <c r="D257" s="562">
        <v>226533733</v>
      </c>
      <c r="E257" s="562">
        <v>11510656</v>
      </c>
      <c r="F257" s="562">
        <v>238044500</v>
      </c>
      <c r="G257" s="562">
        <f t="shared" si="4"/>
        <v>-111</v>
      </c>
      <c r="H257" s="562">
        <v>2652077</v>
      </c>
      <c r="I257" s="624"/>
      <c r="J257" s="362"/>
    </row>
    <row r="258" spans="1:10" hidden="1" x14ac:dyDescent="0.25">
      <c r="A258" s="362">
        <v>13</v>
      </c>
      <c r="B258" s="364">
        <v>43972</v>
      </c>
      <c r="C258" s="362" t="s">
        <v>78</v>
      </c>
      <c r="D258" s="562">
        <v>53086689</v>
      </c>
      <c r="E258" s="562">
        <v>7725911</v>
      </c>
      <c r="F258" s="562">
        <v>60812600</v>
      </c>
      <c r="G258" s="562">
        <f t="shared" si="4"/>
        <v>0</v>
      </c>
      <c r="H258" s="562">
        <v>11204969</v>
      </c>
      <c r="I258" s="624"/>
      <c r="J258" s="362"/>
    </row>
    <row r="259" spans="1:10" hidden="1" x14ac:dyDescent="0.25">
      <c r="A259" s="362">
        <v>14</v>
      </c>
      <c r="B259" s="364">
        <v>43972</v>
      </c>
      <c r="C259" s="362" t="s">
        <v>166</v>
      </c>
      <c r="D259" s="562">
        <v>55490539</v>
      </c>
      <c r="E259" s="562"/>
      <c r="F259" s="562">
        <v>55490500</v>
      </c>
      <c r="G259" s="562">
        <f t="shared" si="4"/>
        <v>39</v>
      </c>
      <c r="H259" s="562"/>
      <c r="I259" s="624"/>
      <c r="J259" s="362"/>
    </row>
    <row r="260" spans="1:10" hidden="1" x14ac:dyDescent="0.25">
      <c r="A260" s="362">
        <v>15</v>
      </c>
      <c r="B260" s="364">
        <v>43972</v>
      </c>
      <c r="C260" s="362" t="s">
        <v>3435</v>
      </c>
      <c r="D260" s="562"/>
      <c r="E260" s="562"/>
      <c r="F260" s="562"/>
      <c r="G260" s="562">
        <f t="shared" si="4"/>
        <v>0</v>
      </c>
      <c r="H260" s="562"/>
      <c r="I260" s="624"/>
      <c r="J260" s="362"/>
    </row>
    <row r="261" spans="1:10" hidden="1" x14ac:dyDescent="0.25">
      <c r="A261" s="532"/>
      <c r="B261" s="591"/>
      <c r="C261" s="532"/>
      <c r="D261" s="532"/>
      <c r="E261" s="532"/>
      <c r="F261" s="532"/>
      <c r="G261" s="564">
        <f t="shared" si="4"/>
        <v>0</v>
      </c>
      <c r="H261" s="532"/>
      <c r="I261" s="625"/>
      <c r="J261" s="532"/>
    </row>
    <row r="262" spans="1:10" hidden="1" x14ac:dyDescent="0.25">
      <c r="A262" s="370">
        <v>1</v>
      </c>
      <c r="B262" s="568">
        <v>43973</v>
      </c>
      <c r="C262" s="370" t="s">
        <v>80</v>
      </c>
      <c r="D262" s="565">
        <v>62046138</v>
      </c>
      <c r="E262" s="565"/>
      <c r="F262" s="565">
        <v>62046200</v>
      </c>
      <c r="G262" s="565">
        <f t="shared" si="4"/>
        <v>-62</v>
      </c>
      <c r="H262" s="565">
        <v>1252434</v>
      </c>
      <c r="I262" s="624"/>
      <c r="J262" s="362"/>
    </row>
    <row r="263" spans="1:10" hidden="1" x14ac:dyDescent="0.25">
      <c r="A263" s="370">
        <v>2</v>
      </c>
      <c r="B263" s="568">
        <v>43973</v>
      </c>
      <c r="C263" s="370" t="s">
        <v>83</v>
      </c>
      <c r="D263" s="565"/>
      <c r="E263" s="565"/>
      <c r="F263" s="565"/>
      <c r="G263" s="565">
        <f t="shared" ref="G263:G325" si="5">D263+E263-F263</f>
        <v>0</v>
      </c>
      <c r="H263" s="565">
        <v>757320</v>
      </c>
      <c r="I263" s="624"/>
      <c r="J263" s="362"/>
    </row>
    <row r="264" spans="1:10" hidden="1" x14ac:dyDescent="0.25">
      <c r="A264" s="370">
        <v>3</v>
      </c>
      <c r="B264" s="568">
        <v>43973</v>
      </c>
      <c r="C264" s="370" t="s">
        <v>88</v>
      </c>
      <c r="D264" s="565">
        <v>90878610</v>
      </c>
      <c r="E264" s="565">
        <v>10559627</v>
      </c>
      <c r="F264" s="565">
        <v>101438300</v>
      </c>
      <c r="G264" s="565">
        <f t="shared" si="5"/>
        <v>-63</v>
      </c>
      <c r="H264" s="565">
        <v>1730127</v>
      </c>
      <c r="I264" s="624"/>
      <c r="J264" s="362"/>
    </row>
    <row r="265" spans="1:10" hidden="1" x14ac:dyDescent="0.25">
      <c r="A265" s="362">
        <v>4</v>
      </c>
      <c r="B265" s="364">
        <v>43973</v>
      </c>
      <c r="C265" s="362" t="s">
        <v>146</v>
      </c>
      <c r="D265" s="562">
        <v>215085480</v>
      </c>
      <c r="E265" s="562">
        <v>101282578</v>
      </c>
      <c r="F265" s="562">
        <v>316367900</v>
      </c>
      <c r="G265" s="562">
        <f t="shared" si="5"/>
        <v>158</v>
      </c>
      <c r="H265" s="562">
        <v>548825</v>
      </c>
      <c r="I265" s="624"/>
      <c r="J265" s="362"/>
    </row>
    <row r="266" spans="1:10" hidden="1" x14ac:dyDescent="0.25">
      <c r="A266" s="370">
        <v>5</v>
      </c>
      <c r="B266" s="568">
        <v>43973</v>
      </c>
      <c r="C266" s="370" t="s">
        <v>86</v>
      </c>
      <c r="D266" s="565">
        <v>76394446</v>
      </c>
      <c r="E266" s="565">
        <v>9921502</v>
      </c>
      <c r="F266" s="565">
        <v>86316100</v>
      </c>
      <c r="G266" s="565">
        <f t="shared" si="5"/>
        <v>-152</v>
      </c>
      <c r="H266" s="565">
        <v>1460723</v>
      </c>
      <c r="I266" s="624"/>
      <c r="J266" s="362"/>
    </row>
    <row r="267" spans="1:10" hidden="1" x14ac:dyDescent="0.25">
      <c r="A267" s="362">
        <v>6</v>
      </c>
      <c r="B267" s="364">
        <v>43973</v>
      </c>
      <c r="C267" s="362" t="s">
        <v>89</v>
      </c>
      <c r="D267" s="562">
        <v>138391570</v>
      </c>
      <c r="E267" s="562">
        <v>6131030</v>
      </c>
      <c r="F267" s="562">
        <v>144522600</v>
      </c>
      <c r="G267" s="562">
        <f t="shared" si="5"/>
        <v>0</v>
      </c>
      <c r="H267" s="562">
        <v>7989683</v>
      </c>
      <c r="I267" s="624"/>
      <c r="J267" s="362"/>
    </row>
    <row r="268" spans="1:10" hidden="1" x14ac:dyDescent="0.25">
      <c r="A268" s="362">
        <v>7</v>
      </c>
      <c r="B268" s="364">
        <v>43973</v>
      </c>
      <c r="C268" s="362" t="s">
        <v>4751</v>
      </c>
      <c r="D268" s="562">
        <v>150141715</v>
      </c>
      <c r="E268" s="562">
        <v>14213585</v>
      </c>
      <c r="F268" s="562">
        <v>164355300</v>
      </c>
      <c r="G268" s="562">
        <f t="shared" si="5"/>
        <v>0</v>
      </c>
      <c r="H268" s="562">
        <v>15152676</v>
      </c>
      <c r="I268" s="624"/>
      <c r="J268" s="362"/>
    </row>
    <row r="269" spans="1:10" hidden="1" x14ac:dyDescent="0.25">
      <c r="A269" s="362">
        <v>8</v>
      </c>
      <c r="B269" s="364">
        <v>43973</v>
      </c>
      <c r="C269" s="362" t="s">
        <v>84</v>
      </c>
      <c r="D269" s="562">
        <v>164814274</v>
      </c>
      <c r="E269" s="562">
        <v>28675828</v>
      </c>
      <c r="F269" s="562">
        <v>193490200</v>
      </c>
      <c r="G269" s="562">
        <f t="shared" si="5"/>
        <v>-98</v>
      </c>
      <c r="H269" s="562">
        <v>3788084</v>
      </c>
      <c r="I269" s="624"/>
      <c r="J269" s="362"/>
    </row>
    <row r="270" spans="1:10" hidden="1" x14ac:dyDescent="0.25">
      <c r="A270" s="362">
        <v>9</v>
      </c>
      <c r="B270" s="364">
        <v>43973</v>
      </c>
      <c r="C270" s="362" t="s">
        <v>85</v>
      </c>
      <c r="D270" s="562">
        <v>33101015</v>
      </c>
      <c r="E270" s="562">
        <v>1694485</v>
      </c>
      <c r="F270" s="562">
        <v>34795500</v>
      </c>
      <c r="G270" s="562">
        <f t="shared" si="5"/>
        <v>0</v>
      </c>
      <c r="H270" s="562">
        <v>2874731</v>
      </c>
      <c r="I270" s="624"/>
      <c r="J270" s="362"/>
    </row>
    <row r="271" spans="1:10" hidden="1" x14ac:dyDescent="0.25">
      <c r="A271" s="362">
        <v>10</v>
      </c>
      <c r="B271" s="364">
        <v>43973</v>
      </c>
      <c r="C271" s="362" t="s">
        <v>81</v>
      </c>
      <c r="D271" s="562">
        <v>167249122</v>
      </c>
      <c r="E271" s="562">
        <v>7505416</v>
      </c>
      <c r="F271" s="562">
        <v>172754600</v>
      </c>
      <c r="G271" s="562">
        <f t="shared" si="5"/>
        <v>1999938</v>
      </c>
      <c r="H271" s="562">
        <v>6430761</v>
      </c>
      <c r="I271" s="624"/>
      <c r="J271" s="362"/>
    </row>
    <row r="272" spans="1:10" hidden="1" x14ac:dyDescent="0.25">
      <c r="A272" s="362">
        <v>11</v>
      </c>
      <c r="B272" s="364">
        <v>43973</v>
      </c>
      <c r="C272" s="362" t="s">
        <v>79</v>
      </c>
      <c r="D272" s="562">
        <v>86149766</v>
      </c>
      <c r="E272" s="562">
        <v>6605034</v>
      </c>
      <c r="F272" s="562">
        <v>92754800</v>
      </c>
      <c r="G272" s="562">
        <f t="shared" si="5"/>
        <v>0</v>
      </c>
      <c r="H272" s="562">
        <v>3186541</v>
      </c>
      <c r="I272" s="624"/>
      <c r="J272" s="362"/>
    </row>
    <row r="273" spans="1:10" hidden="1" x14ac:dyDescent="0.25">
      <c r="A273" s="370">
        <v>12</v>
      </c>
      <c r="B273" s="568">
        <v>43973</v>
      </c>
      <c r="C273" s="370" t="s">
        <v>82</v>
      </c>
      <c r="D273" s="565">
        <v>27810143</v>
      </c>
      <c r="E273" s="565">
        <v>1869651</v>
      </c>
      <c r="F273" s="565">
        <v>29679800</v>
      </c>
      <c r="G273" s="565">
        <f t="shared" si="5"/>
        <v>-6</v>
      </c>
      <c r="H273" s="565">
        <v>2652077</v>
      </c>
      <c r="I273" s="624"/>
      <c r="J273" s="362"/>
    </row>
    <row r="274" spans="1:10" hidden="1" x14ac:dyDescent="0.25">
      <c r="A274" s="362">
        <v>13</v>
      </c>
      <c r="B274" s="364">
        <v>43973</v>
      </c>
      <c r="C274" s="362" t="s">
        <v>78</v>
      </c>
      <c r="D274" s="562">
        <v>90788070</v>
      </c>
      <c r="E274" s="562">
        <v>1103130</v>
      </c>
      <c r="F274" s="562">
        <v>91891200</v>
      </c>
      <c r="G274" s="562">
        <f t="shared" si="5"/>
        <v>0</v>
      </c>
      <c r="H274" s="562">
        <v>9222094</v>
      </c>
      <c r="I274" s="624"/>
      <c r="J274" s="362"/>
    </row>
    <row r="275" spans="1:10" hidden="1" x14ac:dyDescent="0.25">
      <c r="A275" s="362">
        <v>14</v>
      </c>
      <c r="B275" s="364">
        <v>43973</v>
      </c>
      <c r="C275" s="362" t="s">
        <v>166</v>
      </c>
      <c r="D275" s="562"/>
      <c r="E275" s="562"/>
      <c r="F275" s="562"/>
      <c r="G275" s="562">
        <f t="shared" si="5"/>
        <v>0</v>
      </c>
      <c r="H275" s="562"/>
      <c r="I275" s="624"/>
      <c r="J275" s="362"/>
    </row>
    <row r="276" spans="1:10" hidden="1" x14ac:dyDescent="0.25">
      <c r="A276" s="362">
        <v>15</v>
      </c>
      <c r="B276" s="364">
        <v>43973</v>
      </c>
      <c r="C276" s="362" t="s">
        <v>3435</v>
      </c>
      <c r="D276" s="562"/>
      <c r="E276" s="562"/>
      <c r="F276" s="562"/>
      <c r="G276" s="562">
        <f t="shared" si="5"/>
        <v>0</v>
      </c>
      <c r="H276" s="562"/>
      <c r="I276" s="624"/>
      <c r="J276" s="362"/>
    </row>
    <row r="277" spans="1:10" hidden="1" x14ac:dyDescent="0.25">
      <c r="A277" s="532"/>
      <c r="B277" s="591"/>
      <c r="C277" s="532"/>
      <c r="D277" s="564"/>
      <c r="E277" s="564"/>
      <c r="F277" s="564"/>
      <c r="G277" s="564">
        <f t="shared" si="5"/>
        <v>0</v>
      </c>
      <c r="H277" s="564"/>
      <c r="I277" s="625"/>
      <c r="J277" s="532"/>
    </row>
    <row r="278" spans="1:10" hidden="1" x14ac:dyDescent="0.25">
      <c r="A278" s="362">
        <v>1</v>
      </c>
      <c r="B278" s="364">
        <v>43978</v>
      </c>
      <c r="C278" s="362" t="s">
        <v>80</v>
      </c>
      <c r="D278" s="562">
        <v>183553530</v>
      </c>
      <c r="E278" s="562"/>
      <c r="F278" s="562">
        <v>183553500</v>
      </c>
      <c r="G278" s="562">
        <f t="shared" si="5"/>
        <v>30</v>
      </c>
      <c r="H278" s="562">
        <v>38000000</v>
      </c>
      <c r="I278" s="624"/>
      <c r="J278" s="362"/>
    </row>
    <row r="279" spans="1:10" hidden="1" x14ac:dyDescent="0.25">
      <c r="A279" s="362">
        <v>2</v>
      </c>
      <c r="B279" s="364">
        <v>43978</v>
      </c>
      <c r="C279" s="362" t="s">
        <v>83</v>
      </c>
      <c r="D279" s="562">
        <v>269860055</v>
      </c>
      <c r="E279" s="562">
        <v>2901250</v>
      </c>
      <c r="F279" s="562">
        <v>272761400</v>
      </c>
      <c r="G279" s="562">
        <f t="shared" si="5"/>
        <v>-95</v>
      </c>
      <c r="H279" s="562">
        <v>17086898</v>
      </c>
      <c r="I279" s="624"/>
      <c r="J279" s="362"/>
    </row>
    <row r="280" spans="1:10" hidden="1" x14ac:dyDescent="0.25">
      <c r="A280" s="362">
        <v>3</v>
      </c>
      <c r="B280" s="364">
        <v>43978</v>
      </c>
      <c r="C280" s="362" t="s">
        <v>88</v>
      </c>
      <c r="D280" s="562">
        <v>179623682</v>
      </c>
      <c r="E280" s="562">
        <v>25843115</v>
      </c>
      <c r="F280" s="562">
        <v>205466900</v>
      </c>
      <c r="G280" s="562">
        <f t="shared" si="5"/>
        <v>-103</v>
      </c>
      <c r="H280" s="562">
        <v>2180465</v>
      </c>
      <c r="I280" s="624"/>
      <c r="J280" s="362"/>
    </row>
    <row r="281" spans="1:10" hidden="1" x14ac:dyDescent="0.25">
      <c r="A281" s="362">
        <v>4</v>
      </c>
      <c r="B281" s="364">
        <v>43978</v>
      </c>
      <c r="C281" s="362" t="s">
        <v>146</v>
      </c>
      <c r="D281" s="562">
        <v>60870714</v>
      </c>
      <c r="E281" s="562">
        <v>4337404</v>
      </c>
      <c r="F281" s="562">
        <v>65208200</v>
      </c>
      <c r="G281" s="562">
        <f t="shared" si="5"/>
        <v>-82</v>
      </c>
      <c r="H281" s="562">
        <v>18626720</v>
      </c>
      <c r="I281" s="624"/>
      <c r="J281" s="362"/>
    </row>
    <row r="282" spans="1:10" hidden="1" x14ac:dyDescent="0.25">
      <c r="A282" s="362">
        <v>5</v>
      </c>
      <c r="B282" s="364">
        <v>43978</v>
      </c>
      <c r="C282" s="362" t="s">
        <v>86</v>
      </c>
      <c r="D282" s="562">
        <v>61422145</v>
      </c>
      <c r="E282" s="562">
        <v>14582554</v>
      </c>
      <c r="F282" s="562">
        <v>76004700</v>
      </c>
      <c r="G282" s="562">
        <f t="shared" si="5"/>
        <v>-1</v>
      </c>
      <c r="H282" s="562">
        <v>8193721</v>
      </c>
      <c r="I282" s="624"/>
      <c r="J282" s="362"/>
    </row>
    <row r="283" spans="1:10" hidden="1" x14ac:dyDescent="0.25">
      <c r="A283" s="362">
        <v>6</v>
      </c>
      <c r="B283" s="364">
        <v>43978</v>
      </c>
      <c r="C283" s="362" t="s">
        <v>89</v>
      </c>
      <c r="D283" s="562">
        <v>99424350</v>
      </c>
      <c r="E283" s="562">
        <v>5031350</v>
      </c>
      <c r="F283" s="562">
        <v>104455700</v>
      </c>
      <c r="G283" s="562">
        <f t="shared" si="5"/>
        <v>0</v>
      </c>
      <c r="H283" s="562">
        <v>18252032</v>
      </c>
      <c r="I283" s="624"/>
      <c r="J283" s="362"/>
    </row>
    <row r="284" spans="1:10" hidden="1" x14ac:dyDescent="0.25">
      <c r="A284" s="362">
        <v>7</v>
      </c>
      <c r="B284" s="364">
        <v>43978</v>
      </c>
      <c r="C284" s="362" t="s">
        <v>4751</v>
      </c>
      <c r="D284" s="562">
        <v>68427955</v>
      </c>
      <c r="E284" s="562">
        <v>7141945</v>
      </c>
      <c r="F284" s="562">
        <v>75569900</v>
      </c>
      <c r="G284" s="562">
        <f t="shared" si="5"/>
        <v>0</v>
      </c>
      <c r="H284" s="562">
        <v>19369608</v>
      </c>
      <c r="I284" s="624"/>
      <c r="J284" s="362"/>
    </row>
    <row r="285" spans="1:10" hidden="1" x14ac:dyDescent="0.25">
      <c r="A285" s="362">
        <v>8</v>
      </c>
      <c r="B285" s="364">
        <v>43978</v>
      </c>
      <c r="C285" s="362" t="s">
        <v>84</v>
      </c>
      <c r="D285" s="562">
        <v>228839491</v>
      </c>
      <c r="E285" s="562">
        <v>4441450</v>
      </c>
      <c r="F285" s="562">
        <v>233280900</v>
      </c>
      <c r="G285" s="562">
        <f t="shared" si="5"/>
        <v>41</v>
      </c>
      <c r="H285" s="562">
        <v>3788084</v>
      </c>
      <c r="I285" s="624"/>
      <c r="J285" s="362"/>
    </row>
    <row r="286" spans="1:10" hidden="1" x14ac:dyDescent="0.25">
      <c r="A286" s="362">
        <v>9</v>
      </c>
      <c r="B286" s="364">
        <v>43978</v>
      </c>
      <c r="C286" s="362" t="s">
        <v>85</v>
      </c>
      <c r="D286" s="562">
        <v>67353762</v>
      </c>
      <c r="E286" s="562">
        <v>2661738</v>
      </c>
      <c r="F286" s="562">
        <v>70015500</v>
      </c>
      <c r="G286" s="562">
        <f t="shared" si="5"/>
        <v>0</v>
      </c>
      <c r="H286" s="562">
        <v>2874731</v>
      </c>
      <c r="I286" s="624"/>
      <c r="J286" s="362"/>
    </row>
    <row r="287" spans="1:10" hidden="1" x14ac:dyDescent="0.25">
      <c r="A287" s="362">
        <v>10</v>
      </c>
      <c r="B287" s="364">
        <v>43978</v>
      </c>
      <c r="C287" s="362" t="s">
        <v>81</v>
      </c>
      <c r="D287" s="562">
        <v>50279766</v>
      </c>
      <c r="E287" s="562">
        <v>7596765</v>
      </c>
      <c r="F287" s="562">
        <v>57876600</v>
      </c>
      <c r="G287" s="562">
        <f t="shared" si="5"/>
        <v>-69</v>
      </c>
      <c r="H287" s="562">
        <v>19253896</v>
      </c>
      <c r="I287" s="624"/>
      <c r="J287" s="362"/>
    </row>
    <row r="288" spans="1:10" hidden="1" x14ac:dyDescent="0.25">
      <c r="A288" s="362">
        <v>11</v>
      </c>
      <c r="B288" s="364">
        <v>43978</v>
      </c>
      <c r="C288" s="362" t="s">
        <v>79</v>
      </c>
      <c r="D288" s="562">
        <v>68738045</v>
      </c>
      <c r="E288" s="562">
        <v>1982786</v>
      </c>
      <c r="F288" s="562">
        <v>70720900</v>
      </c>
      <c r="G288" s="562">
        <f t="shared" si="5"/>
        <v>-69</v>
      </c>
      <c r="H288" s="562">
        <v>5425171</v>
      </c>
      <c r="I288" s="624"/>
      <c r="J288" s="362"/>
    </row>
    <row r="289" spans="1:10" hidden="1" x14ac:dyDescent="0.25">
      <c r="A289" s="362">
        <v>12</v>
      </c>
      <c r="B289" s="364">
        <v>43978</v>
      </c>
      <c r="C289" s="362" t="s">
        <v>82</v>
      </c>
      <c r="D289" s="562">
        <v>53831594</v>
      </c>
      <c r="E289" s="562">
        <v>3990295</v>
      </c>
      <c r="F289" s="562">
        <v>57821900</v>
      </c>
      <c r="G289" s="562">
        <f t="shared" si="5"/>
        <v>-11</v>
      </c>
      <c r="H289" s="562">
        <v>2652077</v>
      </c>
      <c r="I289" s="624"/>
      <c r="J289" s="362"/>
    </row>
    <row r="290" spans="1:10" hidden="1" x14ac:dyDescent="0.25">
      <c r="A290" s="362">
        <v>13</v>
      </c>
      <c r="B290" s="364">
        <v>43978</v>
      </c>
      <c r="C290" s="362" t="s">
        <v>78</v>
      </c>
      <c r="D290" s="562">
        <v>120673015</v>
      </c>
      <c r="E290" s="562">
        <v>2614585</v>
      </c>
      <c r="F290" s="562">
        <v>123287600</v>
      </c>
      <c r="G290" s="562">
        <f t="shared" si="5"/>
        <v>0</v>
      </c>
      <c r="H290" s="562">
        <v>17872723</v>
      </c>
      <c r="I290" s="624"/>
      <c r="J290" s="362"/>
    </row>
    <row r="291" spans="1:10" hidden="1" x14ac:dyDescent="0.25">
      <c r="A291" s="362">
        <v>14</v>
      </c>
      <c r="B291" s="364">
        <v>43978</v>
      </c>
      <c r="C291" s="362" t="s">
        <v>166</v>
      </c>
      <c r="D291" s="562">
        <v>48332847</v>
      </c>
      <c r="E291" s="562"/>
      <c r="F291" s="562">
        <v>48332900</v>
      </c>
      <c r="G291" s="562">
        <f t="shared" si="5"/>
        <v>-53</v>
      </c>
      <c r="H291" s="562"/>
      <c r="I291" s="624"/>
      <c r="J291" s="362"/>
    </row>
    <row r="292" spans="1:10" hidden="1" x14ac:dyDescent="0.25">
      <c r="A292" s="362">
        <v>15</v>
      </c>
      <c r="B292" s="364">
        <v>43978</v>
      </c>
      <c r="C292" s="362" t="s">
        <v>3435</v>
      </c>
      <c r="D292" s="562"/>
      <c r="E292" s="562"/>
      <c r="F292" s="562"/>
      <c r="G292" s="562">
        <f t="shared" si="5"/>
        <v>0</v>
      </c>
      <c r="H292" s="562"/>
      <c r="I292" s="624"/>
      <c r="J292" s="362"/>
    </row>
    <row r="293" spans="1:10" hidden="1" x14ac:dyDescent="0.25">
      <c r="A293" s="532"/>
      <c r="B293" s="591"/>
      <c r="C293" s="532"/>
      <c r="D293" s="564"/>
      <c r="E293" s="564"/>
      <c r="F293" s="564"/>
      <c r="G293" s="564">
        <f t="shared" si="5"/>
        <v>0</v>
      </c>
      <c r="H293" s="564"/>
      <c r="I293" s="625"/>
      <c r="J293" s="532"/>
    </row>
    <row r="294" spans="1:10" hidden="1" x14ac:dyDescent="0.25">
      <c r="A294" s="362">
        <v>1</v>
      </c>
      <c r="B294" s="364">
        <v>43979</v>
      </c>
      <c r="C294" s="362" t="s">
        <v>80</v>
      </c>
      <c r="D294" s="562">
        <v>204292799</v>
      </c>
      <c r="E294" s="562">
        <v>403100</v>
      </c>
      <c r="F294" s="562">
        <v>204695900</v>
      </c>
      <c r="G294" s="562">
        <f t="shared" si="5"/>
        <v>-1</v>
      </c>
      <c r="H294" s="562">
        <v>20328351</v>
      </c>
      <c r="I294" s="624"/>
      <c r="J294" s="362"/>
    </row>
    <row r="295" spans="1:10" hidden="1" x14ac:dyDescent="0.25">
      <c r="A295" s="362">
        <v>2</v>
      </c>
      <c r="B295" s="364">
        <v>43979</v>
      </c>
      <c r="C295" s="362" t="s">
        <v>83</v>
      </c>
      <c r="D295" s="562">
        <v>501838932</v>
      </c>
      <c r="E295" s="562">
        <v>1877125</v>
      </c>
      <c r="F295" s="562">
        <v>503716100</v>
      </c>
      <c r="G295" s="562">
        <f t="shared" si="5"/>
        <v>-43</v>
      </c>
      <c r="H295" s="562">
        <v>16212868</v>
      </c>
      <c r="I295" s="624"/>
      <c r="J295" s="362"/>
    </row>
    <row r="296" spans="1:10" hidden="1" x14ac:dyDescent="0.25">
      <c r="A296" s="362">
        <v>3</v>
      </c>
      <c r="B296" s="364">
        <v>43979</v>
      </c>
      <c r="C296" s="362" t="s">
        <v>88</v>
      </c>
      <c r="D296" s="562">
        <v>406161001</v>
      </c>
      <c r="E296" s="562">
        <v>14720299</v>
      </c>
      <c r="F296" s="562">
        <v>420881300</v>
      </c>
      <c r="G296" s="562">
        <f t="shared" si="5"/>
        <v>0</v>
      </c>
      <c r="H296" s="562">
        <v>2180465</v>
      </c>
      <c r="I296" s="624"/>
      <c r="J296" s="362"/>
    </row>
    <row r="297" spans="1:10" hidden="1" x14ac:dyDescent="0.25">
      <c r="A297" s="362">
        <v>4</v>
      </c>
      <c r="B297" s="364">
        <v>43979</v>
      </c>
      <c r="C297" s="362" t="s">
        <v>146</v>
      </c>
      <c r="D297" s="562">
        <v>121431422</v>
      </c>
      <c r="E297" s="562">
        <v>116039677</v>
      </c>
      <c r="F297" s="562">
        <v>237471100</v>
      </c>
      <c r="G297" s="562">
        <f t="shared" si="5"/>
        <v>-1</v>
      </c>
      <c r="H297" s="562">
        <v>14949220</v>
      </c>
      <c r="I297" s="624"/>
      <c r="J297" s="362"/>
    </row>
    <row r="298" spans="1:10" hidden="1" x14ac:dyDescent="0.25">
      <c r="A298" s="362">
        <v>5</v>
      </c>
      <c r="B298" s="364">
        <v>43979</v>
      </c>
      <c r="C298" s="362" t="s">
        <v>86</v>
      </c>
      <c r="D298" s="562">
        <v>144050425</v>
      </c>
      <c r="E298" s="562">
        <v>185045097</v>
      </c>
      <c r="F298" s="562">
        <v>329095800</v>
      </c>
      <c r="G298" s="562">
        <f t="shared" si="5"/>
        <v>-278</v>
      </c>
      <c r="H298" s="562">
        <v>4669978</v>
      </c>
      <c r="I298" s="624"/>
      <c r="J298" s="362"/>
    </row>
    <row r="299" spans="1:10" hidden="1" x14ac:dyDescent="0.25">
      <c r="A299" s="362">
        <v>6</v>
      </c>
      <c r="B299" s="364">
        <v>43979</v>
      </c>
      <c r="C299" s="362" t="s">
        <v>89</v>
      </c>
      <c r="D299" s="562">
        <v>158027005</v>
      </c>
      <c r="E299" s="562">
        <v>1263995</v>
      </c>
      <c r="F299" s="562">
        <v>159291000</v>
      </c>
      <c r="G299" s="562">
        <f t="shared" si="5"/>
        <v>0</v>
      </c>
      <c r="H299" s="562">
        <v>15104912</v>
      </c>
      <c r="I299" s="624"/>
      <c r="J299" s="362"/>
    </row>
    <row r="300" spans="1:10" hidden="1" x14ac:dyDescent="0.25">
      <c r="A300" s="362">
        <v>7</v>
      </c>
      <c r="B300" s="364">
        <v>43979</v>
      </c>
      <c r="C300" s="362" t="s">
        <v>4751</v>
      </c>
      <c r="D300" s="562">
        <v>157843274</v>
      </c>
      <c r="E300" s="562">
        <v>6872426</v>
      </c>
      <c r="F300" s="562">
        <v>164715700</v>
      </c>
      <c r="G300" s="562">
        <f t="shared" si="5"/>
        <v>0</v>
      </c>
      <c r="H300" s="562">
        <v>17078037</v>
      </c>
      <c r="I300" s="624"/>
      <c r="J300" s="362"/>
    </row>
    <row r="301" spans="1:10" hidden="1" x14ac:dyDescent="0.25">
      <c r="A301" s="362">
        <v>8</v>
      </c>
      <c r="B301" s="364">
        <v>43979</v>
      </c>
      <c r="C301" s="362" t="s">
        <v>84</v>
      </c>
      <c r="D301" s="562">
        <v>221860992</v>
      </c>
      <c r="E301" s="562">
        <v>11089176</v>
      </c>
      <c r="F301" s="562">
        <v>232948900</v>
      </c>
      <c r="G301" s="562">
        <f t="shared" si="5"/>
        <v>1268</v>
      </c>
      <c r="H301" s="562">
        <v>21272818</v>
      </c>
      <c r="I301" s="624"/>
      <c r="J301" s="362"/>
    </row>
    <row r="302" spans="1:10" hidden="1" x14ac:dyDescent="0.25">
      <c r="A302" s="362">
        <v>9</v>
      </c>
      <c r="B302" s="364">
        <v>43979</v>
      </c>
      <c r="C302" s="362" t="s">
        <v>85</v>
      </c>
      <c r="D302" s="562">
        <v>36021218</v>
      </c>
      <c r="E302" s="562">
        <v>1403382</v>
      </c>
      <c r="F302" s="562">
        <v>37424600</v>
      </c>
      <c r="G302" s="562">
        <f t="shared" si="5"/>
        <v>0</v>
      </c>
      <c r="H302" s="562">
        <v>2874731</v>
      </c>
      <c r="I302" s="624"/>
      <c r="J302" s="362"/>
    </row>
    <row r="303" spans="1:10" hidden="1" x14ac:dyDescent="0.25">
      <c r="A303" s="362">
        <v>10</v>
      </c>
      <c r="B303" s="364">
        <v>43979</v>
      </c>
      <c r="C303" s="362" t="s">
        <v>81</v>
      </c>
      <c r="D303" s="562">
        <v>139841926</v>
      </c>
      <c r="E303" s="562">
        <v>31286833</v>
      </c>
      <c r="F303" s="562">
        <v>171128800</v>
      </c>
      <c r="G303" s="562">
        <f t="shared" si="5"/>
        <v>-41</v>
      </c>
      <c r="H303" s="562">
        <v>14043746</v>
      </c>
      <c r="I303" s="624"/>
      <c r="J303" s="362"/>
    </row>
    <row r="304" spans="1:10" hidden="1" x14ac:dyDescent="0.25">
      <c r="A304" s="362">
        <v>11</v>
      </c>
      <c r="B304" s="364">
        <v>43979</v>
      </c>
      <c r="C304" s="362" t="s">
        <v>79</v>
      </c>
      <c r="D304" s="562">
        <v>114333807</v>
      </c>
      <c r="E304" s="562">
        <v>1844836</v>
      </c>
      <c r="F304" s="562">
        <v>116178700</v>
      </c>
      <c r="G304" s="562">
        <f t="shared" si="5"/>
        <v>-57</v>
      </c>
      <c r="H304" s="562">
        <v>3621221</v>
      </c>
      <c r="I304" s="624"/>
      <c r="J304" s="362"/>
    </row>
    <row r="305" spans="1:10" hidden="1" x14ac:dyDescent="0.25">
      <c r="A305" s="362">
        <v>12</v>
      </c>
      <c r="B305" s="364">
        <v>43979</v>
      </c>
      <c r="C305" s="362" t="s">
        <v>82</v>
      </c>
      <c r="D305" s="562">
        <v>83108800</v>
      </c>
      <c r="E305" s="562"/>
      <c r="F305" s="562">
        <v>83108900</v>
      </c>
      <c r="G305" s="562">
        <f t="shared" si="5"/>
        <v>-100</v>
      </c>
      <c r="H305" s="562">
        <v>9075977</v>
      </c>
      <c r="I305" s="624"/>
      <c r="J305" s="362"/>
    </row>
    <row r="306" spans="1:10" hidden="1" x14ac:dyDescent="0.25">
      <c r="A306" s="362">
        <v>13</v>
      </c>
      <c r="B306" s="364">
        <v>43979</v>
      </c>
      <c r="C306" s="362" t="s">
        <v>78</v>
      </c>
      <c r="D306" s="562">
        <v>185556400</v>
      </c>
      <c r="E306" s="562">
        <v>1277000</v>
      </c>
      <c r="F306" s="562">
        <v>186833400</v>
      </c>
      <c r="G306" s="562">
        <f t="shared" si="5"/>
        <v>0</v>
      </c>
      <c r="H306" s="562">
        <v>13362433</v>
      </c>
      <c r="I306" s="624"/>
      <c r="J306" s="362"/>
    </row>
    <row r="307" spans="1:10" hidden="1" x14ac:dyDescent="0.25">
      <c r="A307" s="362">
        <v>14</v>
      </c>
      <c r="B307" s="364">
        <v>43979</v>
      </c>
      <c r="C307" s="362" t="s">
        <v>166</v>
      </c>
      <c r="D307" s="562">
        <v>87248322</v>
      </c>
      <c r="E307" s="562"/>
      <c r="F307" s="562">
        <v>87248400</v>
      </c>
      <c r="G307" s="562">
        <f t="shared" si="5"/>
        <v>-78</v>
      </c>
      <c r="H307" s="562"/>
      <c r="I307" s="624"/>
      <c r="J307" s="362"/>
    </row>
    <row r="308" spans="1:10" hidden="1" x14ac:dyDescent="0.25">
      <c r="A308" s="362">
        <v>15</v>
      </c>
      <c r="B308" s="364">
        <v>43979</v>
      </c>
      <c r="C308" s="362" t="s">
        <v>3435</v>
      </c>
      <c r="D308" s="562"/>
      <c r="E308" s="562"/>
      <c r="F308" s="562"/>
      <c r="G308" s="562">
        <f t="shared" si="5"/>
        <v>0</v>
      </c>
      <c r="H308" s="562"/>
      <c r="I308" s="624"/>
      <c r="J308" s="362"/>
    </row>
    <row r="309" spans="1:10" hidden="1" x14ac:dyDescent="0.25">
      <c r="A309" s="532"/>
      <c r="B309" s="591"/>
      <c r="C309" s="532"/>
      <c r="D309" s="564"/>
      <c r="E309" s="564"/>
      <c r="F309" s="564"/>
      <c r="G309" s="564">
        <f t="shared" si="5"/>
        <v>0</v>
      </c>
      <c r="H309" s="564"/>
      <c r="I309" s="625"/>
      <c r="J309" s="532"/>
    </row>
    <row r="310" spans="1:10" hidden="1" x14ac:dyDescent="0.25">
      <c r="A310" s="362">
        <v>1</v>
      </c>
      <c r="B310" s="364">
        <v>43980</v>
      </c>
      <c r="C310" s="362" t="s">
        <v>80</v>
      </c>
      <c r="D310" s="562">
        <v>186056591</v>
      </c>
      <c r="E310" s="562">
        <v>42173029</v>
      </c>
      <c r="F310" s="562">
        <v>228229600</v>
      </c>
      <c r="G310" s="562">
        <f t="shared" si="5"/>
        <v>20</v>
      </c>
      <c r="H310" s="562">
        <v>20328951</v>
      </c>
      <c r="I310" s="624"/>
      <c r="J310" s="362"/>
    </row>
    <row r="311" spans="1:10" hidden="1" x14ac:dyDescent="0.25">
      <c r="A311" s="362">
        <v>2</v>
      </c>
      <c r="B311" s="364">
        <v>43980</v>
      </c>
      <c r="C311" s="362" t="s">
        <v>83</v>
      </c>
      <c r="D311" s="562">
        <v>336641269</v>
      </c>
      <c r="E311" s="562">
        <v>568250</v>
      </c>
      <c r="F311" s="562">
        <v>337209600</v>
      </c>
      <c r="G311" s="562">
        <f t="shared" si="5"/>
        <v>-81</v>
      </c>
      <c r="H311" s="562">
        <v>14844368</v>
      </c>
      <c r="I311" s="624"/>
      <c r="J311" s="362"/>
    </row>
    <row r="312" spans="1:10" hidden="1" x14ac:dyDescent="0.25">
      <c r="A312" s="362">
        <v>3</v>
      </c>
      <c r="B312" s="364">
        <v>43980</v>
      </c>
      <c r="C312" s="362" t="s">
        <v>88</v>
      </c>
      <c r="D312" s="562">
        <v>352787259</v>
      </c>
      <c r="E312" s="562">
        <v>141917770</v>
      </c>
      <c r="F312" s="562">
        <v>494705100</v>
      </c>
      <c r="G312" s="562">
        <f t="shared" si="5"/>
        <v>-71</v>
      </c>
      <c r="H312" s="562">
        <v>4152674</v>
      </c>
      <c r="I312" s="624"/>
      <c r="J312" s="362"/>
    </row>
    <row r="313" spans="1:10" hidden="1" x14ac:dyDescent="0.25">
      <c r="A313" s="362">
        <v>4</v>
      </c>
      <c r="B313" s="364">
        <v>43980</v>
      </c>
      <c r="C313" s="362" t="s">
        <v>146</v>
      </c>
      <c r="D313" s="562">
        <v>180477895</v>
      </c>
      <c r="E313" s="562">
        <v>166118294</v>
      </c>
      <c r="F313" s="562">
        <v>346596300</v>
      </c>
      <c r="G313" s="562">
        <f t="shared" si="5"/>
        <v>-111</v>
      </c>
      <c r="H313" s="562">
        <v>10698578</v>
      </c>
      <c r="I313" s="624"/>
      <c r="J313" s="362"/>
    </row>
    <row r="314" spans="1:10" hidden="1" x14ac:dyDescent="0.25">
      <c r="A314" s="362">
        <v>5</v>
      </c>
      <c r="B314" s="364">
        <v>43980</v>
      </c>
      <c r="C314" s="362" t="s">
        <v>86</v>
      </c>
      <c r="D314" s="562">
        <v>38628178</v>
      </c>
      <c r="E314" s="562">
        <v>44375610</v>
      </c>
      <c r="F314" s="562">
        <v>83003700</v>
      </c>
      <c r="G314" s="562">
        <f t="shared" si="5"/>
        <v>88</v>
      </c>
      <c r="H314" s="562">
        <v>4474978</v>
      </c>
      <c r="I314" s="624"/>
      <c r="J314" s="362"/>
    </row>
    <row r="315" spans="1:10" hidden="1" x14ac:dyDescent="0.25">
      <c r="A315" s="362">
        <v>6</v>
      </c>
      <c r="B315" s="364">
        <v>43980</v>
      </c>
      <c r="C315" s="362" t="s">
        <v>89</v>
      </c>
      <c r="D315" s="562">
        <v>209502771</v>
      </c>
      <c r="E315" s="562">
        <v>3205629</v>
      </c>
      <c r="F315" s="562">
        <v>212708400</v>
      </c>
      <c r="G315" s="562">
        <f t="shared" si="5"/>
        <v>0</v>
      </c>
      <c r="H315" s="562">
        <v>12283022</v>
      </c>
      <c r="I315" s="624"/>
      <c r="J315" s="362"/>
    </row>
    <row r="316" spans="1:10" hidden="1" x14ac:dyDescent="0.25">
      <c r="A316" s="362">
        <v>7</v>
      </c>
      <c r="B316" s="364">
        <v>43980</v>
      </c>
      <c r="C316" s="362" t="s">
        <v>4751</v>
      </c>
      <c r="D316" s="562">
        <v>126141102</v>
      </c>
      <c r="E316" s="562">
        <v>9586098</v>
      </c>
      <c r="F316" s="562">
        <v>135727200</v>
      </c>
      <c r="G316" s="562">
        <f t="shared" si="5"/>
        <v>0</v>
      </c>
      <c r="H316" s="562">
        <v>14570937</v>
      </c>
      <c r="I316" s="624"/>
      <c r="J316" s="362"/>
    </row>
    <row r="317" spans="1:10" hidden="1" x14ac:dyDescent="0.25">
      <c r="A317" s="362">
        <v>8</v>
      </c>
      <c r="B317" s="364">
        <v>43980</v>
      </c>
      <c r="C317" s="362" t="s">
        <v>84</v>
      </c>
      <c r="D317" s="562">
        <v>276487929</v>
      </c>
      <c r="E317" s="562">
        <v>8272807</v>
      </c>
      <c r="F317" s="562">
        <v>284760800</v>
      </c>
      <c r="G317" s="562">
        <f t="shared" si="5"/>
        <v>-64</v>
      </c>
      <c r="H317" s="562">
        <v>21272818</v>
      </c>
      <c r="I317" s="624"/>
      <c r="J317" s="362"/>
    </row>
    <row r="318" spans="1:10" hidden="1" x14ac:dyDescent="0.25">
      <c r="A318" s="362">
        <v>9</v>
      </c>
      <c r="B318" s="364">
        <v>43980</v>
      </c>
      <c r="C318" s="362" t="s">
        <v>85</v>
      </c>
      <c r="D318" s="562">
        <v>25504650</v>
      </c>
      <c r="E318" s="562">
        <v>2443250</v>
      </c>
      <c r="F318" s="562">
        <v>27947900</v>
      </c>
      <c r="G318" s="562">
        <f t="shared" si="5"/>
        <v>0</v>
      </c>
      <c r="H318" s="562">
        <v>3995116</v>
      </c>
      <c r="I318" s="624"/>
      <c r="J318" s="362"/>
    </row>
    <row r="319" spans="1:10" hidden="1" x14ac:dyDescent="0.25">
      <c r="A319" s="362">
        <v>10</v>
      </c>
      <c r="B319" s="364">
        <v>43980</v>
      </c>
      <c r="C319" s="362" t="s">
        <v>81</v>
      </c>
      <c r="D319" s="562">
        <v>107662581</v>
      </c>
      <c r="E319" s="562">
        <v>12005550</v>
      </c>
      <c r="F319" s="562">
        <v>119668200</v>
      </c>
      <c r="G319" s="562">
        <f t="shared" si="5"/>
        <v>-69</v>
      </c>
      <c r="H319" s="562">
        <v>10086849</v>
      </c>
      <c r="I319" s="624"/>
      <c r="J319" s="362"/>
    </row>
    <row r="320" spans="1:10" hidden="1" x14ac:dyDescent="0.25">
      <c r="A320" s="362">
        <v>11</v>
      </c>
      <c r="B320" s="364">
        <v>43980</v>
      </c>
      <c r="C320" s="362" t="s">
        <v>79</v>
      </c>
      <c r="D320" s="562">
        <v>92879574</v>
      </c>
      <c r="E320" s="562">
        <v>350117</v>
      </c>
      <c r="F320" s="562">
        <v>93230700</v>
      </c>
      <c r="G320" s="562">
        <f t="shared" si="5"/>
        <v>-1009</v>
      </c>
      <c r="H320" s="562">
        <v>3130221</v>
      </c>
      <c r="I320" s="624"/>
      <c r="J320" s="362"/>
    </row>
    <row r="321" spans="1:10" hidden="1" x14ac:dyDescent="0.25">
      <c r="A321" s="362">
        <v>12</v>
      </c>
      <c r="B321" s="364">
        <v>43980</v>
      </c>
      <c r="C321" s="362" t="s">
        <v>82</v>
      </c>
      <c r="D321" s="562">
        <v>64384677</v>
      </c>
      <c r="E321" s="562">
        <v>2906208</v>
      </c>
      <c r="F321" s="562">
        <v>67290900</v>
      </c>
      <c r="G321" s="562">
        <f t="shared" si="5"/>
        <v>-15</v>
      </c>
      <c r="H321" s="562">
        <v>8866477</v>
      </c>
      <c r="I321" s="624"/>
      <c r="J321" s="362"/>
    </row>
    <row r="322" spans="1:10" hidden="1" x14ac:dyDescent="0.25">
      <c r="A322" s="362">
        <v>13</v>
      </c>
      <c r="B322" s="364">
        <v>43980</v>
      </c>
      <c r="C322" s="362" t="s">
        <v>78</v>
      </c>
      <c r="D322" s="562">
        <v>219737374</v>
      </c>
      <c r="E322" s="562">
        <v>1396726</v>
      </c>
      <c r="F322" s="562">
        <v>221134100</v>
      </c>
      <c r="G322" s="562">
        <f t="shared" si="5"/>
        <v>0</v>
      </c>
      <c r="H322" s="562">
        <v>12906533</v>
      </c>
      <c r="I322" s="624"/>
      <c r="J322" s="362"/>
    </row>
    <row r="323" spans="1:10" hidden="1" x14ac:dyDescent="0.25">
      <c r="A323" s="362">
        <v>14</v>
      </c>
      <c r="B323" s="364">
        <v>43980</v>
      </c>
      <c r="C323" s="362" t="s">
        <v>166</v>
      </c>
      <c r="D323" s="562">
        <v>48076129</v>
      </c>
      <c r="E323" s="562"/>
      <c r="F323" s="562">
        <v>48076200</v>
      </c>
      <c r="G323" s="562">
        <f t="shared" si="5"/>
        <v>-71</v>
      </c>
      <c r="H323" s="562"/>
      <c r="I323" s="624"/>
      <c r="J323" s="362"/>
    </row>
    <row r="324" spans="1:10" hidden="1" x14ac:dyDescent="0.25">
      <c r="A324" s="362">
        <v>15</v>
      </c>
      <c r="B324" s="364">
        <v>43980</v>
      </c>
      <c r="C324" s="362" t="s">
        <v>3435</v>
      </c>
      <c r="D324" s="562"/>
      <c r="E324" s="562"/>
      <c r="F324" s="562"/>
      <c r="G324" s="562">
        <f t="shared" si="5"/>
        <v>0</v>
      </c>
      <c r="H324" s="562"/>
      <c r="I324" s="624"/>
      <c r="J324" s="362"/>
    </row>
    <row r="325" spans="1:10" hidden="1" x14ac:dyDescent="0.25">
      <c r="A325" s="532"/>
      <c r="B325" s="591"/>
      <c r="C325" s="532"/>
      <c r="D325" s="564"/>
      <c r="E325" s="564"/>
      <c r="F325" s="564"/>
      <c r="G325" s="564">
        <f t="shared" si="5"/>
        <v>0</v>
      </c>
      <c r="H325" s="564"/>
      <c r="I325" s="625"/>
      <c r="J325" s="532"/>
    </row>
    <row r="326" spans="1:10" hidden="1" x14ac:dyDescent="0.25">
      <c r="A326" s="362">
        <v>1</v>
      </c>
      <c r="B326" s="364">
        <v>43981</v>
      </c>
      <c r="C326" s="362" t="s">
        <v>80</v>
      </c>
      <c r="D326" s="562">
        <v>300342649</v>
      </c>
      <c r="E326" s="562">
        <v>1895651</v>
      </c>
      <c r="F326" s="562">
        <v>301673300</v>
      </c>
      <c r="G326" s="562">
        <f>D326+E326-F326</f>
        <v>565000</v>
      </c>
      <c r="H326" s="562">
        <v>20328351</v>
      </c>
      <c r="I326" s="624"/>
      <c r="J326" s="362"/>
    </row>
    <row r="327" spans="1:10" hidden="1" x14ac:dyDescent="0.25">
      <c r="A327" s="362">
        <v>2</v>
      </c>
      <c r="B327" s="364">
        <v>43981</v>
      </c>
      <c r="C327" s="362" t="s">
        <v>83</v>
      </c>
      <c r="D327" s="562">
        <v>348913083</v>
      </c>
      <c r="E327" s="562">
        <v>28870356</v>
      </c>
      <c r="F327" s="562">
        <v>377783500</v>
      </c>
      <c r="G327" s="562">
        <f t="shared" ref="G327:G390" si="6">D327+E327-F327</f>
        <v>-61</v>
      </c>
      <c r="H327" s="562">
        <v>8800559</v>
      </c>
      <c r="I327" s="624"/>
      <c r="J327" s="362"/>
    </row>
    <row r="328" spans="1:10" hidden="1" x14ac:dyDescent="0.25">
      <c r="A328" s="362">
        <v>3</v>
      </c>
      <c r="B328" s="364">
        <v>43981</v>
      </c>
      <c r="C328" s="362" t="s">
        <v>88</v>
      </c>
      <c r="D328" s="562">
        <v>317305871</v>
      </c>
      <c r="E328" s="562">
        <v>21534943</v>
      </c>
      <c r="F328" s="562">
        <v>338840900</v>
      </c>
      <c r="G328" s="562">
        <f t="shared" si="6"/>
        <v>-86</v>
      </c>
      <c r="H328" s="562">
        <v>4152625</v>
      </c>
      <c r="I328" s="624"/>
      <c r="J328" s="362"/>
    </row>
    <row r="329" spans="1:10" hidden="1" x14ac:dyDescent="0.25">
      <c r="A329" s="362">
        <v>4</v>
      </c>
      <c r="B329" s="364">
        <v>43981</v>
      </c>
      <c r="C329" s="362" t="s">
        <v>146</v>
      </c>
      <c r="D329" s="562">
        <v>86297062</v>
      </c>
      <c r="E329" s="562">
        <v>162491925</v>
      </c>
      <c r="F329" s="562">
        <v>248789100</v>
      </c>
      <c r="G329" s="562">
        <f t="shared" si="6"/>
        <v>-113</v>
      </c>
      <c r="H329" s="562">
        <v>9178904</v>
      </c>
      <c r="I329" s="624"/>
      <c r="J329" s="362"/>
    </row>
    <row r="330" spans="1:10" hidden="1" x14ac:dyDescent="0.25">
      <c r="A330" s="362">
        <v>5</v>
      </c>
      <c r="B330" s="364">
        <v>43981</v>
      </c>
      <c r="C330" s="362" t="s">
        <v>86</v>
      </c>
      <c r="D330" s="562">
        <v>92288690</v>
      </c>
      <c r="E330" s="562">
        <v>148633570</v>
      </c>
      <c r="F330" s="562">
        <v>240922300</v>
      </c>
      <c r="G330" s="562">
        <f t="shared" si="6"/>
        <v>-40</v>
      </c>
      <c r="H330" s="562">
        <v>3947340</v>
      </c>
      <c r="I330" s="624"/>
      <c r="J330" s="362"/>
    </row>
    <row r="331" spans="1:10" hidden="1" x14ac:dyDescent="0.25">
      <c r="A331" s="362">
        <v>6</v>
      </c>
      <c r="B331" s="364">
        <v>43981</v>
      </c>
      <c r="C331" s="362" t="s">
        <v>89</v>
      </c>
      <c r="D331" s="562">
        <v>120822960</v>
      </c>
      <c r="E331" s="562">
        <v>26778040</v>
      </c>
      <c r="F331" s="562">
        <v>148054800</v>
      </c>
      <c r="G331" s="562">
        <f t="shared" si="6"/>
        <v>-453800</v>
      </c>
      <c r="H331" s="562">
        <v>11276051</v>
      </c>
      <c r="I331" s="624"/>
      <c r="J331" s="362"/>
    </row>
    <row r="332" spans="1:10" hidden="1" x14ac:dyDescent="0.25">
      <c r="A332" s="362">
        <v>7</v>
      </c>
      <c r="B332" s="364">
        <v>43981</v>
      </c>
      <c r="C332" s="362" t="s">
        <v>4751</v>
      </c>
      <c r="D332" s="562">
        <v>166924007</v>
      </c>
      <c r="E332" s="562">
        <v>20020693</v>
      </c>
      <c r="F332" s="562">
        <v>186944700</v>
      </c>
      <c r="G332" s="562">
        <f t="shared" si="6"/>
        <v>0</v>
      </c>
      <c r="H332" s="562">
        <v>12828437</v>
      </c>
      <c r="I332" s="624"/>
      <c r="J332" s="362"/>
    </row>
    <row r="333" spans="1:10" hidden="1" x14ac:dyDescent="0.25">
      <c r="A333" s="362">
        <v>8</v>
      </c>
      <c r="B333" s="364">
        <v>43981</v>
      </c>
      <c r="C333" s="362" t="s">
        <v>84</v>
      </c>
      <c r="D333" s="562">
        <v>122867338</v>
      </c>
      <c r="E333" s="562">
        <v>36226932</v>
      </c>
      <c r="F333" s="562">
        <v>159094100</v>
      </c>
      <c r="G333" s="562">
        <f t="shared" si="6"/>
        <v>170</v>
      </c>
      <c r="H333" s="562">
        <v>21273426</v>
      </c>
      <c r="I333" s="624"/>
      <c r="J333" s="362"/>
    </row>
    <row r="334" spans="1:10" hidden="1" x14ac:dyDescent="0.25">
      <c r="A334" s="362">
        <v>9</v>
      </c>
      <c r="B334" s="364">
        <v>43981</v>
      </c>
      <c r="C334" s="362" t="s">
        <v>85</v>
      </c>
      <c r="D334" s="562">
        <v>21893623</v>
      </c>
      <c r="E334" s="562">
        <v>4132577</v>
      </c>
      <c r="F334" s="562">
        <v>26026200</v>
      </c>
      <c r="G334" s="562">
        <f t="shared" si="6"/>
        <v>0</v>
      </c>
      <c r="H334" s="562">
        <v>3677616</v>
      </c>
      <c r="I334" s="624"/>
      <c r="J334" s="362"/>
    </row>
    <row r="335" spans="1:10" hidden="1" x14ac:dyDescent="0.25">
      <c r="A335" s="362">
        <v>10</v>
      </c>
      <c r="B335" s="364">
        <v>43981</v>
      </c>
      <c r="C335" s="362" t="s">
        <v>81</v>
      </c>
      <c r="D335" s="562">
        <v>115108642</v>
      </c>
      <c r="E335" s="562">
        <v>19705749</v>
      </c>
      <c r="F335" s="562">
        <v>134822400</v>
      </c>
      <c r="G335" s="562">
        <f t="shared" si="6"/>
        <v>-8009</v>
      </c>
      <c r="H335" s="562">
        <v>9063557</v>
      </c>
      <c r="I335" s="624"/>
      <c r="J335" s="362"/>
    </row>
    <row r="336" spans="1:10" hidden="1" x14ac:dyDescent="0.25">
      <c r="A336" s="362">
        <v>11</v>
      </c>
      <c r="B336" s="364">
        <v>43981</v>
      </c>
      <c r="C336" s="362" t="s">
        <v>79</v>
      </c>
      <c r="D336" s="562">
        <v>37111212</v>
      </c>
      <c r="E336" s="562">
        <v>432088</v>
      </c>
      <c r="F336" s="562">
        <v>37543300</v>
      </c>
      <c r="G336" s="562">
        <f t="shared" si="6"/>
        <v>0</v>
      </c>
      <c r="H336" s="562">
        <v>2435384</v>
      </c>
      <c r="I336" s="624"/>
      <c r="J336" s="362"/>
    </row>
    <row r="337" spans="1:10" hidden="1" x14ac:dyDescent="0.25">
      <c r="A337" s="362">
        <v>12</v>
      </c>
      <c r="B337" s="364">
        <v>43981</v>
      </c>
      <c r="C337" s="362" t="s">
        <v>82</v>
      </c>
      <c r="D337" s="562">
        <v>82868743</v>
      </c>
      <c r="E337" s="562">
        <v>4396200</v>
      </c>
      <c r="F337" s="562">
        <v>87265000</v>
      </c>
      <c r="G337" s="562">
        <f t="shared" si="6"/>
        <v>-57</v>
      </c>
      <c r="H337" s="562">
        <v>8117977</v>
      </c>
      <c r="I337" s="624"/>
      <c r="J337" s="362"/>
    </row>
    <row r="338" spans="1:10" hidden="1" x14ac:dyDescent="0.25">
      <c r="A338" s="362">
        <v>13</v>
      </c>
      <c r="B338" s="364">
        <v>43981</v>
      </c>
      <c r="C338" s="362" t="s">
        <v>78</v>
      </c>
      <c r="D338" s="562">
        <v>205334477</v>
      </c>
      <c r="E338" s="562">
        <v>11337923</v>
      </c>
      <c r="F338" s="562">
        <v>216672400</v>
      </c>
      <c r="G338" s="562">
        <f t="shared" si="6"/>
        <v>0</v>
      </c>
      <c r="H338" s="562">
        <v>10059374</v>
      </c>
      <c r="I338" s="624"/>
      <c r="J338" s="362"/>
    </row>
    <row r="339" spans="1:10" hidden="1" x14ac:dyDescent="0.25">
      <c r="A339" s="362">
        <v>14</v>
      </c>
      <c r="B339" s="364">
        <v>43981</v>
      </c>
      <c r="C339" s="362" t="s">
        <v>166</v>
      </c>
      <c r="D339" s="562"/>
      <c r="E339" s="562"/>
      <c r="F339" s="562"/>
      <c r="G339" s="562">
        <f t="shared" si="6"/>
        <v>0</v>
      </c>
      <c r="H339" s="562"/>
      <c r="I339" s="624"/>
      <c r="J339" s="362"/>
    </row>
    <row r="340" spans="1:10" hidden="1" x14ac:dyDescent="0.25">
      <c r="A340" s="362">
        <v>15</v>
      </c>
      <c r="B340" s="364">
        <v>43981</v>
      </c>
      <c r="C340" s="362" t="s">
        <v>3435</v>
      </c>
      <c r="D340" s="562"/>
      <c r="E340" s="562"/>
      <c r="F340" s="562"/>
      <c r="G340" s="562">
        <f t="shared" si="6"/>
        <v>0</v>
      </c>
      <c r="H340" s="562"/>
      <c r="I340" s="624"/>
      <c r="J340" s="362"/>
    </row>
    <row r="341" spans="1:10" hidden="1" x14ac:dyDescent="0.25">
      <c r="A341" s="532"/>
      <c r="B341" s="591"/>
      <c r="C341" s="532"/>
      <c r="D341" s="564"/>
      <c r="E341" s="564"/>
      <c r="F341" s="564"/>
      <c r="G341" s="564">
        <f t="shared" si="6"/>
        <v>0</v>
      </c>
      <c r="H341" s="564"/>
      <c r="I341" s="625"/>
      <c r="J341" s="532"/>
    </row>
    <row r="342" spans="1:10" s="254" customFormat="1" ht="17.25" hidden="1" customHeight="1" x14ac:dyDescent="0.25">
      <c r="A342" s="1609" t="s">
        <v>5353</v>
      </c>
      <c r="B342" s="1610"/>
      <c r="C342" s="1610"/>
      <c r="D342" s="1610"/>
      <c r="E342" s="1610"/>
      <c r="F342" s="1610"/>
      <c r="G342" s="1610"/>
      <c r="H342" s="1610"/>
      <c r="I342" s="1610"/>
      <c r="J342" s="630"/>
    </row>
    <row r="343" spans="1:10" hidden="1" x14ac:dyDescent="0.25">
      <c r="A343" s="362">
        <v>1</v>
      </c>
      <c r="B343" s="364">
        <v>43983</v>
      </c>
      <c r="C343" s="362" t="s">
        <v>80</v>
      </c>
      <c r="D343" s="562">
        <v>177261362</v>
      </c>
      <c r="E343" s="562"/>
      <c r="F343" s="562">
        <v>177826400</v>
      </c>
      <c r="G343" s="562">
        <f t="shared" si="6"/>
        <v>-565038</v>
      </c>
      <c r="H343" s="562">
        <v>17309407</v>
      </c>
      <c r="I343" s="624"/>
      <c r="J343" s="362"/>
    </row>
    <row r="344" spans="1:10" hidden="1" x14ac:dyDescent="0.25">
      <c r="A344" s="362">
        <v>2</v>
      </c>
      <c r="B344" s="364">
        <v>43983</v>
      </c>
      <c r="C344" s="362" t="s">
        <v>83</v>
      </c>
      <c r="D344" s="562">
        <v>330416019</v>
      </c>
      <c r="E344" s="562">
        <v>413397</v>
      </c>
      <c r="F344" s="562">
        <v>330829500</v>
      </c>
      <c r="G344" s="562">
        <f t="shared" si="6"/>
        <v>-84</v>
      </c>
      <c r="H344" s="562">
        <v>7702809</v>
      </c>
      <c r="I344" s="624"/>
      <c r="J344" s="362"/>
    </row>
    <row r="345" spans="1:10" hidden="1" x14ac:dyDescent="0.25">
      <c r="A345" s="362">
        <v>3</v>
      </c>
      <c r="B345" s="364">
        <v>43983</v>
      </c>
      <c r="C345" s="362" t="s">
        <v>88</v>
      </c>
      <c r="D345" s="562">
        <v>223753400</v>
      </c>
      <c r="E345" s="562">
        <v>1272505</v>
      </c>
      <c r="F345" s="562">
        <v>225026000</v>
      </c>
      <c r="G345" s="562">
        <f t="shared" si="6"/>
        <v>-95</v>
      </c>
      <c r="H345" s="562">
        <v>4152625</v>
      </c>
      <c r="I345" s="624"/>
      <c r="J345" s="362"/>
    </row>
    <row r="346" spans="1:10" hidden="1" x14ac:dyDescent="0.25">
      <c r="A346" s="362">
        <v>4</v>
      </c>
      <c r="B346" s="364">
        <v>43983</v>
      </c>
      <c r="C346" s="362" t="s">
        <v>146</v>
      </c>
      <c r="D346" s="562">
        <v>132833187</v>
      </c>
      <c r="E346" s="562">
        <v>23580637</v>
      </c>
      <c r="F346" s="562">
        <v>156414100</v>
      </c>
      <c r="G346" s="562">
        <f t="shared" si="6"/>
        <v>-276</v>
      </c>
      <c r="H346" s="562">
        <v>9178904</v>
      </c>
      <c r="I346" s="624"/>
      <c r="J346" s="362"/>
    </row>
    <row r="347" spans="1:10" hidden="1" x14ac:dyDescent="0.25">
      <c r="A347" s="362">
        <v>5</v>
      </c>
      <c r="B347" s="364">
        <v>43983</v>
      </c>
      <c r="C347" s="362" t="s">
        <v>86</v>
      </c>
      <c r="D347" s="562">
        <v>75473096</v>
      </c>
      <c r="E347" s="562">
        <v>12464500</v>
      </c>
      <c r="F347" s="562">
        <v>87937600</v>
      </c>
      <c r="G347" s="562">
        <f t="shared" si="6"/>
        <v>-4</v>
      </c>
      <c r="H347" s="562">
        <v>3947346</v>
      </c>
      <c r="I347" s="624"/>
      <c r="J347" s="362"/>
    </row>
    <row r="348" spans="1:10" hidden="1" x14ac:dyDescent="0.25">
      <c r="A348" s="362">
        <v>6</v>
      </c>
      <c r="B348" s="364">
        <v>43983</v>
      </c>
      <c r="C348" s="362" t="s">
        <v>89</v>
      </c>
      <c r="D348" s="562">
        <v>198055300</v>
      </c>
      <c r="E348" s="562">
        <v>2478000</v>
      </c>
      <c r="F348" s="562">
        <v>200534300</v>
      </c>
      <c r="G348" s="562">
        <f t="shared" si="6"/>
        <v>-1000</v>
      </c>
      <c r="H348" s="562">
        <v>8484462</v>
      </c>
      <c r="I348" s="624"/>
      <c r="J348" s="362"/>
    </row>
    <row r="349" spans="1:10" hidden="1" x14ac:dyDescent="0.25">
      <c r="A349" s="362">
        <v>7</v>
      </c>
      <c r="B349" s="364">
        <v>43983</v>
      </c>
      <c r="C349" s="362" t="s">
        <v>4751</v>
      </c>
      <c r="D349" s="562">
        <v>177754143</v>
      </c>
      <c r="E349" s="562">
        <v>4138857</v>
      </c>
      <c r="F349" s="562">
        <v>181893000</v>
      </c>
      <c r="G349" s="562">
        <f t="shared" si="6"/>
        <v>0</v>
      </c>
      <c r="H349" s="562">
        <v>11168457</v>
      </c>
      <c r="I349" s="624"/>
      <c r="J349" s="362"/>
    </row>
    <row r="350" spans="1:10" hidden="1" x14ac:dyDescent="0.25">
      <c r="A350" s="362">
        <v>8</v>
      </c>
      <c r="B350" s="364">
        <v>43983</v>
      </c>
      <c r="C350" s="362" t="s">
        <v>84</v>
      </c>
      <c r="D350" s="562">
        <v>271938319</v>
      </c>
      <c r="E350" s="562">
        <v>2946032</v>
      </c>
      <c r="F350" s="562">
        <v>274924300</v>
      </c>
      <c r="G350" s="562">
        <f t="shared" si="6"/>
        <v>-39949</v>
      </c>
      <c r="H350" s="562">
        <v>21273426</v>
      </c>
      <c r="I350" s="624"/>
      <c r="J350" s="362"/>
    </row>
    <row r="351" spans="1:10" hidden="1" x14ac:dyDescent="0.25">
      <c r="A351" s="362">
        <v>9</v>
      </c>
      <c r="B351" s="364">
        <v>43983</v>
      </c>
      <c r="C351" s="362" t="s">
        <v>85</v>
      </c>
      <c r="D351" s="562">
        <v>28484039</v>
      </c>
      <c r="E351" s="562">
        <v>1339561</v>
      </c>
      <c r="F351" s="562">
        <v>29823600</v>
      </c>
      <c r="G351" s="562">
        <f t="shared" si="6"/>
        <v>0</v>
      </c>
      <c r="H351" s="562">
        <v>3677616</v>
      </c>
      <c r="I351" s="624"/>
      <c r="J351" s="362"/>
    </row>
    <row r="352" spans="1:10" hidden="1" x14ac:dyDescent="0.25">
      <c r="A352" s="362">
        <v>10</v>
      </c>
      <c r="B352" s="364">
        <v>43983</v>
      </c>
      <c r="C352" s="362" t="s">
        <v>81</v>
      </c>
      <c r="D352" s="562">
        <v>73310153</v>
      </c>
      <c r="E352" s="562">
        <v>6847860</v>
      </c>
      <c r="F352" s="562">
        <v>80158100</v>
      </c>
      <c r="G352" s="562">
        <f t="shared" si="6"/>
        <v>-87</v>
      </c>
      <c r="H352" s="562">
        <v>6805557</v>
      </c>
      <c r="I352" s="624"/>
      <c r="J352" s="362"/>
    </row>
    <row r="353" spans="1:10" hidden="1" x14ac:dyDescent="0.25">
      <c r="A353" s="362">
        <v>11</v>
      </c>
      <c r="B353" s="364">
        <v>43983</v>
      </c>
      <c r="C353" s="362" t="s">
        <v>79</v>
      </c>
      <c r="D353" s="562">
        <v>39357320</v>
      </c>
      <c r="E353" s="562"/>
      <c r="F353" s="562">
        <v>39357400</v>
      </c>
      <c r="G353" s="562">
        <f t="shared" si="6"/>
        <v>-80</v>
      </c>
      <c r="H353" s="562">
        <v>1911384</v>
      </c>
      <c r="I353" s="624"/>
      <c r="J353" s="362"/>
    </row>
    <row r="354" spans="1:10" hidden="1" x14ac:dyDescent="0.25">
      <c r="A354" s="362">
        <v>12</v>
      </c>
      <c r="B354" s="364">
        <v>43983</v>
      </c>
      <c r="C354" s="362" t="s">
        <v>82</v>
      </c>
      <c r="D354" s="562">
        <v>33863893</v>
      </c>
      <c r="E354" s="562">
        <v>2232972</v>
      </c>
      <c r="F354" s="562">
        <v>36096900</v>
      </c>
      <c r="G354" s="562">
        <f t="shared" si="6"/>
        <v>-35</v>
      </c>
      <c r="H354" s="562">
        <v>8117977</v>
      </c>
      <c r="I354" s="624"/>
      <c r="J354" s="362"/>
    </row>
    <row r="355" spans="1:10" hidden="1" x14ac:dyDescent="0.25">
      <c r="A355" s="362">
        <v>13</v>
      </c>
      <c r="B355" s="364">
        <v>43983</v>
      </c>
      <c r="C355" s="362" t="s">
        <v>78</v>
      </c>
      <c r="D355" s="562">
        <v>89191616</v>
      </c>
      <c r="E355" s="562">
        <v>277384</v>
      </c>
      <c r="F355" s="562">
        <v>89469000</v>
      </c>
      <c r="G355" s="562">
        <f t="shared" si="6"/>
        <v>0</v>
      </c>
      <c r="H355" s="562">
        <v>9934374</v>
      </c>
      <c r="I355" s="624"/>
      <c r="J355" s="362"/>
    </row>
    <row r="356" spans="1:10" hidden="1" x14ac:dyDescent="0.25">
      <c r="A356" s="362">
        <v>14</v>
      </c>
      <c r="B356" s="364">
        <v>43983</v>
      </c>
      <c r="C356" s="362" t="s">
        <v>166</v>
      </c>
      <c r="D356" s="562">
        <v>39547545</v>
      </c>
      <c r="E356" s="562"/>
      <c r="F356" s="562">
        <v>39547600</v>
      </c>
      <c r="G356" s="562">
        <f t="shared" si="6"/>
        <v>-55</v>
      </c>
      <c r="H356" s="562"/>
      <c r="I356" s="624"/>
      <c r="J356" s="362"/>
    </row>
    <row r="357" spans="1:10" hidden="1" x14ac:dyDescent="0.25">
      <c r="A357" s="362">
        <v>15</v>
      </c>
      <c r="B357" s="364">
        <v>43983</v>
      </c>
      <c r="C357" s="362" t="s">
        <v>3435</v>
      </c>
      <c r="D357" s="562"/>
      <c r="E357" s="562"/>
      <c r="F357" s="562"/>
      <c r="G357" s="562">
        <f t="shared" si="6"/>
        <v>0</v>
      </c>
      <c r="H357" s="562"/>
      <c r="I357" s="624"/>
      <c r="J357" s="362"/>
    </row>
    <row r="358" spans="1:10" hidden="1" x14ac:dyDescent="0.25">
      <c r="A358" s="532"/>
      <c r="B358" s="591"/>
      <c r="C358" s="532"/>
      <c r="D358" s="564"/>
      <c r="E358" s="564"/>
      <c r="F358" s="564"/>
      <c r="G358" s="564">
        <f t="shared" si="6"/>
        <v>0</v>
      </c>
      <c r="H358" s="564"/>
      <c r="I358" s="625"/>
      <c r="J358" s="532"/>
    </row>
    <row r="359" spans="1:10" hidden="1" x14ac:dyDescent="0.25">
      <c r="A359" s="362">
        <v>1</v>
      </c>
      <c r="B359" s="364">
        <v>43984</v>
      </c>
      <c r="C359" s="362" t="s">
        <v>80</v>
      </c>
      <c r="D359" s="562">
        <v>258712453</v>
      </c>
      <c r="E359" s="562">
        <v>987504</v>
      </c>
      <c r="F359" s="562">
        <v>259700200</v>
      </c>
      <c r="G359" s="562">
        <f t="shared" si="6"/>
        <v>-243</v>
      </c>
      <c r="H359" s="562">
        <v>17309407</v>
      </c>
      <c r="I359" s="624"/>
      <c r="J359" s="362"/>
    </row>
    <row r="360" spans="1:10" hidden="1" x14ac:dyDescent="0.25">
      <c r="A360" s="362">
        <v>2</v>
      </c>
      <c r="B360" s="364">
        <v>43984</v>
      </c>
      <c r="C360" s="362" t="s">
        <v>83</v>
      </c>
      <c r="D360" s="562">
        <v>268357199</v>
      </c>
      <c r="E360" s="562">
        <v>1125935</v>
      </c>
      <c r="F360" s="562">
        <v>269483200</v>
      </c>
      <c r="G360" s="562">
        <f t="shared" si="6"/>
        <v>-66</v>
      </c>
      <c r="H360" s="562">
        <v>8726476</v>
      </c>
      <c r="I360" s="624"/>
      <c r="J360" s="362"/>
    </row>
    <row r="361" spans="1:10" hidden="1" x14ac:dyDescent="0.25">
      <c r="A361" s="362">
        <v>3</v>
      </c>
      <c r="B361" s="364">
        <v>43984</v>
      </c>
      <c r="C361" s="362" t="s">
        <v>88</v>
      </c>
      <c r="D361" s="562">
        <v>240006595</v>
      </c>
      <c r="E361" s="562">
        <v>13765914</v>
      </c>
      <c r="F361" s="562">
        <v>253772600</v>
      </c>
      <c r="G361" s="562">
        <f t="shared" si="6"/>
        <v>-91</v>
      </c>
      <c r="H361" s="562">
        <v>16767751</v>
      </c>
      <c r="I361" s="624"/>
      <c r="J361" s="362"/>
    </row>
    <row r="362" spans="1:10" hidden="1" x14ac:dyDescent="0.25">
      <c r="A362" s="362">
        <v>4</v>
      </c>
      <c r="B362" s="364">
        <v>43984</v>
      </c>
      <c r="C362" s="362" t="s">
        <v>146</v>
      </c>
      <c r="D362" s="562">
        <v>297557422</v>
      </c>
      <c r="E362" s="562">
        <v>220812698</v>
      </c>
      <c r="F362" s="562">
        <v>518370400</v>
      </c>
      <c r="G362" s="562">
        <f t="shared" si="6"/>
        <v>-280</v>
      </c>
      <c r="H362" s="562">
        <v>178904</v>
      </c>
      <c r="I362" s="624"/>
      <c r="J362" s="362"/>
    </row>
    <row r="363" spans="1:10" hidden="1" x14ac:dyDescent="0.25">
      <c r="A363" s="362">
        <v>5</v>
      </c>
      <c r="B363" s="364">
        <v>43984</v>
      </c>
      <c r="C363" s="362" t="s">
        <v>86</v>
      </c>
      <c r="D363" s="562">
        <v>110845701</v>
      </c>
      <c r="E363" s="562">
        <v>87328500</v>
      </c>
      <c r="F363" s="562">
        <v>198174200</v>
      </c>
      <c r="G363" s="562">
        <f t="shared" si="6"/>
        <v>1</v>
      </c>
      <c r="H363" s="562">
        <v>6170054</v>
      </c>
      <c r="I363" s="624"/>
      <c r="J363" s="362"/>
    </row>
    <row r="364" spans="1:10" hidden="1" x14ac:dyDescent="0.25">
      <c r="A364" s="362">
        <v>6</v>
      </c>
      <c r="B364" s="364">
        <v>43984</v>
      </c>
      <c r="C364" s="362" t="s">
        <v>89</v>
      </c>
      <c r="D364" s="562">
        <v>191318296</v>
      </c>
      <c r="E364" s="562">
        <v>4477104</v>
      </c>
      <c r="F364" s="562">
        <v>195795400</v>
      </c>
      <c r="G364" s="562">
        <f t="shared" si="6"/>
        <v>0</v>
      </c>
      <c r="H364" s="562">
        <v>11729922</v>
      </c>
      <c r="I364" s="624"/>
      <c r="J364" s="362"/>
    </row>
    <row r="365" spans="1:10" hidden="1" x14ac:dyDescent="0.25">
      <c r="A365" s="362">
        <v>7</v>
      </c>
      <c r="B365" s="364">
        <v>43984</v>
      </c>
      <c r="C365" s="362" t="s">
        <v>4751</v>
      </c>
      <c r="D365" s="562">
        <v>282511311</v>
      </c>
      <c r="E365" s="562">
        <v>18097389</v>
      </c>
      <c r="F365" s="562">
        <v>300608700</v>
      </c>
      <c r="G365" s="562">
        <f t="shared" si="6"/>
        <v>0</v>
      </c>
      <c r="H365" s="562">
        <v>25717308</v>
      </c>
      <c r="I365" s="624"/>
      <c r="J365" s="362"/>
    </row>
    <row r="366" spans="1:10" hidden="1" x14ac:dyDescent="0.25">
      <c r="A366" s="362">
        <v>8</v>
      </c>
      <c r="B366" s="364">
        <v>43984</v>
      </c>
      <c r="C366" s="362" t="s">
        <v>84</v>
      </c>
      <c r="D366" s="562">
        <v>265324410</v>
      </c>
      <c r="E366" s="562">
        <v>9549372</v>
      </c>
      <c r="F366" s="562">
        <v>274873800</v>
      </c>
      <c r="G366" s="562">
        <f t="shared" si="6"/>
        <v>-18</v>
      </c>
      <c r="H366" s="562">
        <v>25520824</v>
      </c>
      <c r="I366" s="624"/>
      <c r="J366" s="362"/>
    </row>
    <row r="367" spans="1:10" hidden="1" x14ac:dyDescent="0.25">
      <c r="A367" s="362">
        <v>9</v>
      </c>
      <c r="B367" s="364">
        <v>43984</v>
      </c>
      <c r="C367" s="362" t="s">
        <v>85</v>
      </c>
      <c r="D367" s="562">
        <v>57837838</v>
      </c>
      <c r="E367" s="562">
        <v>777062</v>
      </c>
      <c r="F367" s="562">
        <v>58614900</v>
      </c>
      <c r="G367" s="562">
        <f t="shared" si="6"/>
        <v>0</v>
      </c>
      <c r="H367" s="562">
        <v>3677616</v>
      </c>
      <c r="I367" s="624"/>
      <c r="J367" s="362"/>
    </row>
    <row r="368" spans="1:10" hidden="1" x14ac:dyDescent="0.25">
      <c r="A368" s="362">
        <v>10</v>
      </c>
      <c r="B368" s="364">
        <v>43984</v>
      </c>
      <c r="C368" s="362" t="s">
        <v>81</v>
      </c>
      <c r="D368" s="562">
        <v>125629953</v>
      </c>
      <c r="E368" s="562">
        <v>46767552</v>
      </c>
      <c r="F368" s="562">
        <v>172397600</v>
      </c>
      <c r="G368" s="562">
        <f t="shared" si="6"/>
        <v>-95</v>
      </c>
      <c r="H368" s="562">
        <v>13480394</v>
      </c>
      <c r="I368" s="624"/>
      <c r="J368" s="362"/>
    </row>
    <row r="369" spans="1:10" hidden="1" x14ac:dyDescent="0.25">
      <c r="A369" s="362">
        <v>11</v>
      </c>
      <c r="B369" s="364">
        <v>43984</v>
      </c>
      <c r="C369" s="362" t="s">
        <v>79</v>
      </c>
      <c r="D369" s="562">
        <v>104192297</v>
      </c>
      <c r="E369" s="562">
        <v>63200</v>
      </c>
      <c r="F369" s="562">
        <v>104255500</v>
      </c>
      <c r="G369" s="562">
        <f t="shared" si="6"/>
        <v>-3</v>
      </c>
      <c r="H369" s="562">
        <v>4455534</v>
      </c>
      <c r="I369" s="624"/>
      <c r="J369" s="362"/>
    </row>
    <row r="370" spans="1:10" hidden="1" x14ac:dyDescent="0.25">
      <c r="A370" s="362">
        <v>12</v>
      </c>
      <c r="B370" s="364">
        <v>43984</v>
      </c>
      <c r="C370" s="362" t="s">
        <v>82</v>
      </c>
      <c r="D370" s="562">
        <v>47309945</v>
      </c>
      <c r="E370" s="562">
        <v>1020140</v>
      </c>
      <c r="F370" s="562">
        <v>48330100</v>
      </c>
      <c r="G370" s="562">
        <f t="shared" si="6"/>
        <v>-15</v>
      </c>
      <c r="H370" s="562">
        <v>8831466</v>
      </c>
      <c r="I370" s="624"/>
      <c r="J370" s="362"/>
    </row>
    <row r="371" spans="1:10" hidden="1" x14ac:dyDescent="0.25">
      <c r="A371" s="362">
        <v>13</v>
      </c>
      <c r="B371" s="364">
        <v>43984</v>
      </c>
      <c r="C371" s="362" t="s">
        <v>78</v>
      </c>
      <c r="D371" s="562">
        <v>103809618</v>
      </c>
      <c r="E371" s="562">
        <v>2877182</v>
      </c>
      <c r="F371" s="562">
        <v>106686800</v>
      </c>
      <c r="G371" s="562">
        <f t="shared" si="6"/>
        <v>0</v>
      </c>
      <c r="H371" s="562">
        <v>12446834</v>
      </c>
      <c r="I371" s="624"/>
      <c r="J371" s="362"/>
    </row>
    <row r="372" spans="1:10" hidden="1" x14ac:dyDescent="0.25">
      <c r="A372" s="362">
        <v>14</v>
      </c>
      <c r="B372" s="364">
        <v>43984</v>
      </c>
      <c r="C372" s="362" t="s">
        <v>166</v>
      </c>
      <c r="D372" s="562">
        <v>45394433</v>
      </c>
      <c r="E372" s="562"/>
      <c r="F372" s="562">
        <v>45394500</v>
      </c>
      <c r="G372" s="562">
        <f t="shared" si="6"/>
        <v>-67</v>
      </c>
      <c r="H372" s="562"/>
      <c r="I372" s="624"/>
      <c r="J372" s="362"/>
    </row>
    <row r="373" spans="1:10" hidden="1" x14ac:dyDescent="0.25">
      <c r="A373" s="362">
        <v>15</v>
      </c>
      <c r="B373" s="364">
        <v>43984</v>
      </c>
      <c r="C373" s="362" t="s">
        <v>3435</v>
      </c>
      <c r="D373" s="562"/>
      <c r="E373" s="562"/>
      <c r="F373" s="562"/>
      <c r="G373" s="562">
        <f t="shared" si="6"/>
        <v>0</v>
      </c>
      <c r="H373" s="562"/>
      <c r="I373" s="624"/>
      <c r="J373" s="362"/>
    </row>
    <row r="374" spans="1:10" hidden="1" x14ac:dyDescent="0.25">
      <c r="A374" s="532"/>
      <c r="B374" s="591"/>
      <c r="C374" s="532"/>
      <c r="D374" s="564"/>
      <c r="E374" s="564"/>
      <c r="F374" s="564"/>
      <c r="G374" s="564">
        <f t="shared" si="6"/>
        <v>0</v>
      </c>
      <c r="H374" s="564"/>
      <c r="I374" s="625"/>
      <c r="J374" s="532"/>
    </row>
    <row r="375" spans="1:10" hidden="1" x14ac:dyDescent="0.25">
      <c r="A375" s="362">
        <v>1</v>
      </c>
      <c r="B375" s="364">
        <v>43985</v>
      </c>
      <c r="C375" s="362" t="s">
        <v>80</v>
      </c>
      <c r="D375" s="562">
        <v>551482698</v>
      </c>
      <c r="E375" s="562">
        <v>10483881</v>
      </c>
      <c r="F375" s="562">
        <v>561966500</v>
      </c>
      <c r="G375" s="562">
        <f t="shared" si="6"/>
        <v>79</v>
      </c>
      <c r="H375" s="562">
        <v>34981139</v>
      </c>
      <c r="I375" s="624"/>
      <c r="J375" s="362"/>
    </row>
    <row r="376" spans="1:10" hidden="1" x14ac:dyDescent="0.25">
      <c r="A376" s="362">
        <v>2</v>
      </c>
      <c r="B376" s="364">
        <v>43985</v>
      </c>
      <c r="C376" s="362" t="s">
        <v>83</v>
      </c>
      <c r="D376" s="562">
        <v>278590139</v>
      </c>
      <c r="E376" s="562">
        <v>12076404</v>
      </c>
      <c r="F376" s="562">
        <v>290666600</v>
      </c>
      <c r="G376" s="562">
        <f t="shared" si="6"/>
        <v>-57</v>
      </c>
      <c r="H376" s="562">
        <v>5571028</v>
      </c>
      <c r="I376" s="624"/>
      <c r="J376" s="362"/>
    </row>
    <row r="377" spans="1:10" hidden="1" x14ac:dyDescent="0.25">
      <c r="A377" s="362">
        <v>3</v>
      </c>
      <c r="B377" s="364">
        <v>43985</v>
      </c>
      <c r="C377" s="362" t="s">
        <v>88</v>
      </c>
      <c r="D377" s="562">
        <v>237719803</v>
      </c>
      <c r="E377" s="562">
        <v>4120750</v>
      </c>
      <c r="F377" s="562">
        <v>241840600</v>
      </c>
      <c r="G377" s="562">
        <f t="shared" si="6"/>
        <v>-47</v>
      </c>
      <c r="H377" s="562">
        <v>16415451</v>
      </c>
      <c r="I377" s="624"/>
      <c r="J377" s="362"/>
    </row>
    <row r="378" spans="1:10" hidden="1" x14ac:dyDescent="0.25">
      <c r="A378" s="362">
        <v>4</v>
      </c>
      <c r="B378" s="364">
        <v>43985</v>
      </c>
      <c r="C378" s="362" t="s">
        <v>146</v>
      </c>
      <c r="D378" s="562">
        <v>152867690</v>
      </c>
      <c r="E378" s="562">
        <v>109023624</v>
      </c>
      <c r="F378" s="562">
        <v>261891500</v>
      </c>
      <c r="G378" s="562">
        <f t="shared" si="6"/>
        <v>-186</v>
      </c>
      <c r="H378" s="562">
        <v>6158796</v>
      </c>
      <c r="I378" s="624"/>
      <c r="J378" s="362"/>
    </row>
    <row r="379" spans="1:10" hidden="1" x14ac:dyDescent="0.25">
      <c r="A379" s="362">
        <v>5</v>
      </c>
      <c r="B379" s="364">
        <v>43985</v>
      </c>
      <c r="C379" s="362" t="s">
        <v>86</v>
      </c>
      <c r="D379" s="562">
        <v>143054304</v>
      </c>
      <c r="E379" s="562">
        <v>40898900</v>
      </c>
      <c r="F379" s="562">
        <v>183953300</v>
      </c>
      <c r="G379" s="562">
        <f t="shared" si="6"/>
        <v>-96</v>
      </c>
      <c r="H379" s="562">
        <v>3948154</v>
      </c>
      <c r="I379" s="624"/>
      <c r="J379" s="362"/>
    </row>
    <row r="380" spans="1:10" hidden="1" x14ac:dyDescent="0.25">
      <c r="A380" s="362">
        <v>6</v>
      </c>
      <c r="B380" s="364">
        <v>43985</v>
      </c>
      <c r="C380" s="362" t="s">
        <v>89</v>
      </c>
      <c r="D380" s="562">
        <v>152818195</v>
      </c>
      <c r="E380" s="562">
        <v>3167005</v>
      </c>
      <c r="F380" s="562">
        <v>155985200</v>
      </c>
      <c r="G380" s="562">
        <f t="shared" si="6"/>
        <v>0</v>
      </c>
      <c r="H380" s="562">
        <v>11057922</v>
      </c>
      <c r="I380" s="624"/>
      <c r="J380" s="362"/>
    </row>
    <row r="381" spans="1:10" hidden="1" x14ac:dyDescent="0.25">
      <c r="A381" s="362">
        <v>7</v>
      </c>
      <c r="B381" s="364">
        <v>43985</v>
      </c>
      <c r="C381" s="362" t="s">
        <v>4751</v>
      </c>
      <c r="D381" s="562">
        <v>193709249</v>
      </c>
      <c r="E381" s="562">
        <v>6127351</v>
      </c>
      <c r="F381" s="562">
        <v>199836600</v>
      </c>
      <c r="G381" s="562">
        <f t="shared" si="6"/>
        <v>0</v>
      </c>
      <c r="H381" s="562">
        <v>24897608</v>
      </c>
      <c r="I381" s="624"/>
      <c r="J381" s="362"/>
    </row>
    <row r="382" spans="1:10" hidden="1" x14ac:dyDescent="0.25">
      <c r="A382" s="362">
        <v>8</v>
      </c>
      <c r="B382" s="364">
        <v>43985</v>
      </c>
      <c r="C382" s="362" t="s">
        <v>84</v>
      </c>
      <c r="D382" s="562">
        <v>232431044</v>
      </c>
      <c r="E382" s="562">
        <v>17502556</v>
      </c>
      <c r="F382" s="562">
        <v>249933900</v>
      </c>
      <c r="G382" s="562">
        <f t="shared" si="6"/>
        <v>-300</v>
      </c>
      <c r="H382" s="562">
        <v>25520824</v>
      </c>
      <c r="I382" s="624"/>
      <c r="J382" s="362"/>
    </row>
    <row r="383" spans="1:10" hidden="1" x14ac:dyDescent="0.25">
      <c r="A383" s="362">
        <v>9</v>
      </c>
      <c r="B383" s="364">
        <v>43985</v>
      </c>
      <c r="C383" s="362" t="s">
        <v>85</v>
      </c>
      <c r="D383" s="562">
        <v>39165021</v>
      </c>
      <c r="E383" s="562">
        <v>2352479</v>
      </c>
      <c r="F383" s="562">
        <v>41517500</v>
      </c>
      <c r="G383" s="562">
        <f t="shared" si="6"/>
        <v>0</v>
      </c>
      <c r="H383" s="562">
        <v>3677616</v>
      </c>
      <c r="I383" s="624"/>
      <c r="J383" s="362"/>
    </row>
    <row r="384" spans="1:10" hidden="1" x14ac:dyDescent="0.25">
      <c r="A384" s="362">
        <v>10</v>
      </c>
      <c r="B384" s="364">
        <v>43985</v>
      </c>
      <c r="C384" s="362" t="s">
        <v>81</v>
      </c>
      <c r="D384" s="562">
        <v>98087397</v>
      </c>
      <c r="E384" s="562">
        <v>6730153</v>
      </c>
      <c r="F384" s="562">
        <v>104817600</v>
      </c>
      <c r="G384" s="562">
        <f t="shared" si="6"/>
        <v>-50</v>
      </c>
      <c r="H384" s="562">
        <v>12805394</v>
      </c>
      <c r="I384" s="624"/>
      <c r="J384" s="362"/>
    </row>
    <row r="385" spans="1:10" hidden="1" x14ac:dyDescent="0.25">
      <c r="A385" s="362">
        <v>11</v>
      </c>
      <c r="B385" s="364">
        <v>43985</v>
      </c>
      <c r="C385" s="362" t="s">
        <v>79</v>
      </c>
      <c r="D385" s="562">
        <v>119740905</v>
      </c>
      <c r="E385" s="562">
        <v>457695</v>
      </c>
      <c r="F385" s="562">
        <v>120198600</v>
      </c>
      <c r="G385" s="562">
        <f t="shared" si="6"/>
        <v>0</v>
      </c>
      <c r="H385" s="562">
        <v>4216034</v>
      </c>
      <c r="I385" s="624"/>
      <c r="J385" s="362"/>
    </row>
    <row r="386" spans="1:10" hidden="1" x14ac:dyDescent="0.25">
      <c r="A386" s="362">
        <v>12</v>
      </c>
      <c r="B386" s="364">
        <v>43985</v>
      </c>
      <c r="C386" s="362" t="s">
        <v>82</v>
      </c>
      <c r="D386" s="562">
        <v>136991500</v>
      </c>
      <c r="E386" s="562">
        <v>273855</v>
      </c>
      <c r="F386" s="562">
        <v>137265400</v>
      </c>
      <c r="G386" s="562">
        <f t="shared" si="6"/>
        <v>-45</v>
      </c>
      <c r="H386" s="562">
        <v>8831466</v>
      </c>
      <c r="I386" s="624"/>
      <c r="J386" s="362"/>
    </row>
    <row r="387" spans="1:10" hidden="1" x14ac:dyDescent="0.25">
      <c r="A387" s="362">
        <v>13</v>
      </c>
      <c r="B387" s="364">
        <v>43985</v>
      </c>
      <c r="C387" s="362" t="s">
        <v>78</v>
      </c>
      <c r="D387" s="562">
        <v>98206705</v>
      </c>
      <c r="E387" s="562">
        <v>5005395</v>
      </c>
      <c r="F387" s="562">
        <v>103212100</v>
      </c>
      <c r="G387" s="562">
        <f t="shared" si="6"/>
        <v>0</v>
      </c>
      <c r="H387" s="562">
        <v>10059374</v>
      </c>
      <c r="I387" s="624"/>
      <c r="J387" s="362"/>
    </row>
    <row r="388" spans="1:10" hidden="1" x14ac:dyDescent="0.25">
      <c r="A388" s="362">
        <v>14</v>
      </c>
      <c r="B388" s="364">
        <v>43985</v>
      </c>
      <c r="C388" s="362" t="s">
        <v>166</v>
      </c>
      <c r="D388" s="562">
        <v>81532606</v>
      </c>
      <c r="E388" s="562"/>
      <c r="F388" s="562">
        <v>81532600</v>
      </c>
      <c r="G388" s="562">
        <f t="shared" si="6"/>
        <v>6</v>
      </c>
      <c r="H388" s="562"/>
      <c r="I388" s="624"/>
      <c r="J388" s="362"/>
    </row>
    <row r="389" spans="1:10" hidden="1" x14ac:dyDescent="0.25">
      <c r="A389" s="362">
        <v>15</v>
      </c>
      <c r="B389" s="364">
        <v>43985</v>
      </c>
      <c r="C389" s="362" t="s">
        <v>3435</v>
      </c>
      <c r="D389" s="562"/>
      <c r="E389" s="562"/>
      <c r="F389" s="562"/>
      <c r="G389" s="562">
        <f t="shared" si="6"/>
        <v>0</v>
      </c>
      <c r="H389" s="562"/>
      <c r="I389" s="624"/>
      <c r="J389" s="362"/>
    </row>
    <row r="390" spans="1:10" hidden="1" x14ac:dyDescent="0.25">
      <c r="A390" s="532"/>
      <c r="B390" s="591"/>
      <c r="C390" s="532"/>
      <c r="D390" s="532"/>
      <c r="E390" s="532"/>
      <c r="F390" s="532"/>
      <c r="G390" s="564">
        <f t="shared" si="6"/>
        <v>0</v>
      </c>
      <c r="H390" s="532"/>
      <c r="I390" s="625"/>
      <c r="J390" s="532"/>
    </row>
    <row r="391" spans="1:10" hidden="1" x14ac:dyDescent="0.25">
      <c r="A391" s="362">
        <v>1</v>
      </c>
      <c r="B391" s="364">
        <v>43986</v>
      </c>
      <c r="C391" s="362" t="s">
        <v>80</v>
      </c>
      <c r="D391" s="562">
        <v>208205725</v>
      </c>
      <c r="E391" s="562">
        <v>24196274</v>
      </c>
      <c r="F391" s="562">
        <v>232402000</v>
      </c>
      <c r="G391" s="562">
        <f t="shared" ref="G391:G454" si="7">D391+E391-F391</f>
        <v>-1</v>
      </c>
      <c r="H391" s="562">
        <v>8230107</v>
      </c>
      <c r="I391" s="628">
        <v>8230108</v>
      </c>
      <c r="J391" s="631">
        <f>H391-I391</f>
        <v>-1</v>
      </c>
    </row>
    <row r="392" spans="1:10" hidden="1" x14ac:dyDescent="0.25">
      <c r="A392" s="362">
        <v>2</v>
      </c>
      <c r="B392" s="364">
        <v>43986</v>
      </c>
      <c r="C392" s="362" t="s">
        <v>83</v>
      </c>
      <c r="D392" s="562">
        <v>367642967</v>
      </c>
      <c r="E392" s="562">
        <v>3042529</v>
      </c>
      <c r="F392" s="562">
        <v>370685500</v>
      </c>
      <c r="G392" s="562">
        <f t="shared" si="7"/>
        <v>-4</v>
      </c>
      <c r="H392" s="562">
        <v>4734028</v>
      </c>
      <c r="I392" s="628">
        <v>4734028</v>
      </c>
      <c r="J392" s="631">
        <f t="shared" ref="J392:J421" si="8">H392-I392</f>
        <v>0</v>
      </c>
    </row>
    <row r="393" spans="1:10" hidden="1" x14ac:dyDescent="0.25">
      <c r="A393" s="362">
        <v>3</v>
      </c>
      <c r="B393" s="364">
        <v>43986</v>
      </c>
      <c r="C393" s="362" t="s">
        <v>88</v>
      </c>
      <c r="D393" s="562">
        <v>257509528</v>
      </c>
      <c r="E393" s="562">
        <v>76028143</v>
      </c>
      <c r="F393" s="562">
        <v>333537700</v>
      </c>
      <c r="G393" s="562">
        <f t="shared" si="7"/>
        <v>-29</v>
      </c>
      <c r="H393" s="562">
        <v>5334537</v>
      </c>
      <c r="I393" s="628">
        <v>5334537</v>
      </c>
      <c r="J393" s="631">
        <f t="shared" si="8"/>
        <v>0</v>
      </c>
    </row>
    <row r="394" spans="1:10" hidden="1" x14ac:dyDescent="0.25">
      <c r="A394" s="362">
        <v>4</v>
      </c>
      <c r="B394" s="364">
        <v>43986</v>
      </c>
      <c r="C394" s="362" t="s">
        <v>146</v>
      </c>
      <c r="D394" s="562">
        <v>54869755</v>
      </c>
      <c r="E394" s="562">
        <v>114373259</v>
      </c>
      <c r="F394" s="562">
        <v>169243000</v>
      </c>
      <c r="G394" s="562">
        <f t="shared" si="7"/>
        <v>14</v>
      </c>
      <c r="H394" s="562">
        <v>1789082</v>
      </c>
      <c r="I394" s="628"/>
      <c r="J394" s="631">
        <f t="shared" si="8"/>
        <v>1789082</v>
      </c>
    </row>
    <row r="395" spans="1:10" hidden="1" x14ac:dyDescent="0.25">
      <c r="A395" s="362">
        <v>5</v>
      </c>
      <c r="B395" s="364">
        <v>43986</v>
      </c>
      <c r="C395" s="362" t="s">
        <v>86</v>
      </c>
      <c r="D395" s="562">
        <v>67956550</v>
      </c>
      <c r="E395" s="562">
        <v>195203751</v>
      </c>
      <c r="F395" s="562">
        <v>263160300</v>
      </c>
      <c r="G395" s="562">
        <f t="shared" si="7"/>
        <v>1</v>
      </c>
      <c r="H395" s="562">
        <v>931477</v>
      </c>
      <c r="I395" s="628"/>
      <c r="J395" s="631">
        <f t="shared" si="8"/>
        <v>931477</v>
      </c>
    </row>
    <row r="396" spans="1:10" hidden="1" x14ac:dyDescent="0.25">
      <c r="A396" s="362">
        <v>6</v>
      </c>
      <c r="B396" s="364">
        <v>43986</v>
      </c>
      <c r="C396" s="362" t="s">
        <v>89</v>
      </c>
      <c r="D396" s="562">
        <v>207851567</v>
      </c>
      <c r="E396" s="562">
        <v>6165933</v>
      </c>
      <c r="F396" s="562">
        <v>214017500</v>
      </c>
      <c r="G396" s="562">
        <f t="shared" si="7"/>
        <v>0</v>
      </c>
      <c r="H396" s="562">
        <v>7313478</v>
      </c>
      <c r="I396" s="628">
        <v>7313478</v>
      </c>
      <c r="J396" s="631">
        <f t="shared" si="8"/>
        <v>0</v>
      </c>
    </row>
    <row r="397" spans="1:10" hidden="1" x14ac:dyDescent="0.25">
      <c r="A397" s="362">
        <v>7</v>
      </c>
      <c r="B397" s="364">
        <v>43986</v>
      </c>
      <c r="C397" s="362" t="s">
        <v>4751</v>
      </c>
      <c r="D397" s="562">
        <v>277796038</v>
      </c>
      <c r="E397" s="562">
        <v>17826362</v>
      </c>
      <c r="F397" s="562">
        <v>295622400</v>
      </c>
      <c r="G397" s="562">
        <f t="shared" si="7"/>
        <v>0</v>
      </c>
      <c r="H397" s="562">
        <v>11237239</v>
      </c>
      <c r="I397" s="628"/>
      <c r="J397" s="631">
        <f t="shared" si="8"/>
        <v>11237239</v>
      </c>
    </row>
    <row r="398" spans="1:10" hidden="1" x14ac:dyDescent="0.25">
      <c r="A398" s="362">
        <v>8</v>
      </c>
      <c r="B398" s="364">
        <v>43986</v>
      </c>
      <c r="C398" s="362" t="s">
        <v>84</v>
      </c>
      <c r="D398" s="562">
        <v>412980795</v>
      </c>
      <c r="E398" s="562">
        <v>15916403</v>
      </c>
      <c r="F398" s="562">
        <v>428897200</v>
      </c>
      <c r="G398" s="562">
        <f t="shared" si="7"/>
        <v>-2</v>
      </c>
      <c r="H398" s="562">
        <v>7763297</v>
      </c>
      <c r="I398" s="628">
        <v>7763297</v>
      </c>
      <c r="J398" s="631">
        <f t="shared" si="8"/>
        <v>0</v>
      </c>
    </row>
    <row r="399" spans="1:10" hidden="1" x14ac:dyDescent="0.25">
      <c r="A399" s="362">
        <v>9</v>
      </c>
      <c r="B399" s="364">
        <v>43986</v>
      </c>
      <c r="C399" s="362" t="s">
        <v>85</v>
      </c>
      <c r="D399" s="562">
        <v>51299692</v>
      </c>
      <c r="E399" s="562">
        <v>2246108</v>
      </c>
      <c r="F399" s="562">
        <v>53545800</v>
      </c>
      <c r="G399" s="562">
        <f t="shared" si="7"/>
        <v>0</v>
      </c>
      <c r="H399" s="562">
        <v>2652457</v>
      </c>
      <c r="I399" s="628">
        <v>2652458</v>
      </c>
      <c r="J399" s="631">
        <f t="shared" si="8"/>
        <v>-1</v>
      </c>
    </row>
    <row r="400" spans="1:10" hidden="1" x14ac:dyDescent="0.25">
      <c r="A400" s="362">
        <v>10</v>
      </c>
      <c r="B400" s="364">
        <v>43986</v>
      </c>
      <c r="C400" s="362" t="s">
        <v>81</v>
      </c>
      <c r="D400" s="562">
        <v>145070043</v>
      </c>
      <c r="E400" s="562">
        <v>11239957</v>
      </c>
      <c r="F400" s="562">
        <v>156310000</v>
      </c>
      <c r="G400" s="562">
        <f t="shared" si="7"/>
        <v>0</v>
      </c>
      <c r="H400" s="562">
        <v>3025044</v>
      </c>
      <c r="I400" s="628">
        <v>3025044</v>
      </c>
      <c r="J400" s="631">
        <f t="shared" si="8"/>
        <v>0</v>
      </c>
    </row>
    <row r="401" spans="1:10" hidden="1" x14ac:dyDescent="0.25">
      <c r="A401" s="362">
        <v>11</v>
      </c>
      <c r="B401" s="364">
        <v>43986</v>
      </c>
      <c r="C401" s="362" t="s">
        <v>79</v>
      </c>
      <c r="D401" s="562">
        <v>69031236</v>
      </c>
      <c r="E401" s="562">
        <v>1631064</v>
      </c>
      <c r="F401" s="562">
        <v>70662300</v>
      </c>
      <c r="G401" s="562">
        <f t="shared" si="7"/>
        <v>0</v>
      </c>
      <c r="H401" s="562">
        <v>2518484</v>
      </c>
      <c r="I401" s="628">
        <v>2518484</v>
      </c>
      <c r="J401" s="631">
        <f t="shared" si="8"/>
        <v>0</v>
      </c>
    </row>
    <row r="402" spans="1:10" hidden="1" x14ac:dyDescent="0.25">
      <c r="A402" s="362">
        <v>12</v>
      </c>
      <c r="B402" s="364">
        <v>43986</v>
      </c>
      <c r="C402" s="362" t="s">
        <v>82</v>
      </c>
      <c r="D402" s="562">
        <v>325139860</v>
      </c>
      <c r="E402" s="562"/>
      <c r="F402" s="562">
        <v>325140000</v>
      </c>
      <c r="G402" s="562">
        <f t="shared" si="7"/>
        <v>-140</v>
      </c>
      <c r="H402" s="562">
        <v>3495662</v>
      </c>
      <c r="I402" s="628">
        <v>3495662</v>
      </c>
      <c r="J402" s="631">
        <f t="shared" si="8"/>
        <v>0</v>
      </c>
    </row>
    <row r="403" spans="1:10" hidden="1" x14ac:dyDescent="0.25">
      <c r="A403" s="362">
        <v>13</v>
      </c>
      <c r="B403" s="364">
        <v>43986</v>
      </c>
      <c r="C403" s="362" t="s">
        <v>78</v>
      </c>
      <c r="D403" s="562">
        <v>153697440</v>
      </c>
      <c r="E403" s="562"/>
      <c r="F403" s="562">
        <v>156481000</v>
      </c>
      <c r="G403" s="562">
        <f t="shared" si="7"/>
        <v>-2783560</v>
      </c>
      <c r="H403" s="562">
        <v>8707857</v>
      </c>
      <c r="I403" s="628">
        <v>8707857</v>
      </c>
      <c r="J403" s="631">
        <f t="shared" si="8"/>
        <v>0</v>
      </c>
    </row>
    <row r="404" spans="1:10" hidden="1" x14ac:dyDescent="0.25">
      <c r="A404" s="362">
        <v>14</v>
      </c>
      <c r="B404" s="364">
        <v>43986</v>
      </c>
      <c r="C404" s="362" t="s">
        <v>166</v>
      </c>
      <c r="D404" s="562">
        <v>125291188</v>
      </c>
      <c r="E404" s="562"/>
      <c r="F404" s="562">
        <v>125291200</v>
      </c>
      <c r="G404" s="562">
        <f t="shared" si="7"/>
        <v>-12</v>
      </c>
      <c r="H404" s="562"/>
      <c r="I404" s="628"/>
      <c r="J404" s="631">
        <f t="shared" si="8"/>
        <v>0</v>
      </c>
    </row>
    <row r="405" spans="1:10" hidden="1" x14ac:dyDescent="0.25">
      <c r="A405" s="362">
        <v>15</v>
      </c>
      <c r="B405" s="364">
        <v>43986</v>
      </c>
      <c r="C405" s="362" t="s">
        <v>3435</v>
      </c>
      <c r="D405" s="562"/>
      <c r="E405" s="562"/>
      <c r="F405" s="562">
        <v>114345600</v>
      </c>
      <c r="G405" s="562">
        <f t="shared" si="7"/>
        <v>-114345600</v>
      </c>
      <c r="H405" s="562"/>
      <c r="I405" s="628"/>
      <c r="J405" s="631">
        <f t="shared" si="8"/>
        <v>0</v>
      </c>
    </row>
    <row r="406" spans="1:10" hidden="1" x14ac:dyDescent="0.25">
      <c r="A406" s="532"/>
      <c r="B406" s="532"/>
      <c r="C406" s="532"/>
      <c r="D406" s="564"/>
      <c r="E406" s="564"/>
      <c r="F406" s="564"/>
      <c r="G406" s="564">
        <f t="shared" si="7"/>
        <v>0</v>
      </c>
      <c r="H406" s="564"/>
      <c r="I406" s="629"/>
      <c r="J406" s="632">
        <f t="shared" si="8"/>
        <v>0</v>
      </c>
    </row>
    <row r="407" spans="1:10" hidden="1" x14ac:dyDescent="0.25">
      <c r="A407" s="362">
        <v>1</v>
      </c>
      <c r="B407" s="364">
        <v>43987</v>
      </c>
      <c r="C407" s="362" t="s">
        <v>80</v>
      </c>
      <c r="D407" s="562">
        <v>182880764</v>
      </c>
      <c r="E407" s="562">
        <v>34048184</v>
      </c>
      <c r="F407" s="562">
        <v>216929900</v>
      </c>
      <c r="G407" s="562">
        <f t="shared" si="7"/>
        <v>-952</v>
      </c>
      <c r="H407" s="562"/>
      <c r="I407" s="628"/>
      <c r="J407" s="631">
        <f t="shared" si="8"/>
        <v>0</v>
      </c>
    </row>
    <row r="408" spans="1:10" hidden="1" x14ac:dyDescent="0.25">
      <c r="A408" s="362">
        <v>2</v>
      </c>
      <c r="B408" s="364">
        <v>43987</v>
      </c>
      <c r="C408" s="362" t="s">
        <v>83</v>
      </c>
      <c r="D408" s="562">
        <v>229089745</v>
      </c>
      <c r="E408" s="562">
        <v>3779541</v>
      </c>
      <c r="F408" s="562">
        <v>232869300</v>
      </c>
      <c r="G408" s="562">
        <f t="shared" si="7"/>
        <v>-14</v>
      </c>
      <c r="H408" s="562">
        <v>1398152</v>
      </c>
      <c r="I408" s="628"/>
      <c r="J408" s="631">
        <f t="shared" si="8"/>
        <v>1398152</v>
      </c>
    </row>
    <row r="409" spans="1:10" hidden="1" x14ac:dyDescent="0.25">
      <c r="A409" s="362">
        <v>3</v>
      </c>
      <c r="B409" s="364">
        <v>43987</v>
      </c>
      <c r="C409" s="362" t="s">
        <v>88</v>
      </c>
      <c r="D409" s="562">
        <v>251680438</v>
      </c>
      <c r="E409" s="562">
        <v>65656988</v>
      </c>
      <c r="F409" s="562">
        <v>317337500</v>
      </c>
      <c r="G409" s="562">
        <f t="shared" si="7"/>
        <v>-74</v>
      </c>
      <c r="H409" s="562">
        <v>5334537</v>
      </c>
      <c r="I409" s="628"/>
      <c r="J409" s="631">
        <f t="shared" si="8"/>
        <v>5334537</v>
      </c>
    </row>
    <row r="410" spans="1:10" hidden="1" x14ac:dyDescent="0.25">
      <c r="A410" s="362">
        <v>4</v>
      </c>
      <c r="B410" s="364">
        <v>43987</v>
      </c>
      <c r="C410" s="362" t="s">
        <v>146</v>
      </c>
      <c r="D410" s="562">
        <v>62629245</v>
      </c>
      <c r="E410" s="562">
        <v>47770844</v>
      </c>
      <c r="F410" s="562">
        <v>110400100</v>
      </c>
      <c r="G410" s="562">
        <f t="shared" si="7"/>
        <v>-11</v>
      </c>
      <c r="H410" s="562">
        <v>889148</v>
      </c>
      <c r="I410" s="628">
        <v>889148</v>
      </c>
      <c r="J410" s="631">
        <f t="shared" si="8"/>
        <v>0</v>
      </c>
    </row>
    <row r="411" spans="1:10" hidden="1" x14ac:dyDescent="0.25">
      <c r="A411" s="362">
        <v>5</v>
      </c>
      <c r="B411" s="364">
        <v>43987</v>
      </c>
      <c r="C411" s="362" t="s">
        <v>86</v>
      </c>
      <c r="D411" s="562">
        <v>98532140</v>
      </c>
      <c r="E411" s="562">
        <v>20447932</v>
      </c>
      <c r="F411" s="562">
        <v>118980300</v>
      </c>
      <c r="G411" s="562">
        <f t="shared" si="7"/>
        <v>-228</v>
      </c>
      <c r="H411" s="562">
        <v>931477</v>
      </c>
      <c r="I411" s="628">
        <v>931422</v>
      </c>
      <c r="J411" s="631">
        <f t="shared" si="8"/>
        <v>55</v>
      </c>
    </row>
    <row r="412" spans="1:10" hidden="1" x14ac:dyDescent="0.25">
      <c r="A412" s="362">
        <v>6</v>
      </c>
      <c r="B412" s="364">
        <v>43987</v>
      </c>
      <c r="C412" s="362" t="s">
        <v>89</v>
      </c>
      <c r="D412" s="562">
        <v>204869205</v>
      </c>
      <c r="E412" s="562">
        <v>3766095</v>
      </c>
      <c r="F412" s="562">
        <v>208635300</v>
      </c>
      <c r="G412" s="562">
        <f t="shared" si="7"/>
        <v>0</v>
      </c>
      <c r="H412" s="562">
        <v>6827478</v>
      </c>
      <c r="I412" s="628"/>
      <c r="J412" s="631">
        <f t="shared" si="8"/>
        <v>6827478</v>
      </c>
    </row>
    <row r="413" spans="1:10" hidden="1" x14ac:dyDescent="0.25">
      <c r="A413" s="362">
        <v>7</v>
      </c>
      <c r="B413" s="364">
        <v>43987</v>
      </c>
      <c r="C413" s="362" t="s">
        <v>4751</v>
      </c>
      <c r="D413" s="562">
        <v>119400498</v>
      </c>
      <c r="E413" s="562">
        <v>12848502</v>
      </c>
      <c r="F413" s="562">
        <v>132249000</v>
      </c>
      <c r="G413" s="562">
        <f t="shared" si="7"/>
        <v>0</v>
      </c>
      <c r="H413" s="562">
        <v>11043239</v>
      </c>
      <c r="I413" s="628">
        <v>11237239</v>
      </c>
      <c r="J413" s="631">
        <f t="shared" si="8"/>
        <v>-194000</v>
      </c>
    </row>
    <row r="414" spans="1:10" hidden="1" x14ac:dyDescent="0.25">
      <c r="A414" s="362">
        <v>8</v>
      </c>
      <c r="B414" s="364">
        <v>43987</v>
      </c>
      <c r="C414" s="362" t="s">
        <v>84</v>
      </c>
      <c r="D414" s="562">
        <v>229042570</v>
      </c>
      <c r="E414" s="562">
        <v>7627490</v>
      </c>
      <c r="F414" s="562">
        <v>236670100</v>
      </c>
      <c r="G414" s="562">
        <f t="shared" si="7"/>
        <v>-40</v>
      </c>
      <c r="H414" s="562">
        <v>7763297</v>
      </c>
      <c r="I414" s="628"/>
      <c r="J414" s="631">
        <f t="shared" si="8"/>
        <v>7763297</v>
      </c>
    </row>
    <row r="415" spans="1:10" hidden="1" x14ac:dyDescent="0.25">
      <c r="A415" s="362">
        <v>9</v>
      </c>
      <c r="B415" s="364">
        <v>43987</v>
      </c>
      <c r="C415" s="362" t="s">
        <v>85</v>
      </c>
      <c r="D415" s="562">
        <v>20726670</v>
      </c>
      <c r="E415" s="562">
        <v>2257630</v>
      </c>
      <c r="F415" s="562">
        <v>22984300</v>
      </c>
      <c r="G415" s="562">
        <f t="shared" si="7"/>
        <v>0</v>
      </c>
      <c r="H415" s="562">
        <v>2652457</v>
      </c>
      <c r="I415" s="628"/>
      <c r="J415" s="631">
        <f t="shared" si="8"/>
        <v>2652457</v>
      </c>
    </row>
    <row r="416" spans="1:10" hidden="1" x14ac:dyDescent="0.25">
      <c r="A416" s="362">
        <v>10</v>
      </c>
      <c r="B416" s="364">
        <v>43987</v>
      </c>
      <c r="C416" s="362" t="s">
        <v>81</v>
      </c>
      <c r="D416" s="562">
        <v>98801696</v>
      </c>
      <c r="E416" s="562">
        <v>6326500</v>
      </c>
      <c r="F416" s="562">
        <v>105128200</v>
      </c>
      <c r="G416" s="562">
        <f t="shared" si="7"/>
        <v>-4</v>
      </c>
      <c r="H416" s="562">
        <v>1905044</v>
      </c>
      <c r="I416" s="628"/>
      <c r="J416" s="631">
        <f t="shared" si="8"/>
        <v>1905044</v>
      </c>
    </row>
    <row r="417" spans="1:10" hidden="1" x14ac:dyDescent="0.25">
      <c r="A417" s="362">
        <v>11</v>
      </c>
      <c r="B417" s="364">
        <v>43987</v>
      </c>
      <c r="C417" s="362" t="s">
        <v>79</v>
      </c>
      <c r="D417" s="562">
        <v>41793900</v>
      </c>
      <c r="E417" s="562">
        <v>562030</v>
      </c>
      <c r="F417" s="562">
        <v>42498000</v>
      </c>
      <c r="G417" s="562">
        <f t="shared" si="7"/>
        <v>-142070</v>
      </c>
      <c r="H417" s="562">
        <v>2349484</v>
      </c>
      <c r="I417" s="628"/>
      <c r="J417" s="631">
        <f t="shared" si="8"/>
        <v>2349484</v>
      </c>
    </row>
    <row r="418" spans="1:10" hidden="1" x14ac:dyDescent="0.25">
      <c r="A418" s="362">
        <v>12</v>
      </c>
      <c r="B418" s="364">
        <v>43987</v>
      </c>
      <c r="C418" s="362" t="s">
        <v>82</v>
      </c>
      <c r="D418" s="562">
        <v>65508938</v>
      </c>
      <c r="E418" s="562">
        <v>7994780</v>
      </c>
      <c r="F418" s="562">
        <v>73503800</v>
      </c>
      <c r="G418" s="562">
        <f t="shared" si="7"/>
        <v>-82</v>
      </c>
      <c r="H418" s="562">
        <v>3495662</v>
      </c>
      <c r="I418" s="628"/>
      <c r="J418" s="631">
        <f t="shared" si="8"/>
        <v>3495662</v>
      </c>
    </row>
    <row r="419" spans="1:10" hidden="1" x14ac:dyDescent="0.25">
      <c r="A419" s="362">
        <v>13</v>
      </c>
      <c r="B419" s="364">
        <v>43987</v>
      </c>
      <c r="C419" s="362" t="s">
        <v>78</v>
      </c>
      <c r="D419" s="562">
        <v>49853527</v>
      </c>
      <c r="E419" s="562">
        <v>3143473</v>
      </c>
      <c r="F419" s="562">
        <v>52997000</v>
      </c>
      <c r="G419" s="562">
        <f t="shared" si="7"/>
        <v>0</v>
      </c>
      <c r="H419" s="562">
        <v>7476925</v>
      </c>
      <c r="I419" s="628"/>
      <c r="J419" s="631">
        <f t="shared" si="8"/>
        <v>7476925</v>
      </c>
    </row>
    <row r="420" spans="1:10" hidden="1" x14ac:dyDescent="0.25">
      <c r="A420" s="362">
        <v>14</v>
      </c>
      <c r="B420" s="364">
        <v>43987</v>
      </c>
      <c r="C420" s="362" t="s">
        <v>166</v>
      </c>
      <c r="D420" s="562">
        <v>51700607</v>
      </c>
      <c r="E420" s="562"/>
      <c r="F420" s="562">
        <v>51700600</v>
      </c>
      <c r="G420" s="562">
        <f t="shared" si="7"/>
        <v>7</v>
      </c>
      <c r="H420" s="562"/>
      <c r="I420" s="628"/>
      <c r="J420" s="631">
        <f t="shared" si="8"/>
        <v>0</v>
      </c>
    </row>
    <row r="421" spans="1:10" hidden="1" x14ac:dyDescent="0.25">
      <c r="A421" s="362">
        <v>15</v>
      </c>
      <c r="B421" s="364">
        <v>43987</v>
      </c>
      <c r="C421" s="362" t="s">
        <v>3435</v>
      </c>
      <c r="D421" s="562"/>
      <c r="E421" s="562"/>
      <c r="F421" s="562"/>
      <c r="G421" s="562">
        <v>202493200</v>
      </c>
      <c r="H421" s="562"/>
      <c r="I421" s="628"/>
      <c r="J421" s="631">
        <f t="shared" si="8"/>
        <v>0</v>
      </c>
    </row>
    <row r="422" spans="1:10" hidden="1" x14ac:dyDescent="0.25">
      <c r="A422" s="532"/>
      <c r="B422" s="591"/>
      <c r="C422" s="532"/>
      <c r="D422" s="564"/>
      <c r="E422" s="564"/>
      <c r="F422" s="564"/>
      <c r="G422" s="564">
        <f t="shared" si="7"/>
        <v>0</v>
      </c>
      <c r="H422" s="564"/>
      <c r="I422" s="532"/>
      <c r="J422" s="532"/>
    </row>
    <row r="423" spans="1:10" hidden="1" x14ac:dyDescent="0.25">
      <c r="A423" s="362">
        <v>1</v>
      </c>
      <c r="B423" s="364">
        <v>43988</v>
      </c>
      <c r="C423" s="362" t="s">
        <v>80</v>
      </c>
      <c r="D423" s="562">
        <v>157879170</v>
      </c>
      <c r="E423" s="562">
        <v>12548836</v>
      </c>
      <c r="F423" s="562">
        <v>170428100</v>
      </c>
      <c r="G423" s="562">
        <f t="shared" si="7"/>
        <v>-94</v>
      </c>
      <c r="H423" s="562">
        <v>18230107</v>
      </c>
      <c r="I423" s="362"/>
      <c r="J423" s="362"/>
    </row>
    <row r="424" spans="1:10" hidden="1" x14ac:dyDescent="0.25">
      <c r="A424" s="362">
        <v>2</v>
      </c>
      <c r="B424" s="364">
        <v>43988</v>
      </c>
      <c r="C424" s="362" t="s">
        <v>83</v>
      </c>
      <c r="D424" s="562">
        <v>192387747</v>
      </c>
      <c r="E424" s="562">
        <v>39886714</v>
      </c>
      <c r="F424" s="562">
        <v>232274400</v>
      </c>
      <c r="G424" s="562">
        <f t="shared" si="7"/>
        <v>61</v>
      </c>
      <c r="H424" s="562">
        <v>542027</v>
      </c>
      <c r="I424" s="362"/>
      <c r="J424" s="362"/>
    </row>
    <row r="425" spans="1:10" hidden="1" x14ac:dyDescent="0.25">
      <c r="A425" s="362">
        <v>3</v>
      </c>
      <c r="B425" s="364">
        <v>43988</v>
      </c>
      <c r="C425" s="362" t="s">
        <v>88</v>
      </c>
      <c r="D425" s="562">
        <v>276807022</v>
      </c>
      <c r="E425" s="562">
        <v>28844285</v>
      </c>
      <c r="F425" s="562">
        <v>305654900</v>
      </c>
      <c r="G425" s="562">
        <f t="shared" si="7"/>
        <v>-3593</v>
      </c>
      <c r="H425" s="562">
        <v>5334537</v>
      </c>
      <c r="I425" s="362"/>
      <c r="J425" s="362"/>
    </row>
    <row r="426" spans="1:10" hidden="1" x14ac:dyDescent="0.25">
      <c r="A426" s="362">
        <v>4</v>
      </c>
      <c r="B426" s="364">
        <v>43988</v>
      </c>
      <c r="C426" s="362" t="s">
        <v>146</v>
      </c>
      <c r="D426" s="562">
        <v>23466359</v>
      </c>
      <c r="E426" s="562">
        <v>88997181</v>
      </c>
      <c r="F426" s="562">
        <v>112463900</v>
      </c>
      <c r="G426" s="562">
        <f t="shared" si="7"/>
        <v>-360</v>
      </c>
      <c r="H426" s="562">
        <v>476648</v>
      </c>
      <c r="I426" s="362"/>
      <c r="J426" s="362"/>
    </row>
    <row r="427" spans="1:10" hidden="1" x14ac:dyDescent="0.25">
      <c r="A427" s="362">
        <v>5</v>
      </c>
      <c r="B427" s="364">
        <v>43988</v>
      </c>
      <c r="C427" s="362" t="s">
        <v>86</v>
      </c>
      <c r="D427" s="562">
        <v>43784032</v>
      </c>
      <c r="E427" s="562">
        <v>33343315</v>
      </c>
      <c r="F427" s="562">
        <v>77127000</v>
      </c>
      <c r="G427" s="562">
        <f t="shared" si="7"/>
        <v>347</v>
      </c>
      <c r="H427" s="562">
        <v>931477</v>
      </c>
      <c r="I427" s="362"/>
      <c r="J427" s="362"/>
    </row>
    <row r="428" spans="1:10" hidden="1" x14ac:dyDescent="0.25">
      <c r="A428" s="362">
        <v>6</v>
      </c>
      <c r="B428" s="364">
        <v>43988</v>
      </c>
      <c r="C428" s="362" t="s">
        <v>89</v>
      </c>
      <c r="D428" s="562">
        <v>35219600</v>
      </c>
      <c r="E428" s="562">
        <v>3797800</v>
      </c>
      <c r="F428" s="562">
        <v>39017400</v>
      </c>
      <c r="G428" s="562">
        <f t="shared" si="7"/>
        <v>0</v>
      </c>
      <c r="H428" s="562">
        <v>6308378</v>
      </c>
      <c r="I428" s="362"/>
      <c r="J428" s="362"/>
    </row>
    <row r="429" spans="1:10" hidden="1" x14ac:dyDescent="0.25">
      <c r="A429" s="362">
        <v>7</v>
      </c>
      <c r="B429" s="364">
        <v>43988</v>
      </c>
      <c r="C429" s="362" t="s">
        <v>4751</v>
      </c>
      <c r="D429" s="562">
        <v>177328420</v>
      </c>
      <c r="E429" s="562">
        <v>9608980</v>
      </c>
      <c r="F429" s="562">
        <v>186937400</v>
      </c>
      <c r="G429" s="562">
        <f t="shared" si="7"/>
        <v>0</v>
      </c>
      <c r="H429" s="562">
        <v>10176959</v>
      </c>
      <c r="I429" s="362"/>
      <c r="J429" s="362"/>
    </row>
    <row r="430" spans="1:10" hidden="1" x14ac:dyDescent="0.25">
      <c r="A430" s="362">
        <v>8</v>
      </c>
      <c r="B430" s="364">
        <v>43988</v>
      </c>
      <c r="C430" s="362" t="s">
        <v>84</v>
      </c>
      <c r="D430" s="562">
        <v>153482682</v>
      </c>
      <c r="E430" s="562">
        <v>8904750</v>
      </c>
      <c r="F430" s="562">
        <v>162386800</v>
      </c>
      <c r="G430" s="562">
        <f t="shared" si="7"/>
        <v>632</v>
      </c>
      <c r="H430" s="562">
        <v>7763297</v>
      </c>
      <c r="I430" s="362"/>
      <c r="J430" s="362"/>
    </row>
    <row r="431" spans="1:10" hidden="1" x14ac:dyDescent="0.25">
      <c r="A431" s="362">
        <v>9</v>
      </c>
      <c r="B431" s="364">
        <v>43988</v>
      </c>
      <c r="C431" s="362" t="s">
        <v>85</v>
      </c>
      <c r="D431" s="562">
        <v>13239464</v>
      </c>
      <c r="E431" s="562">
        <v>2185336</v>
      </c>
      <c r="F431" s="562">
        <v>15424800</v>
      </c>
      <c r="G431" s="562">
        <f t="shared" si="7"/>
        <v>0</v>
      </c>
      <c r="H431" s="562">
        <v>2652467</v>
      </c>
      <c r="I431" s="362"/>
      <c r="J431" s="362"/>
    </row>
    <row r="432" spans="1:10" hidden="1" x14ac:dyDescent="0.25">
      <c r="A432" s="362">
        <v>10</v>
      </c>
      <c r="B432" s="364">
        <v>43988</v>
      </c>
      <c r="C432" s="362" t="s">
        <v>81</v>
      </c>
      <c r="D432" s="562">
        <v>73941820</v>
      </c>
      <c r="E432" s="562">
        <v>11573400</v>
      </c>
      <c r="F432" s="562">
        <v>85515300</v>
      </c>
      <c r="G432" s="562">
        <f t="shared" si="7"/>
        <v>-80</v>
      </c>
      <c r="H432" s="562">
        <v>1766044</v>
      </c>
      <c r="I432" s="362"/>
      <c r="J432" s="362"/>
    </row>
    <row r="433" spans="1:10" hidden="1" x14ac:dyDescent="0.25">
      <c r="A433" s="362">
        <v>11</v>
      </c>
      <c r="B433" s="364">
        <v>43988</v>
      </c>
      <c r="C433" s="362" t="s">
        <v>79</v>
      </c>
      <c r="D433" s="562">
        <v>14653423</v>
      </c>
      <c r="E433" s="562">
        <v>770118</v>
      </c>
      <c r="F433" s="562">
        <v>15423600</v>
      </c>
      <c r="G433" s="562">
        <f t="shared" si="7"/>
        <v>-59</v>
      </c>
      <c r="H433" s="562">
        <v>1975484</v>
      </c>
      <c r="I433" s="362"/>
      <c r="J433" s="362"/>
    </row>
    <row r="434" spans="1:10" hidden="1" x14ac:dyDescent="0.25">
      <c r="A434" s="362">
        <v>12</v>
      </c>
      <c r="B434" s="364">
        <v>43988</v>
      </c>
      <c r="C434" s="362" t="s">
        <v>82</v>
      </c>
      <c r="D434" s="562">
        <v>43591277</v>
      </c>
      <c r="E434" s="562">
        <v>10005302</v>
      </c>
      <c r="F434" s="562">
        <v>53596600</v>
      </c>
      <c r="G434" s="562">
        <f t="shared" si="7"/>
        <v>-21</v>
      </c>
      <c r="H434" s="562">
        <v>2413262</v>
      </c>
      <c r="I434" s="362"/>
      <c r="J434" s="362"/>
    </row>
    <row r="435" spans="1:10" hidden="1" x14ac:dyDescent="0.25">
      <c r="A435" s="362">
        <v>13</v>
      </c>
      <c r="B435" s="364">
        <v>43988</v>
      </c>
      <c r="C435" s="362" t="s">
        <v>78</v>
      </c>
      <c r="D435" s="562">
        <v>77263424</v>
      </c>
      <c r="E435" s="562">
        <v>2501576</v>
      </c>
      <c r="F435" s="562">
        <v>79765000</v>
      </c>
      <c r="G435" s="562">
        <f t="shared" si="7"/>
        <v>0</v>
      </c>
      <c r="H435" s="562">
        <v>6095075</v>
      </c>
      <c r="I435" s="362"/>
      <c r="J435" s="362"/>
    </row>
    <row r="436" spans="1:10" hidden="1" x14ac:dyDescent="0.25">
      <c r="A436" s="362">
        <v>14</v>
      </c>
      <c r="B436" s="364">
        <v>43988</v>
      </c>
      <c r="C436" s="362" t="s">
        <v>166</v>
      </c>
      <c r="D436" s="562"/>
      <c r="E436" s="562"/>
      <c r="F436" s="562"/>
      <c r="G436" s="562">
        <f t="shared" si="7"/>
        <v>0</v>
      </c>
      <c r="H436" s="562"/>
      <c r="I436" s="362"/>
      <c r="J436" s="362"/>
    </row>
    <row r="437" spans="1:10" hidden="1" x14ac:dyDescent="0.25">
      <c r="A437" s="362">
        <v>15</v>
      </c>
      <c r="B437" s="364">
        <v>43988</v>
      </c>
      <c r="C437" s="362" t="s">
        <v>3435</v>
      </c>
      <c r="D437" s="562"/>
      <c r="E437" s="562"/>
      <c r="F437" s="562"/>
      <c r="G437" s="562">
        <f t="shared" si="7"/>
        <v>0</v>
      </c>
      <c r="H437" s="562"/>
      <c r="I437" s="362"/>
      <c r="J437" s="362"/>
    </row>
    <row r="438" spans="1:10" hidden="1" x14ac:dyDescent="0.25">
      <c r="A438" s="532"/>
      <c r="B438" s="591"/>
      <c r="C438" s="532"/>
      <c r="D438" s="564"/>
      <c r="E438" s="564"/>
      <c r="F438" s="564"/>
      <c r="G438" s="564">
        <f t="shared" si="7"/>
        <v>0</v>
      </c>
      <c r="H438" s="564"/>
      <c r="I438" s="532"/>
      <c r="J438" s="532"/>
    </row>
    <row r="439" spans="1:10" hidden="1" x14ac:dyDescent="0.25">
      <c r="A439" s="362">
        <v>1</v>
      </c>
      <c r="B439" s="364">
        <v>43990</v>
      </c>
      <c r="C439" s="362" t="s">
        <v>80</v>
      </c>
      <c r="D439" s="562">
        <v>200490952</v>
      </c>
      <c r="E439" s="562">
        <v>1223693</v>
      </c>
      <c r="F439" s="562">
        <v>201714700</v>
      </c>
      <c r="G439" s="562">
        <f t="shared" si="7"/>
        <v>-55</v>
      </c>
      <c r="H439" s="562">
        <v>8230107</v>
      </c>
      <c r="I439" s="562"/>
      <c r="J439" s="562"/>
    </row>
    <row r="440" spans="1:10" hidden="1" x14ac:dyDescent="0.25">
      <c r="A440" s="362">
        <v>2</v>
      </c>
      <c r="B440" s="364">
        <v>43990</v>
      </c>
      <c r="C440" s="362" t="s">
        <v>83</v>
      </c>
      <c r="D440" s="562">
        <v>172895668</v>
      </c>
      <c r="E440" s="562">
        <v>4600525</v>
      </c>
      <c r="F440" s="562">
        <v>177496200</v>
      </c>
      <c r="G440" s="562">
        <f t="shared" si="7"/>
        <v>-7</v>
      </c>
      <c r="H440" s="562">
        <v>9121869</v>
      </c>
      <c r="I440" s="562"/>
      <c r="J440" s="562"/>
    </row>
    <row r="441" spans="1:10" hidden="1" x14ac:dyDescent="0.25">
      <c r="A441" s="362">
        <v>3</v>
      </c>
      <c r="B441" s="364">
        <v>43990</v>
      </c>
      <c r="C441" s="362" t="s">
        <v>88</v>
      </c>
      <c r="D441" s="562">
        <v>162185040</v>
      </c>
      <c r="E441" s="562">
        <v>37941537</v>
      </c>
      <c r="F441" s="562">
        <v>200126600</v>
      </c>
      <c r="G441" s="562">
        <f t="shared" si="7"/>
        <v>-23</v>
      </c>
      <c r="H441" s="562">
        <v>16497551</v>
      </c>
      <c r="I441" s="562"/>
      <c r="J441" s="562"/>
    </row>
    <row r="442" spans="1:10" hidden="1" x14ac:dyDescent="0.25">
      <c r="A442" s="362">
        <v>4</v>
      </c>
      <c r="B442" s="364">
        <v>43990</v>
      </c>
      <c r="C442" s="362" t="s">
        <v>146</v>
      </c>
      <c r="D442" s="562">
        <v>97389276</v>
      </c>
      <c r="E442" s="562">
        <v>75354881</v>
      </c>
      <c r="F442" s="562">
        <v>172744200</v>
      </c>
      <c r="G442" s="562">
        <f t="shared" si="7"/>
        <v>-43</v>
      </c>
      <c r="H442" s="562">
        <v>18211470</v>
      </c>
      <c r="I442" s="562"/>
      <c r="J442" s="562"/>
    </row>
    <row r="443" spans="1:10" hidden="1" x14ac:dyDescent="0.25">
      <c r="A443" s="362">
        <v>5</v>
      </c>
      <c r="B443" s="364">
        <v>43990</v>
      </c>
      <c r="C443" s="362" t="s">
        <v>86</v>
      </c>
      <c r="D443" s="562">
        <v>30255561</v>
      </c>
      <c r="E443" s="562">
        <v>25816260</v>
      </c>
      <c r="F443" s="562">
        <v>53825200</v>
      </c>
      <c r="G443" s="562">
        <f t="shared" si="7"/>
        <v>2246621</v>
      </c>
      <c r="H443" s="562">
        <v>6469332</v>
      </c>
      <c r="I443" s="562"/>
      <c r="J443" s="562"/>
    </row>
    <row r="444" spans="1:10" hidden="1" x14ac:dyDescent="0.25">
      <c r="A444" s="362">
        <v>6</v>
      </c>
      <c r="B444" s="364">
        <v>43990</v>
      </c>
      <c r="C444" s="362" t="s">
        <v>89</v>
      </c>
      <c r="D444" s="562">
        <v>169501640</v>
      </c>
      <c r="E444" s="562">
        <v>12551660</v>
      </c>
      <c r="F444" s="562">
        <v>182053300</v>
      </c>
      <c r="G444" s="562">
        <f t="shared" si="7"/>
        <v>0</v>
      </c>
      <c r="H444" s="562">
        <v>3981378</v>
      </c>
      <c r="I444" s="562"/>
      <c r="J444" s="562"/>
    </row>
    <row r="445" spans="1:10" hidden="1" x14ac:dyDescent="0.25">
      <c r="A445" s="362">
        <v>7</v>
      </c>
      <c r="B445" s="364">
        <v>43990</v>
      </c>
      <c r="C445" s="362" t="s">
        <v>4751</v>
      </c>
      <c r="D445" s="562">
        <v>230330758</v>
      </c>
      <c r="E445" s="562">
        <v>18936542</v>
      </c>
      <c r="F445" s="562">
        <v>249267300</v>
      </c>
      <c r="G445" s="562">
        <f t="shared" si="7"/>
        <v>0</v>
      </c>
      <c r="H445" s="562">
        <v>10062959</v>
      </c>
      <c r="I445" s="562"/>
      <c r="J445" s="562"/>
    </row>
    <row r="446" spans="1:10" hidden="1" x14ac:dyDescent="0.25">
      <c r="A446" s="362">
        <v>8</v>
      </c>
      <c r="B446" s="364">
        <v>43990</v>
      </c>
      <c r="C446" s="362" t="s">
        <v>84</v>
      </c>
      <c r="D446" s="562">
        <v>297044742</v>
      </c>
      <c r="E446" s="562">
        <v>7031427</v>
      </c>
      <c r="F446" s="562">
        <v>304076200</v>
      </c>
      <c r="G446" s="562">
        <f t="shared" si="7"/>
        <v>-31</v>
      </c>
      <c r="H446" s="562">
        <v>7763297</v>
      </c>
      <c r="I446" s="562"/>
      <c r="J446" s="562"/>
    </row>
    <row r="447" spans="1:10" hidden="1" x14ac:dyDescent="0.25">
      <c r="A447" s="362">
        <v>9</v>
      </c>
      <c r="B447" s="364">
        <v>43990</v>
      </c>
      <c r="C447" s="362" t="s">
        <v>85</v>
      </c>
      <c r="D447" s="562">
        <v>43900706</v>
      </c>
      <c r="E447" s="562">
        <v>7561694</v>
      </c>
      <c r="F447" s="562">
        <v>51462400</v>
      </c>
      <c r="G447" s="562">
        <f t="shared" si="7"/>
        <v>0</v>
      </c>
      <c r="H447" s="562">
        <v>2652467</v>
      </c>
      <c r="I447" s="562"/>
      <c r="J447" s="562"/>
    </row>
    <row r="448" spans="1:10" hidden="1" x14ac:dyDescent="0.25">
      <c r="A448" s="362">
        <v>10</v>
      </c>
      <c r="B448" s="364">
        <v>43990</v>
      </c>
      <c r="C448" s="362" t="s">
        <v>81</v>
      </c>
      <c r="D448" s="562">
        <v>23872956</v>
      </c>
      <c r="E448" s="562">
        <v>18638501</v>
      </c>
      <c r="F448" s="562">
        <v>42511500</v>
      </c>
      <c r="G448" s="562">
        <f t="shared" si="7"/>
        <v>-43</v>
      </c>
      <c r="H448" s="562">
        <v>904644</v>
      </c>
      <c r="I448" s="562"/>
      <c r="J448" s="562"/>
    </row>
    <row r="449" spans="1:10" hidden="1" x14ac:dyDescent="0.25">
      <c r="A449" s="362">
        <v>11</v>
      </c>
      <c r="B449" s="364">
        <v>43990</v>
      </c>
      <c r="C449" s="362" t="s">
        <v>79</v>
      </c>
      <c r="D449" s="562">
        <v>43891964</v>
      </c>
      <c r="E449" s="562">
        <v>35095736</v>
      </c>
      <c r="F449" s="562">
        <v>78987800</v>
      </c>
      <c r="G449" s="562">
        <f t="shared" si="7"/>
        <v>-100</v>
      </c>
      <c r="H449" s="562">
        <v>1897984</v>
      </c>
      <c r="I449" s="562"/>
      <c r="J449" s="562"/>
    </row>
    <row r="450" spans="1:10" hidden="1" x14ac:dyDescent="0.25">
      <c r="A450" s="362">
        <v>12</v>
      </c>
      <c r="B450" s="364">
        <v>43990</v>
      </c>
      <c r="C450" s="362" t="s">
        <v>82</v>
      </c>
      <c r="D450" s="562">
        <v>77162207</v>
      </c>
      <c r="E450" s="562">
        <v>950143</v>
      </c>
      <c r="F450" s="562">
        <v>78112500</v>
      </c>
      <c r="G450" s="562">
        <f t="shared" si="7"/>
        <v>-150</v>
      </c>
      <c r="H450" s="562">
        <v>943162</v>
      </c>
      <c r="I450" s="562"/>
      <c r="J450" s="562"/>
    </row>
    <row r="451" spans="1:10" hidden="1" x14ac:dyDescent="0.25">
      <c r="A451" s="362">
        <v>13</v>
      </c>
      <c r="B451" s="364">
        <v>43990</v>
      </c>
      <c r="C451" s="362" t="s">
        <v>78</v>
      </c>
      <c r="D451" s="562">
        <v>71707364</v>
      </c>
      <c r="E451" s="562">
        <v>4922736</v>
      </c>
      <c r="F451" s="562">
        <v>76630100</v>
      </c>
      <c r="G451" s="562">
        <f t="shared" si="7"/>
        <v>0</v>
      </c>
      <c r="H451" s="562">
        <v>5560310</v>
      </c>
      <c r="I451" s="562"/>
      <c r="J451" s="562"/>
    </row>
    <row r="452" spans="1:10" hidden="1" x14ac:dyDescent="0.25">
      <c r="A452" s="362">
        <v>14</v>
      </c>
      <c r="B452" s="364">
        <v>43990</v>
      </c>
      <c r="C452" s="362" t="s">
        <v>166</v>
      </c>
      <c r="D452" s="562">
        <v>66277616</v>
      </c>
      <c r="E452" s="562"/>
      <c r="F452" s="562">
        <v>66277700</v>
      </c>
      <c r="G452" s="562">
        <f t="shared" si="7"/>
        <v>-84</v>
      </c>
      <c r="H452" s="562"/>
      <c r="I452" s="562"/>
      <c r="J452" s="562"/>
    </row>
    <row r="453" spans="1:10" hidden="1" x14ac:dyDescent="0.25">
      <c r="A453" s="362">
        <v>15</v>
      </c>
      <c r="B453" s="364">
        <v>43990</v>
      </c>
      <c r="C453" s="362" t="s">
        <v>3435</v>
      </c>
      <c r="D453" s="562"/>
      <c r="E453" s="562"/>
      <c r="F453" s="562">
        <v>65409400</v>
      </c>
      <c r="G453" s="562">
        <f t="shared" si="7"/>
        <v>-65409400</v>
      </c>
      <c r="H453" s="562"/>
      <c r="I453" s="562"/>
      <c r="J453" s="562"/>
    </row>
    <row r="454" spans="1:10" hidden="1" x14ac:dyDescent="0.25">
      <c r="A454" s="532"/>
      <c r="B454" s="532"/>
      <c r="C454" s="532"/>
      <c r="D454" s="564"/>
      <c r="E454" s="564"/>
      <c r="F454" s="564"/>
      <c r="G454" s="564">
        <f t="shared" si="7"/>
        <v>0</v>
      </c>
      <c r="H454" s="564"/>
      <c r="I454" s="564"/>
      <c r="J454" s="564"/>
    </row>
    <row r="455" spans="1:10" hidden="1" x14ac:dyDescent="0.25">
      <c r="A455" s="362">
        <v>1</v>
      </c>
      <c r="B455" s="364">
        <v>43991</v>
      </c>
      <c r="C455" s="362" t="s">
        <v>80</v>
      </c>
      <c r="D455" s="562">
        <v>426984530</v>
      </c>
      <c r="E455" s="562">
        <v>27113607</v>
      </c>
      <c r="F455" s="562">
        <v>454098200</v>
      </c>
      <c r="G455" s="562">
        <f t="shared" ref="G455:G518" si="9">D455+E455-F455</f>
        <v>-63</v>
      </c>
      <c r="H455" s="562">
        <v>38000082</v>
      </c>
      <c r="I455" s="562"/>
      <c r="J455" s="562"/>
    </row>
    <row r="456" spans="1:10" hidden="1" x14ac:dyDescent="0.25">
      <c r="A456" s="362">
        <v>2</v>
      </c>
      <c r="B456" s="364">
        <v>43991</v>
      </c>
      <c r="C456" s="362" t="s">
        <v>83</v>
      </c>
      <c r="D456" s="562">
        <v>248623484</v>
      </c>
      <c r="E456" s="562">
        <v>8340278</v>
      </c>
      <c r="F456" s="562">
        <v>256963800</v>
      </c>
      <c r="G456" s="562">
        <f t="shared" si="9"/>
        <v>-38</v>
      </c>
      <c r="H456" s="562">
        <v>7492310</v>
      </c>
      <c r="I456" s="562"/>
      <c r="J456" s="562"/>
    </row>
    <row r="457" spans="1:10" hidden="1" x14ac:dyDescent="0.25">
      <c r="A457" s="362">
        <v>3</v>
      </c>
      <c r="B457" s="364">
        <v>43991</v>
      </c>
      <c r="C457" s="362" t="s">
        <v>88</v>
      </c>
      <c r="D457" s="562">
        <v>112132401</v>
      </c>
      <c r="E457" s="562">
        <v>23173412</v>
      </c>
      <c r="F457" s="562">
        <v>135305900</v>
      </c>
      <c r="G457" s="562">
        <f t="shared" si="9"/>
        <v>-87</v>
      </c>
      <c r="H457" s="562">
        <v>13875666</v>
      </c>
      <c r="I457" s="562"/>
      <c r="J457" s="562"/>
    </row>
    <row r="458" spans="1:10" hidden="1" x14ac:dyDescent="0.25">
      <c r="A458" s="362">
        <v>4</v>
      </c>
      <c r="B458" s="364">
        <v>43991</v>
      </c>
      <c r="C458" s="362" t="s">
        <v>146</v>
      </c>
      <c r="D458" s="562">
        <v>124229359</v>
      </c>
      <c r="E458" s="562">
        <v>80434846</v>
      </c>
      <c r="F458" s="562">
        <v>204664500</v>
      </c>
      <c r="G458" s="562">
        <f t="shared" si="9"/>
        <v>-295</v>
      </c>
      <c r="H458" s="562">
        <v>17626940</v>
      </c>
      <c r="I458" s="562"/>
      <c r="J458" s="562"/>
    </row>
    <row r="459" spans="1:10" hidden="1" x14ac:dyDescent="0.25">
      <c r="A459" s="362">
        <v>5</v>
      </c>
      <c r="B459" s="364">
        <v>43991</v>
      </c>
      <c r="C459" s="362" t="s">
        <v>86</v>
      </c>
      <c r="D459" s="562">
        <v>46667848</v>
      </c>
      <c r="E459" s="562">
        <v>116501396</v>
      </c>
      <c r="F459" s="562">
        <v>163169000</v>
      </c>
      <c r="G459" s="562">
        <f t="shared" si="9"/>
        <v>244</v>
      </c>
      <c r="H459" s="562">
        <v>5325532</v>
      </c>
      <c r="I459" s="562"/>
      <c r="J459" s="562"/>
    </row>
    <row r="460" spans="1:10" hidden="1" x14ac:dyDescent="0.25">
      <c r="A460" s="362">
        <v>6</v>
      </c>
      <c r="B460" s="364">
        <v>43991</v>
      </c>
      <c r="C460" s="362" t="s">
        <v>89</v>
      </c>
      <c r="D460" s="562">
        <v>166334283</v>
      </c>
      <c r="E460" s="562">
        <v>3037717</v>
      </c>
      <c r="F460" s="562">
        <v>169372000</v>
      </c>
      <c r="G460" s="562">
        <f t="shared" si="9"/>
        <v>0</v>
      </c>
      <c r="H460" s="562">
        <v>14141713</v>
      </c>
      <c r="I460" s="562"/>
      <c r="J460" s="562"/>
    </row>
    <row r="461" spans="1:10" hidden="1" x14ac:dyDescent="0.25">
      <c r="A461" s="362">
        <v>7</v>
      </c>
      <c r="B461" s="364">
        <v>43991</v>
      </c>
      <c r="C461" s="362" t="s">
        <v>4751</v>
      </c>
      <c r="D461" s="562">
        <v>190690190</v>
      </c>
      <c r="E461" s="562">
        <v>18243310</v>
      </c>
      <c r="F461" s="562">
        <v>208933500</v>
      </c>
      <c r="G461" s="562">
        <f t="shared" si="9"/>
        <v>0</v>
      </c>
      <c r="H461" s="562">
        <v>8417239</v>
      </c>
      <c r="I461" s="562"/>
      <c r="J461" s="562"/>
    </row>
    <row r="462" spans="1:10" hidden="1" x14ac:dyDescent="0.25">
      <c r="A462" s="362">
        <v>8</v>
      </c>
      <c r="B462" s="364">
        <v>43991</v>
      </c>
      <c r="C462" s="362" t="s">
        <v>84</v>
      </c>
      <c r="D462" s="562">
        <v>152888171</v>
      </c>
      <c r="E462" s="562">
        <v>14207430</v>
      </c>
      <c r="F462" s="562">
        <v>167095600</v>
      </c>
      <c r="G462" s="562">
        <f t="shared" si="9"/>
        <v>1</v>
      </c>
      <c r="H462" s="562">
        <v>24989526</v>
      </c>
      <c r="I462" s="562"/>
      <c r="J462" s="562"/>
    </row>
    <row r="463" spans="1:10" hidden="1" x14ac:dyDescent="0.25">
      <c r="A463" s="362">
        <v>9</v>
      </c>
      <c r="B463" s="364">
        <v>43991</v>
      </c>
      <c r="C463" s="362" t="s">
        <v>85</v>
      </c>
      <c r="D463" s="562">
        <v>32681894</v>
      </c>
      <c r="E463" s="562">
        <v>3675106</v>
      </c>
      <c r="F463" s="562">
        <v>36357000</v>
      </c>
      <c r="G463" s="562">
        <f t="shared" si="9"/>
        <v>0</v>
      </c>
      <c r="H463" s="562">
        <v>2652467</v>
      </c>
      <c r="I463" s="562"/>
      <c r="J463" s="562"/>
    </row>
    <row r="464" spans="1:10" hidden="1" x14ac:dyDescent="0.25">
      <c r="A464" s="362">
        <v>10</v>
      </c>
      <c r="B464" s="364">
        <v>43991</v>
      </c>
      <c r="C464" s="362" t="s">
        <v>81</v>
      </c>
      <c r="D464" s="562">
        <v>18261295</v>
      </c>
      <c r="E464" s="562">
        <v>20143102</v>
      </c>
      <c r="F464" s="562">
        <v>38404400</v>
      </c>
      <c r="G464" s="562">
        <f t="shared" si="9"/>
        <v>-3</v>
      </c>
      <c r="H464" s="562">
        <v>17898294</v>
      </c>
      <c r="I464" s="562"/>
      <c r="J464" s="562"/>
    </row>
    <row r="465" spans="1:11" hidden="1" x14ac:dyDescent="0.25">
      <c r="A465" s="362">
        <v>11</v>
      </c>
      <c r="B465" s="364">
        <v>43991</v>
      </c>
      <c r="C465" s="362" t="s">
        <v>79</v>
      </c>
      <c r="D465" s="562">
        <v>14361156</v>
      </c>
      <c r="E465" s="562">
        <v>1447954</v>
      </c>
      <c r="F465" s="562">
        <v>15809200</v>
      </c>
      <c r="G465" s="562">
        <f t="shared" si="9"/>
        <v>-90</v>
      </c>
      <c r="H465" s="562">
        <v>4596588</v>
      </c>
      <c r="I465" s="562"/>
      <c r="J465" s="562"/>
    </row>
    <row r="466" spans="1:11" hidden="1" x14ac:dyDescent="0.25">
      <c r="A466" s="362">
        <v>12</v>
      </c>
      <c r="B466" s="364">
        <v>43991</v>
      </c>
      <c r="C466" s="362" t="s">
        <v>82</v>
      </c>
      <c r="D466" s="562">
        <v>83745190</v>
      </c>
      <c r="E466" s="562">
        <v>1436725</v>
      </c>
      <c r="F466" s="562">
        <v>85182000</v>
      </c>
      <c r="G466" s="562">
        <f t="shared" si="9"/>
        <v>-85</v>
      </c>
      <c r="H466" s="562">
        <v>9449966</v>
      </c>
      <c r="I466" s="562"/>
      <c r="J466" s="562"/>
    </row>
    <row r="467" spans="1:11" hidden="1" x14ac:dyDescent="0.25">
      <c r="A467" s="362">
        <v>13</v>
      </c>
      <c r="B467" s="364">
        <v>43991</v>
      </c>
      <c r="C467" s="362" t="s">
        <v>78</v>
      </c>
      <c r="D467" s="562">
        <v>68437636</v>
      </c>
      <c r="E467" s="562">
        <v>7871964</v>
      </c>
      <c r="F467" s="562">
        <v>76309600</v>
      </c>
      <c r="G467" s="562">
        <f t="shared" si="9"/>
        <v>0</v>
      </c>
      <c r="H467" s="562">
        <v>4386382</v>
      </c>
      <c r="I467" s="562"/>
      <c r="J467" s="562"/>
    </row>
    <row r="468" spans="1:11" hidden="1" x14ac:dyDescent="0.25">
      <c r="A468" s="362">
        <v>14</v>
      </c>
      <c r="B468" s="364">
        <v>43991</v>
      </c>
      <c r="C468" s="362" t="s">
        <v>166</v>
      </c>
      <c r="D468" s="562">
        <v>72143810</v>
      </c>
      <c r="E468" s="562"/>
      <c r="F468" s="562">
        <v>72144000</v>
      </c>
      <c r="G468" s="562">
        <f t="shared" si="9"/>
        <v>-190</v>
      </c>
      <c r="H468" s="562"/>
      <c r="I468" s="562"/>
      <c r="J468" s="562"/>
    </row>
    <row r="469" spans="1:11" hidden="1" x14ac:dyDescent="0.25">
      <c r="A469" s="362">
        <v>15</v>
      </c>
      <c r="B469" s="364">
        <v>43991</v>
      </c>
      <c r="C469" s="362" t="s">
        <v>3435</v>
      </c>
      <c r="D469" s="562"/>
      <c r="E469" s="562"/>
      <c r="F469" s="562">
        <v>42693300</v>
      </c>
      <c r="G469" s="562">
        <f t="shared" si="9"/>
        <v>-42693300</v>
      </c>
      <c r="H469" s="562"/>
      <c r="I469" s="562"/>
      <c r="J469" s="562"/>
    </row>
    <row r="470" spans="1:11" hidden="1" x14ac:dyDescent="0.25">
      <c r="A470" s="532"/>
      <c r="B470" s="591"/>
      <c r="C470" s="532"/>
      <c r="D470" s="564"/>
      <c r="E470" s="564"/>
      <c r="F470" s="564"/>
      <c r="G470" s="564">
        <f t="shared" si="9"/>
        <v>0</v>
      </c>
      <c r="H470" s="564"/>
      <c r="I470" s="564"/>
      <c r="J470" s="564"/>
    </row>
    <row r="471" spans="1:11" hidden="1" x14ac:dyDescent="0.25">
      <c r="A471" s="362">
        <v>1</v>
      </c>
      <c r="B471" s="364">
        <v>43992</v>
      </c>
      <c r="C471" s="362" t="s">
        <v>80</v>
      </c>
      <c r="D471" s="562">
        <v>218134648</v>
      </c>
      <c r="E471" s="562">
        <v>40968002</v>
      </c>
      <c r="F471" s="562">
        <v>259102600</v>
      </c>
      <c r="G471" s="562">
        <f t="shared" si="9"/>
        <v>50</v>
      </c>
      <c r="H471" s="562">
        <v>26707382</v>
      </c>
      <c r="I471" s="562"/>
      <c r="J471" s="562"/>
    </row>
    <row r="472" spans="1:11" hidden="1" x14ac:dyDescent="0.25">
      <c r="A472" s="362">
        <v>2</v>
      </c>
      <c r="B472" s="364">
        <v>43992</v>
      </c>
      <c r="C472" s="362" t="s">
        <v>83</v>
      </c>
      <c r="D472" s="562">
        <v>199922195</v>
      </c>
      <c r="E472" s="562">
        <v>68938600</v>
      </c>
      <c r="F472" s="562">
        <v>268860800</v>
      </c>
      <c r="G472" s="562">
        <f t="shared" si="9"/>
        <v>-5</v>
      </c>
      <c r="H472" s="562">
        <v>5830235</v>
      </c>
      <c r="I472" s="562"/>
      <c r="J472" s="562"/>
    </row>
    <row r="473" spans="1:11" hidden="1" x14ac:dyDescent="0.25">
      <c r="A473" s="362">
        <v>3</v>
      </c>
      <c r="B473" s="364">
        <v>43992</v>
      </c>
      <c r="C473" s="362" t="s">
        <v>88</v>
      </c>
      <c r="D473" s="562">
        <v>125296780</v>
      </c>
      <c r="E473" s="562">
        <v>8844997</v>
      </c>
      <c r="F473" s="562">
        <v>134141800</v>
      </c>
      <c r="G473" s="562">
        <f t="shared" si="9"/>
        <v>-23</v>
      </c>
      <c r="H473" s="562">
        <v>13875666</v>
      </c>
      <c r="I473" s="562"/>
      <c r="J473" s="562"/>
    </row>
    <row r="474" spans="1:11" hidden="1" x14ac:dyDescent="0.25">
      <c r="A474" s="362">
        <v>4</v>
      </c>
      <c r="B474" s="364">
        <v>43992</v>
      </c>
      <c r="C474" s="362" t="s">
        <v>146</v>
      </c>
      <c r="D474" s="562">
        <v>60878188</v>
      </c>
      <c r="E474" s="562">
        <v>86262152</v>
      </c>
      <c r="F474" s="562">
        <v>147144500</v>
      </c>
      <c r="G474" s="562">
        <f t="shared" si="9"/>
        <v>-4160</v>
      </c>
      <c r="H474" s="562">
        <v>17205940</v>
      </c>
      <c r="I474" s="562"/>
      <c r="J474" s="562"/>
    </row>
    <row r="475" spans="1:11" hidden="1" x14ac:dyDescent="0.25">
      <c r="A475" s="362">
        <v>5</v>
      </c>
      <c r="B475" s="364">
        <v>43992</v>
      </c>
      <c r="C475" s="362" t="s">
        <v>86</v>
      </c>
      <c r="D475" s="562">
        <v>44885368</v>
      </c>
      <c r="E475" s="562">
        <v>38350344</v>
      </c>
      <c r="F475" s="562">
        <v>83235700</v>
      </c>
      <c r="G475" s="562">
        <f t="shared" si="9"/>
        <v>12</v>
      </c>
      <c r="H475" s="562">
        <v>4196732</v>
      </c>
      <c r="I475" s="562"/>
      <c r="J475" s="562"/>
    </row>
    <row r="476" spans="1:11" hidden="1" x14ac:dyDescent="0.25">
      <c r="A476" s="362">
        <v>6</v>
      </c>
      <c r="B476" s="364">
        <v>43992</v>
      </c>
      <c r="C476" s="362" t="s">
        <v>89</v>
      </c>
      <c r="D476" s="562">
        <v>151072293</v>
      </c>
      <c r="E476" s="562">
        <v>4795007</v>
      </c>
      <c r="F476" s="562">
        <v>155867300</v>
      </c>
      <c r="G476" s="562">
        <f t="shared" si="9"/>
        <v>0</v>
      </c>
      <c r="H476" s="562">
        <v>11932717</v>
      </c>
      <c r="I476" s="562"/>
      <c r="J476" s="562"/>
    </row>
    <row r="477" spans="1:11" hidden="1" x14ac:dyDescent="0.25">
      <c r="A477" s="362">
        <v>7</v>
      </c>
      <c r="B477" s="364">
        <v>43992</v>
      </c>
      <c r="C477" s="362" t="s">
        <v>4751</v>
      </c>
      <c r="D477" s="562">
        <v>146962547</v>
      </c>
      <c r="E477" s="562">
        <v>7127253</v>
      </c>
      <c r="F477" s="562">
        <v>154089900</v>
      </c>
      <c r="G477" s="562">
        <f t="shared" si="9"/>
        <v>-100</v>
      </c>
      <c r="H477" s="562">
        <v>20818182</v>
      </c>
      <c r="I477" s="562"/>
      <c r="J477" s="562"/>
      <c r="K477" s="663"/>
    </row>
    <row r="478" spans="1:11" hidden="1" x14ac:dyDescent="0.25">
      <c r="A478" s="362">
        <v>8</v>
      </c>
      <c r="B478" s="364">
        <v>43992</v>
      </c>
      <c r="C478" s="362" t="s">
        <v>84</v>
      </c>
      <c r="D478" s="562">
        <v>164592377</v>
      </c>
      <c r="E478" s="562">
        <v>6447410</v>
      </c>
      <c r="F478" s="562">
        <v>171039800</v>
      </c>
      <c r="G478" s="562">
        <f t="shared" si="9"/>
        <v>-13</v>
      </c>
      <c r="H478" s="562">
        <v>24989526</v>
      </c>
      <c r="I478" s="562"/>
      <c r="J478" s="562"/>
    </row>
    <row r="479" spans="1:11" hidden="1" x14ac:dyDescent="0.25">
      <c r="A479" s="362">
        <v>9</v>
      </c>
      <c r="B479" s="364">
        <v>43992</v>
      </c>
      <c r="C479" s="362" t="s">
        <v>85</v>
      </c>
      <c r="D479" s="562">
        <v>35089142</v>
      </c>
      <c r="E479" s="562">
        <v>5768758</v>
      </c>
      <c r="F479" s="562">
        <v>40857900</v>
      </c>
      <c r="G479" s="562">
        <f t="shared" si="9"/>
        <v>0</v>
      </c>
      <c r="H479" s="562">
        <v>2652457</v>
      </c>
      <c r="I479" s="562"/>
      <c r="J479" s="562"/>
    </row>
    <row r="480" spans="1:11" hidden="1" x14ac:dyDescent="0.25">
      <c r="A480" s="362">
        <v>10</v>
      </c>
      <c r="B480" s="364">
        <v>43992</v>
      </c>
      <c r="C480" s="362" t="s">
        <v>81</v>
      </c>
      <c r="D480" s="562">
        <v>79704338</v>
      </c>
      <c r="E480" s="562">
        <v>28632260</v>
      </c>
      <c r="F480" s="562">
        <v>108336600</v>
      </c>
      <c r="G480" s="562">
        <f t="shared" si="9"/>
        <v>-2</v>
      </c>
      <c r="H480" s="562">
        <v>16324294</v>
      </c>
      <c r="I480" s="562"/>
      <c r="J480" s="562"/>
    </row>
    <row r="481" spans="1:10" hidden="1" x14ac:dyDescent="0.25">
      <c r="A481" s="362">
        <v>11</v>
      </c>
      <c r="B481" s="364">
        <v>43992</v>
      </c>
      <c r="C481" s="362" t="s">
        <v>79</v>
      </c>
      <c r="D481" s="562">
        <v>59636049</v>
      </c>
      <c r="E481" s="562">
        <v>278558</v>
      </c>
      <c r="F481" s="562">
        <v>59914700</v>
      </c>
      <c r="G481" s="562">
        <f t="shared" si="9"/>
        <v>-93</v>
      </c>
      <c r="H481" s="562">
        <v>4364088</v>
      </c>
      <c r="I481" s="562"/>
      <c r="J481" s="562"/>
    </row>
    <row r="482" spans="1:10" hidden="1" x14ac:dyDescent="0.25">
      <c r="A482" s="362">
        <v>12</v>
      </c>
      <c r="B482" s="364">
        <v>43992</v>
      </c>
      <c r="C482" s="362" t="s">
        <v>82</v>
      </c>
      <c r="D482" s="562">
        <v>184253519</v>
      </c>
      <c r="E482" s="562"/>
      <c r="F482" s="562">
        <v>184253600</v>
      </c>
      <c r="G482" s="562">
        <f t="shared" si="9"/>
        <v>-81</v>
      </c>
      <c r="H482" s="562">
        <v>8806966</v>
      </c>
      <c r="I482" s="562"/>
      <c r="J482" s="562"/>
    </row>
    <row r="483" spans="1:10" hidden="1" x14ac:dyDescent="0.25">
      <c r="A483" s="362">
        <v>13</v>
      </c>
      <c r="B483" s="364">
        <v>43992</v>
      </c>
      <c r="C483" s="362" t="s">
        <v>78</v>
      </c>
      <c r="D483" s="562">
        <v>73788778</v>
      </c>
      <c r="E483" s="562">
        <v>1026622</v>
      </c>
      <c r="F483" s="562">
        <v>74815400</v>
      </c>
      <c r="G483" s="562">
        <f t="shared" si="9"/>
        <v>0</v>
      </c>
      <c r="H483" s="562">
        <v>13644410</v>
      </c>
      <c r="I483" s="562"/>
      <c r="J483" s="562"/>
    </row>
    <row r="484" spans="1:10" hidden="1" x14ac:dyDescent="0.25">
      <c r="A484" s="362">
        <v>14</v>
      </c>
      <c r="B484" s="364">
        <v>43992</v>
      </c>
      <c r="C484" s="362" t="s">
        <v>166</v>
      </c>
      <c r="D484" s="562">
        <v>49206154</v>
      </c>
      <c r="E484" s="562"/>
      <c r="F484" s="562">
        <v>49206200</v>
      </c>
      <c r="G484" s="562">
        <f t="shared" si="9"/>
        <v>-46</v>
      </c>
      <c r="H484" s="562"/>
      <c r="I484" s="562"/>
      <c r="J484" s="562"/>
    </row>
    <row r="485" spans="1:10" hidden="1" x14ac:dyDescent="0.25">
      <c r="A485" s="362">
        <v>15</v>
      </c>
      <c r="B485" s="364">
        <v>43992</v>
      </c>
      <c r="C485" s="362" t="s">
        <v>3435</v>
      </c>
      <c r="D485" s="562"/>
      <c r="E485" s="562"/>
      <c r="F485" s="562">
        <v>92652600</v>
      </c>
      <c r="G485" s="562">
        <f t="shared" si="9"/>
        <v>-92652600</v>
      </c>
      <c r="H485" s="562"/>
      <c r="I485" s="562"/>
      <c r="J485" s="562"/>
    </row>
    <row r="486" spans="1:10" hidden="1" x14ac:dyDescent="0.25">
      <c r="A486" s="532"/>
      <c r="B486" s="591"/>
      <c r="C486" s="532"/>
      <c r="D486" s="564"/>
      <c r="E486" s="564"/>
      <c r="F486" s="564"/>
      <c r="G486" s="562">
        <f t="shared" si="9"/>
        <v>0</v>
      </c>
      <c r="H486" s="564"/>
      <c r="I486" s="564"/>
      <c r="J486" s="564"/>
    </row>
    <row r="487" spans="1:10" hidden="1" x14ac:dyDescent="0.25">
      <c r="A487" s="362">
        <v>1</v>
      </c>
      <c r="B487" s="364">
        <v>43993</v>
      </c>
      <c r="C487" s="362" t="s">
        <v>80</v>
      </c>
      <c r="D487" s="562">
        <v>250180252</v>
      </c>
      <c r="E487" s="562"/>
      <c r="F487" s="562">
        <v>250179600</v>
      </c>
      <c r="G487" s="562">
        <f t="shared" si="9"/>
        <v>652</v>
      </c>
      <c r="H487" s="562">
        <v>2000308</v>
      </c>
      <c r="I487" s="562"/>
      <c r="J487" s="562">
        <f>H487-I487</f>
        <v>2000308</v>
      </c>
    </row>
    <row r="488" spans="1:10" hidden="1" x14ac:dyDescent="0.25">
      <c r="A488" s="362">
        <v>2</v>
      </c>
      <c r="B488" s="364">
        <v>43993</v>
      </c>
      <c r="C488" s="362" t="s">
        <v>83</v>
      </c>
      <c r="D488" s="562">
        <v>200654720</v>
      </c>
      <c r="E488" s="562">
        <v>7066502</v>
      </c>
      <c r="F488" s="562">
        <v>207721300</v>
      </c>
      <c r="G488" s="562">
        <f t="shared" si="9"/>
        <v>-78</v>
      </c>
      <c r="H488" s="562">
        <v>3224356</v>
      </c>
      <c r="I488" s="562">
        <v>5830235</v>
      </c>
      <c r="J488" s="562">
        <f t="shared" ref="J488:J551" si="10">H488-I488</f>
        <v>-2605879</v>
      </c>
    </row>
    <row r="489" spans="1:10" hidden="1" x14ac:dyDescent="0.25">
      <c r="A489" s="362">
        <v>3</v>
      </c>
      <c r="B489" s="364">
        <v>43993</v>
      </c>
      <c r="C489" s="362" t="s">
        <v>88</v>
      </c>
      <c r="D489" s="562">
        <v>172182265</v>
      </c>
      <c r="E489" s="562">
        <v>7239219</v>
      </c>
      <c r="F489" s="562">
        <v>179421500</v>
      </c>
      <c r="G489" s="562">
        <f t="shared" si="9"/>
        <v>-16</v>
      </c>
      <c r="H489" s="562">
        <v>3430586</v>
      </c>
      <c r="I489" s="562">
        <v>3430586</v>
      </c>
      <c r="J489" s="562">
        <f t="shared" si="10"/>
        <v>0</v>
      </c>
    </row>
    <row r="490" spans="1:10" hidden="1" x14ac:dyDescent="0.25">
      <c r="A490" s="362">
        <v>4</v>
      </c>
      <c r="B490" s="364">
        <v>43993</v>
      </c>
      <c r="C490" s="362" t="s">
        <v>146</v>
      </c>
      <c r="D490" s="562">
        <v>68571523</v>
      </c>
      <c r="E490" s="562">
        <v>53649934</v>
      </c>
      <c r="F490" s="562">
        <v>122221600</v>
      </c>
      <c r="G490" s="562">
        <f t="shared" si="9"/>
        <v>-143</v>
      </c>
      <c r="H490" s="562">
        <v>7712779</v>
      </c>
      <c r="I490" s="562"/>
      <c r="J490" s="562">
        <f t="shared" si="10"/>
        <v>7712779</v>
      </c>
    </row>
    <row r="491" spans="1:10" hidden="1" x14ac:dyDescent="0.25">
      <c r="A491" s="362">
        <v>5</v>
      </c>
      <c r="B491" s="364">
        <v>43993</v>
      </c>
      <c r="C491" s="362" t="s">
        <v>86</v>
      </c>
      <c r="D491" s="562">
        <v>92228032</v>
      </c>
      <c r="E491" s="562">
        <v>58439456</v>
      </c>
      <c r="F491" s="562">
        <v>150667700</v>
      </c>
      <c r="G491" s="562">
        <f t="shared" si="9"/>
        <v>-212</v>
      </c>
      <c r="H491" s="562">
        <v>869122</v>
      </c>
      <c r="I491" s="562"/>
      <c r="J491" s="562">
        <f t="shared" si="10"/>
        <v>869122</v>
      </c>
    </row>
    <row r="492" spans="1:10" hidden="1" x14ac:dyDescent="0.25">
      <c r="A492" s="362">
        <v>6</v>
      </c>
      <c r="B492" s="364">
        <v>43993</v>
      </c>
      <c r="C492" s="362" t="s">
        <v>89</v>
      </c>
      <c r="D492" s="562">
        <v>199736640</v>
      </c>
      <c r="E492" s="562">
        <v>2599260</v>
      </c>
      <c r="F492" s="562">
        <v>202335900</v>
      </c>
      <c r="G492" s="562">
        <f t="shared" si="9"/>
        <v>0</v>
      </c>
      <c r="H492" s="562">
        <v>7957271</v>
      </c>
      <c r="I492" s="562">
        <v>7957271</v>
      </c>
      <c r="J492" s="562">
        <f t="shared" si="10"/>
        <v>0</v>
      </c>
    </row>
    <row r="493" spans="1:10" hidden="1" x14ac:dyDescent="0.25">
      <c r="A493" s="362">
        <v>7</v>
      </c>
      <c r="B493" s="364">
        <v>43993</v>
      </c>
      <c r="C493" s="362" t="s">
        <v>4751</v>
      </c>
      <c r="D493" s="562">
        <v>208271746</v>
      </c>
      <c r="E493" s="562">
        <v>18859054</v>
      </c>
      <c r="F493" s="562">
        <v>227130800</v>
      </c>
      <c r="G493" s="562">
        <f t="shared" si="9"/>
        <v>0</v>
      </c>
      <c r="H493" s="562">
        <v>12666731</v>
      </c>
      <c r="I493" s="562"/>
      <c r="J493" s="562">
        <f t="shared" si="10"/>
        <v>12666731</v>
      </c>
    </row>
    <row r="494" spans="1:10" hidden="1" x14ac:dyDescent="0.25">
      <c r="A494" s="362">
        <v>8</v>
      </c>
      <c r="B494" s="364">
        <v>43993</v>
      </c>
      <c r="C494" s="362" t="s">
        <v>84</v>
      </c>
      <c r="D494" s="562">
        <v>105881787</v>
      </c>
      <c r="E494" s="562">
        <v>48936749</v>
      </c>
      <c r="F494" s="562">
        <v>154818600</v>
      </c>
      <c r="G494" s="562">
        <f t="shared" si="9"/>
        <v>-64</v>
      </c>
      <c r="H494" s="562">
        <v>6444146</v>
      </c>
      <c r="I494" s="562">
        <v>6444146</v>
      </c>
      <c r="J494" s="562">
        <f t="shared" si="10"/>
        <v>0</v>
      </c>
    </row>
    <row r="495" spans="1:10" hidden="1" x14ac:dyDescent="0.25">
      <c r="A495" s="362">
        <v>9</v>
      </c>
      <c r="B495" s="364">
        <v>43993</v>
      </c>
      <c r="C495" s="362" t="s">
        <v>85</v>
      </c>
      <c r="D495" s="562">
        <v>22392159</v>
      </c>
      <c r="E495" s="562">
        <v>5189541</v>
      </c>
      <c r="F495" s="562">
        <v>27581700</v>
      </c>
      <c r="G495" s="562">
        <f t="shared" si="9"/>
        <v>0</v>
      </c>
      <c r="H495" s="562">
        <v>2417148</v>
      </c>
      <c r="I495" s="562">
        <v>2417148</v>
      </c>
      <c r="J495" s="562">
        <f t="shared" si="10"/>
        <v>0</v>
      </c>
    </row>
    <row r="496" spans="1:10" hidden="1" x14ac:dyDescent="0.25">
      <c r="A496" s="362">
        <v>10</v>
      </c>
      <c r="B496" s="364">
        <v>43993</v>
      </c>
      <c r="C496" s="362" t="s">
        <v>81</v>
      </c>
      <c r="D496" s="562">
        <v>72761571</v>
      </c>
      <c r="E496" s="562">
        <v>18641758</v>
      </c>
      <c r="F496" s="562">
        <v>91403400</v>
      </c>
      <c r="G496" s="562">
        <f t="shared" si="9"/>
        <v>-71</v>
      </c>
      <c r="H496" s="562">
        <v>5635106</v>
      </c>
      <c r="I496" s="562"/>
      <c r="J496" s="562">
        <f t="shared" si="10"/>
        <v>5635106</v>
      </c>
    </row>
    <row r="497" spans="1:10" hidden="1" x14ac:dyDescent="0.25">
      <c r="A497" s="362">
        <v>11</v>
      </c>
      <c r="B497" s="364">
        <v>43993</v>
      </c>
      <c r="C497" s="362" t="s">
        <v>79</v>
      </c>
      <c r="D497" s="562">
        <v>47766165</v>
      </c>
      <c r="E497" s="562">
        <v>8870874</v>
      </c>
      <c r="F497" s="562">
        <v>56557100</v>
      </c>
      <c r="G497" s="562">
        <f t="shared" si="9"/>
        <v>79939</v>
      </c>
      <c r="H497" s="562">
        <v>2154586</v>
      </c>
      <c r="I497" s="562">
        <v>2154586</v>
      </c>
      <c r="J497" s="562">
        <f t="shared" si="10"/>
        <v>0</v>
      </c>
    </row>
    <row r="498" spans="1:10" hidden="1" x14ac:dyDescent="0.25">
      <c r="A498" s="362">
        <v>12</v>
      </c>
      <c r="B498" s="364">
        <v>43993</v>
      </c>
      <c r="C498" s="362" t="s">
        <v>82</v>
      </c>
      <c r="D498" s="562">
        <v>296725555</v>
      </c>
      <c r="E498" s="562"/>
      <c r="F498" s="562">
        <v>296725600</v>
      </c>
      <c r="G498" s="562">
        <f t="shared" si="9"/>
        <v>-45</v>
      </c>
      <c r="H498" s="562">
        <v>2267866</v>
      </c>
      <c r="I498" s="562">
        <v>2267866</v>
      </c>
      <c r="J498" s="562">
        <f t="shared" si="10"/>
        <v>0</v>
      </c>
    </row>
    <row r="499" spans="1:10" hidden="1" x14ac:dyDescent="0.25">
      <c r="A499" s="362">
        <v>13</v>
      </c>
      <c r="B499" s="364">
        <v>43993</v>
      </c>
      <c r="C499" s="362" t="s">
        <v>78</v>
      </c>
      <c r="D499" s="562">
        <v>73173820</v>
      </c>
      <c r="E499" s="562">
        <v>5270880</v>
      </c>
      <c r="F499" s="562">
        <v>78444700</v>
      </c>
      <c r="G499" s="562">
        <f t="shared" si="9"/>
        <v>0</v>
      </c>
      <c r="H499" s="562">
        <v>9622702</v>
      </c>
      <c r="I499" s="562">
        <v>9622702</v>
      </c>
      <c r="J499" s="562">
        <f t="shared" si="10"/>
        <v>0</v>
      </c>
    </row>
    <row r="500" spans="1:10" hidden="1" x14ac:dyDescent="0.25">
      <c r="A500" s="362">
        <v>14</v>
      </c>
      <c r="B500" s="364">
        <v>43993</v>
      </c>
      <c r="C500" s="362" t="s">
        <v>166</v>
      </c>
      <c r="D500" s="562">
        <v>64230460</v>
      </c>
      <c r="E500" s="562"/>
      <c r="F500" s="562">
        <v>64230500</v>
      </c>
      <c r="G500" s="562">
        <f t="shared" si="9"/>
        <v>-40</v>
      </c>
      <c r="H500" s="562"/>
      <c r="I500" s="562"/>
      <c r="J500" s="562">
        <f t="shared" si="10"/>
        <v>0</v>
      </c>
    </row>
    <row r="501" spans="1:10" hidden="1" x14ac:dyDescent="0.25">
      <c r="A501" s="362">
        <v>15</v>
      </c>
      <c r="B501" s="364">
        <v>43993</v>
      </c>
      <c r="C501" s="362" t="s">
        <v>3435</v>
      </c>
      <c r="D501" s="562"/>
      <c r="E501" s="562"/>
      <c r="F501" s="562">
        <v>34727700</v>
      </c>
      <c r="G501" s="562">
        <f t="shared" si="9"/>
        <v>-34727700</v>
      </c>
      <c r="H501" s="562"/>
      <c r="I501" s="562"/>
      <c r="J501" s="562">
        <f t="shared" si="10"/>
        <v>0</v>
      </c>
    </row>
    <row r="502" spans="1:10" hidden="1" x14ac:dyDescent="0.25">
      <c r="A502" s="668"/>
      <c r="B502" s="669"/>
      <c r="C502" s="668"/>
      <c r="D502" s="670"/>
      <c r="E502" s="670"/>
      <c r="F502" s="670"/>
      <c r="G502" s="670">
        <f t="shared" si="9"/>
        <v>0</v>
      </c>
      <c r="H502" s="670"/>
      <c r="I502" s="670"/>
      <c r="J502" s="562">
        <f t="shared" si="10"/>
        <v>0</v>
      </c>
    </row>
    <row r="503" spans="1:10" hidden="1" x14ac:dyDescent="0.25">
      <c r="A503" s="362">
        <v>1</v>
      </c>
      <c r="B503" s="364">
        <v>43994</v>
      </c>
      <c r="C503" s="362" t="s">
        <v>80</v>
      </c>
      <c r="D503" s="562">
        <v>164415456</v>
      </c>
      <c r="E503" s="562">
        <v>10827893</v>
      </c>
      <c r="F503" s="562">
        <v>175243200</v>
      </c>
      <c r="G503" s="562">
        <f t="shared" si="9"/>
        <v>149</v>
      </c>
      <c r="H503" s="562">
        <v>2000308</v>
      </c>
      <c r="I503" s="562">
        <v>2000308</v>
      </c>
      <c r="J503" s="562">
        <f t="shared" si="10"/>
        <v>0</v>
      </c>
    </row>
    <row r="504" spans="1:10" hidden="1" x14ac:dyDescent="0.25">
      <c r="A504" s="362">
        <v>2</v>
      </c>
      <c r="B504" s="364">
        <v>43994</v>
      </c>
      <c r="C504" s="362" t="s">
        <v>83</v>
      </c>
      <c r="D504" s="562">
        <v>194483268</v>
      </c>
      <c r="E504" s="562">
        <v>5285704</v>
      </c>
      <c r="F504" s="562">
        <v>199769000</v>
      </c>
      <c r="G504" s="562">
        <f t="shared" si="9"/>
        <v>-28</v>
      </c>
      <c r="H504" s="562">
        <v>1642356</v>
      </c>
      <c r="I504" s="562"/>
      <c r="J504" s="562">
        <f t="shared" si="10"/>
        <v>1642356</v>
      </c>
    </row>
    <row r="505" spans="1:10" hidden="1" x14ac:dyDescent="0.25">
      <c r="A505" s="362">
        <v>3</v>
      </c>
      <c r="B505" s="364">
        <v>43994</v>
      </c>
      <c r="C505" s="362" t="s">
        <v>88</v>
      </c>
      <c r="D505" s="562">
        <v>106116467</v>
      </c>
      <c r="E505" s="562">
        <v>107008232</v>
      </c>
      <c r="F505" s="562">
        <v>213124800</v>
      </c>
      <c r="G505" s="562">
        <f t="shared" si="9"/>
        <v>-101</v>
      </c>
      <c r="H505" s="562">
        <v>3430586</v>
      </c>
      <c r="I505" s="562"/>
      <c r="J505" s="562">
        <f t="shared" si="10"/>
        <v>3430586</v>
      </c>
    </row>
    <row r="506" spans="1:10" hidden="1" x14ac:dyDescent="0.25">
      <c r="A506" s="362">
        <v>4</v>
      </c>
      <c r="B506" s="364">
        <v>43994</v>
      </c>
      <c r="C506" s="362" t="s">
        <v>146</v>
      </c>
      <c r="D506" s="562">
        <v>118554255</v>
      </c>
      <c r="E506" s="562">
        <v>133479414</v>
      </c>
      <c r="F506" s="562">
        <v>252043600</v>
      </c>
      <c r="G506" s="562">
        <f t="shared" si="9"/>
        <v>-9931</v>
      </c>
      <c r="H506" s="562">
        <v>3413885</v>
      </c>
      <c r="I506" s="562">
        <v>3413885</v>
      </c>
      <c r="J506" s="562">
        <f t="shared" si="10"/>
        <v>0</v>
      </c>
    </row>
    <row r="507" spans="1:10" hidden="1" x14ac:dyDescent="0.25">
      <c r="A507" s="362">
        <v>5</v>
      </c>
      <c r="B507" s="364">
        <v>43994</v>
      </c>
      <c r="C507" s="362" t="s">
        <v>86</v>
      </c>
      <c r="D507" s="562">
        <v>26487781</v>
      </c>
      <c r="E507" s="562">
        <v>179410800</v>
      </c>
      <c r="F507" s="562">
        <v>205898500</v>
      </c>
      <c r="G507" s="562">
        <f t="shared" si="9"/>
        <v>81</v>
      </c>
      <c r="H507" s="562">
        <v>869132</v>
      </c>
      <c r="I507" s="562">
        <v>859122</v>
      </c>
      <c r="J507" s="562">
        <f t="shared" si="10"/>
        <v>10010</v>
      </c>
    </row>
    <row r="508" spans="1:10" hidden="1" x14ac:dyDescent="0.25">
      <c r="A508" s="362">
        <v>6</v>
      </c>
      <c r="B508" s="364">
        <v>43994</v>
      </c>
      <c r="C508" s="362" t="s">
        <v>89</v>
      </c>
      <c r="D508" s="562">
        <v>142243618</v>
      </c>
      <c r="E508" s="562">
        <v>5808382</v>
      </c>
      <c r="F508" s="562">
        <v>148052000</v>
      </c>
      <c r="G508" s="562">
        <f t="shared" si="9"/>
        <v>0</v>
      </c>
      <c r="H508" s="562">
        <v>7921771</v>
      </c>
      <c r="I508" s="562"/>
      <c r="J508" s="562">
        <f t="shared" si="10"/>
        <v>7921771</v>
      </c>
    </row>
    <row r="509" spans="1:10" hidden="1" x14ac:dyDescent="0.25">
      <c r="A509" s="362">
        <v>7</v>
      </c>
      <c r="B509" s="364">
        <v>43994</v>
      </c>
      <c r="C509" s="362" t="s">
        <v>4751</v>
      </c>
      <c r="D509" s="562">
        <v>189471283</v>
      </c>
      <c r="E509" s="562">
        <v>7569217</v>
      </c>
      <c r="F509" s="562">
        <v>197040500</v>
      </c>
      <c r="G509" s="562">
        <f t="shared" si="9"/>
        <v>0</v>
      </c>
      <c r="H509" s="562">
        <v>12542731</v>
      </c>
      <c r="I509" s="562">
        <v>12666731</v>
      </c>
      <c r="J509" s="562">
        <f t="shared" si="10"/>
        <v>-124000</v>
      </c>
    </row>
    <row r="510" spans="1:10" hidden="1" x14ac:dyDescent="0.25">
      <c r="A510" s="362">
        <v>8</v>
      </c>
      <c r="B510" s="364">
        <v>43994</v>
      </c>
      <c r="C510" s="362" t="s">
        <v>84</v>
      </c>
      <c r="D510" s="562">
        <v>122167106</v>
      </c>
      <c r="E510" s="562">
        <v>8206380</v>
      </c>
      <c r="F510" s="562">
        <v>130362500</v>
      </c>
      <c r="G510" s="562">
        <f t="shared" si="9"/>
        <v>10986</v>
      </c>
      <c r="H510" s="562">
        <v>6444146</v>
      </c>
      <c r="I510" s="562"/>
      <c r="J510" s="562">
        <f t="shared" si="10"/>
        <v>6444146</v>
      </c>
    </row>
    <row r="511" spans="1:10" hidden="1" x14ac:dyDescent="0.25">
      <c r="A511" s="362">
        <v>9</v>
      </c>
      <c r="B511" s="364">
        <v>43994</v>
      </c>
      <c r="C511" s="362" t="s">
        <v>85</v>
      </c>
      <c r="D511" s="562">
        <v>14863347</v>
      </c>
      <c r="E511" s="562">
        <v>2453053</v>
      </c>
      <c r="F511" s="562">
        <v>17316400</v>
      </c>
      <c r="G511" s="562">
        <f t="shared" si="9"/>
        <v>0</v>
      </c>
      <c r="H511" s="562">
        <v>2417148</v>
      </c>
      <c r="I511" s="562"/>
      <c r="J511" s="562">
        <f t="shared" si="10"/>
        <v>2417148</v>
      </c>
    </row>
    <row r="512" spans="1:10" hidden="1" x14ac:dyDescent="0.25">
      <c r="A512" s="362">
        <v>10</v>
      </c>
      <c r="B512" s="364">
        <v>43994</v>
      </c>
      <c r="C512" s="362" t="s">
        <v>81</v>
      </c>
      <c r="D512" s="562">
        <v>79526038</v>
      </c>
      <c r="E512" s="562">
        <v>14040439</v>
      </c>
      <c r="F512" s="562">
        <v>93660700</v>
      </c>
      <c r="G512" s="562">
        <f t="shared" si="9"/>
        <v>-94223</v>
      </c>
      <c r="H512" s="562">
        <v>5470106</v>
      </c>
      <c r="I512" s="562">
        <v>5470106</v>
      </c>
      <c r="J512" s="562">
        <f t="shared" si="10"/>
        <v>0</v>
      </c>
    </row>
    <row r="513" spans="1:10" hidden="1" x14ac:dyDescent="0.25">
      <c r="A513" s="362">
        <v>11</v>
      </c>
      <c r="B513" s="364">
        <v>43994</v>
      </c>
      <c r="C513" s="362" t="s">
        <v>79</v>
      </c>
      <c r="D513" s="562">
        <v>59253827</v>
      </c>
      <c r="E513" s="562">
        <v>10363</v>
      </c>
      <c r="F513" s="562">
        <v>59264200</v>
      </c>
      <c r="G513" s="562">
        <f t="shared" si="9"/>
        <v>-10</v>
      </c>
      <c r="H513" s="562">
        <v>2059586</v>
      </c>
      <c r="I513" s="562"/>
      <c r="J513" s="562">
        <f t="shared" si="10"/>
        <v>2059586</v>
      </c>
    </row>
    <row r="514" spans="1:10" hidden="1" x14ac:dyDescent="0.25">
      <c r="A514" s="362">
        <v>12</v>
      </c>
      <c r="B514" s="364">
        <v>43994</v>
      </c>
      <c r="C514" s="362" t="s">
        <v>82</v>
      </c>
      <c r="D514" s="562">
        <v>50710138</v>
      </c>
      <c r="E514" s="562">
        <v>10541989</v>
      </c>
      <c r="F514" s="562">
        <v>61252200</v>
      </c>
      <c r="G514" s="562">
        <f t="shared" si="9"/>
        <v>-73</v>
      </c>
      <c r="H514" s="562">
        <v>1352866</v>
      </c>
      <c r="I514" s="562"/>
      <c r="J514" s="562">
        <f t="shared" si="10"/>
        <v>1352866</v>
      </c>
    </row>
    <row r="515" spans="1:10" hidden="1" x14ac:dyDescent="0.25">
      <c r="A515" s="362">
        <v>13</v>
      </c>
      <c r="B515" s="364">
        <v>43994</v>
      </c>
      <c r="C515" s="362" t="s">
        <v>78</v>
      </c>
      <c r="D515" s="562">
        <v>116277069</v>
      </c>
      <c r="E515" s="562">
        <v>4552733</v>
      </c>
      <c r="F515" s="562">
        <v>120829800</v>
      </c>
      <c r="G515" s="562">
        <f t="shared" si="9"/>
        <v>2</v>
      </c>
      <c r="H515" s="562">
        <v>9537702</v>
      </c>
      <c r="I515" s="562"/>
      <c r="J515" s="562">
        <f t="shared" si="10"/>
        <v>9537702</v>
      </c>
    </row>
    <row r="516" spans="1:10" hidden="1" x14ac:dyDescent="0.25">
      <c r="A516" s="362">
        <v>14</v>
      </c>
      <c r="B516" s="364">
        <v>43994</v>
      </c>
      <c r="C516" s="362" t="s">
        <v>166</v>
      </c>
      <c r="D516" s="562">
        <v>34742307</v>
      </c>
      <c r="E516" s="562"/>
      <c r="F516" s="562">
        <v>34742300</v>
      </c>
      <c r="G516" s="562">
        <f t="shared" si="9"/>
        <v>7</v>
      </c>
      <c r="H516" s="562"/>
      <c r="I516" s="562"/>
      <c r="J516" s="562">
        <f t="shared" si="10"/>
        <v>0</v>
      </c>
    </row>
    <row r="517" spans="1:10" hidden="1" x14ac:dyDescent="0.25">
      <c r="A517" s="362">
        <v>15</v>
      </c>
      <c r="B517" s="364">
        <v>43994</v>
      </c>
      <c r="C517" s="362" t="s">
        <v>3435</v>
      </c>
      <c r="D517" s="562"/>
      <c r="E517" s="562"/>
      <c r="F517" s="562">
        <v>85871400</v>
      </c>
      <c r="G517" s="562">
        <f t="shared" si="9"/>
        <v>-85871400</v>
      </c>
      <c r="H517" s="562"/>
      <c r="I517" s="562"/>
      <c r="J517" s="562">
        <f t="shared" si="10"/>
        <v>0</v>
      </c>
    </row>
    <row r="518" spans="1:10" hidden="1" x14ac:dyDescent="0.25">
      <c r="A518" s="532"/>
      <c r="B518" s="591"/>
      <c r="C518" s="532"/>
      <c r="D518" s="564"/>
      <c r="E518" s="564"/>
      <c r="F518" s="564"/>
      <c r="G518" s="564">
        <f t="shared" si="9"/>
        <v>0</v>
      </c>
      <c r="H518" s="564"/>
      <c r="I518" s="564"/>
      <c r="J518" s="564">
        <f t="shared" si="10"/>
        <v>0</v>
      </c>
    </row>
    <row r="519" spans="1:10" hidden="1" x14ac:dyDescent="0.25">
      <c r="A519" s="362">
        <v>1</v>
      </c>
      <c r="B519" s="364">
        <v>43995</v>
      </c>
      <c r="C519" s="362" t="s">
        <v>80</v>
      </c>
      <c r="D519" s="562">
        <v>168336744</v>
      </c>
      <c r="E519" s="562">
        <v>13296327</v>
      </c>
      <c r="F519" s="562">
        <v>181633000</v>
      </c>
      <c r="G519" s="562">
        <f t="shared" ref="G519:G582" si="11">D519+E519-F519</f>
        <v>71</v>
      </c>
      <c r="H519" s="562">
        <v>2000308</v>
      </c>
      <c r="I519" s="562"/>
      <c r="J519" s="562">
        <f t="shared" si="10"/>
        <v>2000308</v>
      </c>
    </row>
    <row r="520" spans="1:10" hidden="1" x14ac:dyDescent="0.25">
      <c r="A520" s="362">
        <v>2</v>
      </c>
      <c r="B520" s="364">
        <v>43995</v>
      </c>
      <c r="C520" s="362" t="s">
        <v>83</v>
      </c>
      <c r="D520" s="562">
        <v>296456658</v>
      </c>
      <c r="E520" s="562">
        <v>19787729</v>
      </c>
      <c r="F520" s="562">
        <v>316244400</v>
      </c>
      <c r="G520" s="562">
        <f t="shared" si="11"/>
        <v>-13</v>
      </c>
      <c r="H520" s="562">
        <v>1444856</v>
      </c>
      <c r="I520" s="562"/>
      <c r="J520" s="562">
        <f t="shared" si="10"/>
        <v>1444856</v>
      </c>
    </row>
    <row r="521" spans="1:10" hidden="1" x14ac:dyDescent="0.25">
      <c r="A521" s="362">
        <v>3</v>
      </c>
      <c r="B521" s="364">
        <v>43995</v>
      </c>
      <c r="C521" s="362" t="s">
        <v>88</v>
      </c>
      <c r="D521" s="562">
        <v>109916604</v>
      </c>
      <c r="E521" s="562">
        <v>27993471</v>
      </c>
      <c r="F521" s="562">
        <v>137910100</v>
      </c>
      <c r="G521" s="562">
        <f t="shared" si="11"/>
        <v>-25</v>
      </c>
      <c r="H521" s="562">
        <v>3430586</v>
      </c>
      <c r="I521" s="562"/>
      <c r="J521" s="562">
        <f t="shared" si="10"/>
        <v>3430586</v>
      </c>
    </row>
    <row r="522" spans="1:10" hidden="1" x14ac:dyDescent="0.25">
      <c r="A522" s="362">
        <v>4</v>
      </c>
      <c r="B522" s="364">
        <v>43995</v>
      </c>
      <c r="C522" s="362" t="s">
        <v>146</v>
      </c>
      <c r="D522" s="562">
        <v>98483177</v>
      </c>
      <c r="E522" s="562">
        <v>63634295</v>
      </c>
      <c r="F522" s="562">
        <v>162117000</v>
      </c>
      <c r="G522" s="562">
        <f t="shared" si="11"/>
        <v>472</v>
      </c>
      <c r="H522" s="562">
        <v>3413885</v>
      </c>
      <c r="I522" s="562"/>
      <c r="J522" s="562">
        <f t="shared" si="10"/>
        <v>3413885</v>
      </c>
    </row>
    <row r="523" spans="1:10" hidden="1" x14ac:dyDescent="0.25">
      <c r="A523" s="362">
        <v>5</v>
      </c>
      <c r="B523" s="364">
        <v>43995</v>
      </c>
      <c r="C523" s="362" t="s">
        <v>86</v>
      </c>
      <c r="D523" s="562">
        <v>40773307</v>
      </c>
      <c r="E523" s="562">
        <v>33634117</v>
      </c>
      <c r="F523" s="562">
        <v>74407700</v>
      </c>
      <c r="G523" s="562">
        <f t="shared" si="11"/>
        <v>-276</v>
      </c>
      <c r="H523" s="562">
        <v>869122</v>
      </c>
      <c r="I523" s="562"/>
      <c r="J523" s="562">
        <f t="shared" si="10"/>
        <v>869122</v>
      </c>
    </row>
    <row r="524" spans="1:10" hidden="1" x14ac:dyDescent="0.25">
      <c r="A524" s="362">
        <v>6</v>
      </c>
      <c r="B524" s="364">
        <v>43995</v>
      </c>
      <c r="C524" s="362" t="s">
        <v>89</v>
      </c>
      <c r="D524" s="562">
        <v>101255886</v>
      </c>
      <c r="E524" s="562">
        <v>3899814</v>
      </c>
      <c r="F524" s="562">
        <v>105155700</v>
      </c>
      <c r="G524" s="562">
        <f t="shared" si="11"/>
        <v>0</v>
      </c>
      <c r="H524" s="562">
        <v>7783771</v>
      </c>
      <c r="I524" s="562"/>
      <c r="J524" s="562">
        <f t="shared" si="10"/>
        <v>7783771</v>
      </c>
    </row>
    <row r="525" spans="1:10" hidden="1" x14ac:dyDescent="0.25">
      <c r="A525" s="362">
        <v>7</v>
      </c>
      <c r="B525" s="364">
        <v>43995</v>
      </c>
      <c r="C525" s="362" t="s">
        <v>4751</v>
      </c>
      <c r="D525" s="562">
        <v>180054679</v>
      </c>
      <c r="E525" s="562">
        <v>14825521</v>
      </c>
      <c r="F525" s="562">
        <v>194880200</v>
      </c>
      <c r="G525" s="562">
        <f t="shared" si="11"/>
        <v>0</v>
      </c>
      <c r="H525" s="562">
        <v>12114131</v>
      </c>
      <c r="I525" s="562"/>
      <c r="J525" s="562">
        <f t="shared" si="10"/>
        <v>12114131</v>
      </c>
    </row>
    <row r="526" spans="1:10" hidden="1" x14ac:dyDescent="0.25">
      <c r="A526" s="362">
        <v>8</v>
      </c>
      <c r="B526" s="364">
        <v>43995</v>
      </c>
      <c r="C526" s="362" t="s">
        <v>84</v>
      </c>
      <c r="D526" s="562">
        <v>217971851</v>
      </c>
      <c r="E526" s="562">
        <v>22580937</v>
      </c>
      <c r="F526" s="562">
        <v>240552900</v>
      </c>
      <c r="G526" s="562">
        <f t="shared" si="11"/>
        <v>-112</v>
      </c>
      <c r="H526" s="562">
        <v>6444146</v>
      </c>
      <c r="I526" s="562"/>
      <c r="J526" s="562">
        <f t="shared" si="10"/>
        <v>6444146</v>
      </c>
    </row>
    <row r="527" spans="1:10" hidden="1" x14ac:dyDescent="0.25">
      <c r="A527" s="362">
        <v>9</v>
      </c>
      <c r="B527" s="364">
        <v>43995</v>
      </c>
      <c r="C527" s="362" t="s">
        <v>85</v>
      </c>
      <c r="D527" s="562">
        <v>21301138</v>
      </c>
      <c r="E527" s="562">
        <v>5472962</v>
      </c>
      <c r="F527" s="562">
        <v>26774100</v>
      </c>
      <c r="G527" s="562">
        <f t="shared" si="11"/>
        <v>0</v>
      </c>
      <c r="H527" s="562">
        <v>2417148</v>
      </c>
      <c r="I527" s="562"/>
      <c r="J527" s="562">
        <f t="shared" si="10"/>
        <v>2417148</v>
      </c>
    </row>
    <row r="528" spans="1:10" hidden="1" x14ac:dyDescent="0.25">
      <c r="A528" s="362">
        <v>10</v>
      </c>
      <c r="B528" s="364">
        <v>43995</v>
      </c>
      <c r="C528" s="362" t="s">
        <v>81</v>
      </c>
      <c r="D528" s="562">
        <v>134334500</v>
      </c>
      <c r="E528" s="562">
        <v>12326034</v>
      </c>
      <c r="F528" s="562">
        <v>146660600</v>
      </c>
      <c r="G528" s="562">
        <f t="shared" si="11"/>
        <v>-66</v>
      </c>
      <c r="H528" s="562">
        <v>5470106</v>
      </c>
      <c r="I528" s="562"/>
      <c r="J528" s="562">
        <f t="shared" si="10"/>
        <v>5470106</v>
      </c>
    </row>
    <row r="529" spans="1:10" hidden="1" x14ac:dyDescent="0.25">
      <c r="A529" s="362">
        <v>11</v>
      </c>
      <c r="B529" s="364">
        <v>43995</v>
      </c>
      <c r="C529" s="362" t="s">
        <v>79</v>
      </c>
      <c r="D529" s="562">
        <v>19800701</v>
      </c>
      <c r="E529" s="562"/>
      <c r="F529" s="562">
        <v>19800800</v>
      </c>
      <c r="G529" s="562">
        <f t="shared" si="11"/>
        <v>-99</v>
      </c>
      <c r="H529" s="562">
        <v>2059586</v>
      </c>
      <c r="I529" s="562"/>
      <c r="J529" s="562">
        <f t="shared" si="10"/>
        <v>2059586</v>
      </c>
    </row>
    <row r="530" spans="1:10" hidden="1" x14ac:dyDescent="0.25">
      <c r="A530" s="362">
        <v>12</v>
      </c>
      <c r="B530" s="364">
        <v>43995</v>
      </c>
      <c r="C530" s="362" t="s">
        <v>82</v>
      </c>
      <c r="D530" s="562">
        <v>120674251</v>
      </c>
      <c r="E530" s="562">
        <v>3674660</v>
      </c>
      <c r="F530" s="562">
        <v>124349000</v>
      </c>
      <c r="G530" s="562">
        <f t="shared" si="11"/>
        <v>-89</v>
      </c>
      <c r="H530" s="562">
        <v>1352866</v>
      </c>
      <c r="I530" s="562"/>
      <c r="J530" s="562">
        <f t="shared" si="10"/>
        <v>1352866</v>
      </c>
    </row>
    <row r="531" spans="1:10" hidden="1" x14ac:dyDescent="0.25">
      <c r="A531" s="362">
        <v>13</v>
      </c>
      <c r="B531" s="364">
        <v>43995</v>
      </c>
      <c r="C531" s="362" t="s">
        <v>78</v>
      </c>
      <c r="D531" s="562">
        <v>96856213</v>
      </c>
      <c r="E531" s="562">
        <v>3475687</v>
      </c>
      <c r="F531" s="562">
        <v>100331900</v>
      </c>
      <c r="G531" s="562">
        <f t="shared" si="11"/>
        <v>0</v>
      </c>
      <c r="H531" s="562">
        <v>8080765</v>
      </c>
      <c r="I531" s="562"/>
      <c r="J531" s="562">
        <f t="shared" si="10"/>
        <v>8080765</v>
      </c>
    </row>
    <row r="532" spans="1:10" hidden="1" x14ac:dyDescent="0.25">
      <c r="A532" s="362">
        <v>14</v>
      </c>
      <c r="B532" s="364">
        <v>43995</v>
      </c>
      <c r="C532" s="362" t="s">
        <v>166</v>
      </c>
      <c r="D532" s="562"/>
      <c r="E532" s="562"/>
      <c r="F532" s="562"/>
      <c r="G532" s="562">
        <f t="shared" si="11"/>
        <v>0</v>
      </c>
      <c r="H532" s="562"/>
      <c r="I532" s="562"/>
      <c r="J532" s="562">
        <f t="shared" si="10"/>
        <v>0</v>
      </c>
    </row>
    <row r="533" spans="1:10" hidden="1" x14ac:dyDescent="0.25">
      <c r="A533" s="362">
        <v>15</v>
      </c>
      <c r="B533" s="364">
        <v>43995</v>
      </c>
      <c r="C533" s="362" t="s">
        <v>3435</v>
      </c>
      <c r="D533" s="562"/>
      <c r="E533" s="562"/>
      <c r="F533" s="562"/>
      <c r="G533" s="562">
        <f t="shared" si="11"/>
        <v>0</v>
      </c>
      <c r="H533" s="562"/>
      <c r="I533" s="562"/>
      <c r="J533" s="562">
        <f t="shared" si="10"/>
        <v>0</v>
      </c>
    </row>
    <row r="534" spans="1:10" hidden="1" x14ac:dyDescent="0.25">
      <c r="A534" s="532"/>
      <c r="B534" s="591"/>
      <c r="C534" s="532"/>
      <c r="D534" s="564"/>
      <c r="E534" s="564"/>
      <c r="F534" s="564"/>
      <c r="G534" s="564">
        <f t="shared" si="11"/>
        <v>0</v>
      </c>
      <c r="H534" s="564"/>
      <c r="I534" s="564"/>
      <c r="J534" s="564">
        <f t="shared" si="10"/>
        <v>0</v>
      </c>
    </row>
    <row r="535" spans="1:10" hidden="1" x14ac:dyDescent="0.25">
      <c r="A535" s="362">
        <v>1</v>
      </c>
      <c r="B535" s="364">
        <v>43997</v>
      </c>
      <c r="C535" s="362" t="s">
        <v>80</v>
      </c>
      <c r="D535" s="562">
        <v>335288812</v>
      </c>
      <c r="E535" s="562">
        <v>3423721</v>
      </c>
      <c r="F535" s="562">
        <v>338712600</v>
      </c>
      <c r="G535" s="562">
        <f t="shared" si="11"/>
        <v>-67</v>
      </c>
      <c r="H535" s="562">
        <v>2000308</v>
      </c>
      <c r="I535" s="562"/>
      <c r="J535" s="562">
        <f t="shared" si="10"/>
        <v>2000308</v>
      </c>
    </row>
    <row r="536" spans="1:10" hidden="1" x14ac:dyDescent="0.25">
      <c r="A536" s="362">
        <v>2</v>
      </c>
      <c r="B536" s="364">
        <v>43997</v>
      </c>
      <c r="C536" s="362" t="s">
        <v>83</v>
      </c>
      <c r="D536" s="562">
        <v>248522597</v>
      </c>
      <c r="E536" s="562">
        <v>6438824</v>
      </c>
      <c r="F536" s="562">
        <v>254961500</v>
      </c>
      <c r="G536" s="562">
        <f t="shared" si="11"/>
        <v>-79</v>
      </c>
      <c r="H536" s="562">
        <v>9287431</v>
      </c>
      <c r="I536" s="562"/>
      <c r="J536" s="562">
        <f t="shared" si="10"/>
        <v>9287431</v>
      </c>
    </row>
    <row r="537" spans="1:10" hidden="1" x14ac:dyDescent="0.25">
      <c r="A537" s="362">
        <v>3</v>
      </c>
      <c r="B537" s="364">
        <v>43997</v>
      </c>
      <c r="C537" s="362" t="s">
        <v>88</v>
      </c>
      <c r="D537" s="562">
        <v>288170018</v>
      </c>
      <c r="E537" s="562">
        <v>20270068</v>
      </c>
      <c r="F537" s="562">
        <v>308440100</v>
      </c>
      <c r="G537" s="562">
        <f t="shared" si="11"/>
        <v>-14</v>
      </c>
      <c r="H537" s="562">
        <v>17801751</v>
      </c>
      <c r="I537" s="562"/>
      <c r="J537" s="562">
        <f t="shared" si="10"/>
        <v>17801751</v>
      </c>
    </row>
    <row r="538" spans="1:10" hidden="1" x14ac:dyDescent="0.25">
      <c r="A538" s="362">
        <v>4</v>
      </c>
      <c r="B538" s="364">
        <v>43997</v>
      </c>
      <c r="C538" s="362" t="s">
        <v>146</v>
      </c>
      <c r="D538" s="562">
        <v>51790285</v>
      </c>
      <c r="E538" s="562">
        <v>108753928</v>
      </c>
      <c r="F538" s="562">
        <v>160544100</v>
      </c>
      <c r="G538" s="562">
        <f t="shared" si="11"/>
        <v>113</v>
      </c>
      <c r="H538" s="562">
        <v>2566385</v>
      </c>
      <c r="I538" s="562"/>
      <c r="J538" s="562">
        <f t="shared" si="10"/>
        <v>2566385</v>
      </c>
    </row>
    <row r="539" spans="1:10" hidden="1" x14ac:dyDescent="0.25">
      <c r="A539" s="362">
        <v>5</v>
      </c>
      <c r="B539" s="364">
        <v>43997</v>
      </c>
      <c r="C539" s="362" t="s">
        <v>86</v>
      </c>
      <c r="D539" s="562">
        <v>41966457</v>
      </c>
      <c r="E539" s="562">
        <v>111088814</v>
      </c>
      <c r="F539" s="562">
        <v>153055400</v>
      </c>
      <c r="G539" s="562">
        <f t="shared" si="11"/>
        <v>-129</v>
      </c>
      <c r="H539" s="562">
        <v>9500721</v>
      </c>
      <c r="I539" s="562"/>
      <c r="J539" s="562">
        <f t="shared" si="10"/>
        <v>9500721</v>
      </c>
    </row>
    <row r="540" spans="1:10" hidden="1" x14ac:dyDescent="0.25">
      <c r="A540" s="362">
        <v>6</v>
      </c>
      <c r="B540" s="364">
        <v>43997</v>
      </c>
      <c r="C540" s="362" t="s">
        <v>89</v>
      </c>
      <c r="D540" s="562">
        <v>80161661</v>
      </c>
      <c r="E540" s="562">
        <v>2989339</v>
      </c>
      <c r="F540" s="562">
        <v>83151000</v>
      </c>
      <c r="G540" s="562">
        <f t="shared" si="11"/>
        <v>0</v>
      </c>
      <c r="H540" s="562">
        <v>4802935</v>
      </c>
      <c r="I540" s="562"/>
      <c r="J540" s="562">
        <f t="shared" si="10"/>
        <v>4802935</v>
      </c>
    </row>
    <row r="541" spans="1:10" hidden="1" x14ac:dyDescent="0.25">
      <c r="A541" s="362">
        <v>7</v>
      </c>
      <c r="B541" s="364">
        <v>43997</v>
      </c>
      <c r="C541" s="362" t="s">
        <v>4751</v>
      </c>
      <c r="D541" s="562">
        <v>196805179</v>
      </c>
      <c r="E541" s="562">
        <v>10335021</v>
      </c>
      <c r="F541" s="562">
        <v>207140200</v>
      </c>
      <c r="G541" s="562">
        <f t="shared" si="11"/>
        <v>0</v>
      </c>
      <c r="H541" s="562">
        <v>12013681</v>
      </c>
      <c r="I541" s="562"/>
      <c r="J541" s="562">
        <f t="shared" si="10"/>
        <v>12013681</v>
      </c>
    </row>
    <row r="542" spans="1:10" hidden="1" x14ac:dyDescent="0.25">
      <c r="A542" s="362">
        <v>8</v>
      </c>
      <c r="B542" s="364">
        <v>43997</v>
      </c>
      <c r="C542" s="362" t="s">
        <v>84</v>
      </c>
      <c r="D542" s="562">
        <v>245223220</v>
      </c>
      <c r="E542" s="562">
        <v>6566546</v>
      </c>
      <c r="F542" s="562">
        <v>251789900</v>
      </c>
      <c r="G542" s="562">
        <f t="shared" si="11"/>
        <v>-134</v>
      </c>
      <c r="H542" s="562">
        <v>6444146</v>
      </c>
      <c r="I542" s="562"/>
      <c r="J542" s="562">
        <f t="shared" si="10"/>
        <v>6444146</v>
      </c>
    </row>
    <row r="543" spans="1:10" hidden="1" x14ac:dyDescent="0.25">
      <c r="A543" s="362">
        <v>9</v>
      </c>
      <c r="B543" s="364">
        <v>43997</v>
      </c>
      <c r="C543" s="362" t="s">
        <v>85</v>
      </c>
      <c r="D543" s="562">
        <v>20594722</v>
      </c>
      <c r="E543" s="562">
        <v>2373278</v>
      </c>
      <c r="F543" s="562">
        <v>22968000</v>
      </c>
      <c r="G543" s="562">
        <f t="shared" si="11"/>
        <v>0</v>
      </c>
      <c r="H543" s="562">
        <v>2417148</v>
      </c>
      <c r="I543" s="562"/>
      <c r="J543" s="562">
        <f t="shared" si="10"/>
        <v>2417148</v>
      </c>
    </row>
    <row r="544" spans="1:10" hidden="1" x14ac:dyDescent="0.25">
      <c r="A544" s="362">
        <v>10</v>
      </c>
      <c r="B544" s="364">
        <v>43997</v>
      </c>
      <c r="C544" s="362" t="s">
        <v>81</v>
      </c>
      <c r="D544" s="562">
        <v>78644165</v>
      </c>
      <c r="E544" s="562">
        <v>7739818</v>
      </c>
      <c r="F544" s="562">
        <v>86384000</v>
      </c>
      <c r="G544" s="562">
        <f t="shared" si="11"/>
        <v>-17</v>
      </c>
      <c r="H544" s="562">
        <v>4876606</v>
      </c>
      <c r="I544" s="562"/>
      <c r="J544" s="562">
        <f t="shared" si="10"/>
        <v>4876606</v>
      </c>
    </row>
    <row r="545" spans="1:10" hidden="1" x14ac:dyDescent="0.25">
      <c r="A545" s="362">
        <v>11</v>
      </c>
      <c r="B545" s="364">
        <v>43997</v>
      </c>
      <c r="C545" s="362" t="s">
        <v>79</v>
      </c>
      <c r="D545" s="562">
        <v>26722353</v>
      </c>
      <c r="E545" s="562">
        <v>2805500</v>
      </c>
      <c r="F545" s="562">
        <v>29527800</v>
      </c>
      <c r="G545" s="562">
        <f t="shared" si="11"/>
        <v>53</v>
      </c>
      <c r="H545" s="562">
        <v>1694586</v>
      </c>
      <c r="I545" s="562"/>
      <c r="J545" s="562">
        <f t="shared" si="10"/>
        <v>1694586</v>
      </c>
    </row>
    <row r="546" spans="1:10" hidden="1" x14ac:dyDescent="0.25">
      <c r="A546" s="362">
        <v>12</v>
      </c>
      <c r="B546" s="364">
        <v>43997</v>
      </c>
      <c r="C546" s="362" t="s">
        <v>82</v>
      </c>
      <c r="D546" s="562">
        <v>31344783</v>
      </c>
      <c r="E546" s="562">
        <v>54500</v>
      </c>
      <c r="F546" s="562">
        <v>31399300</v>
      </c>
      <c r="G546" s="562">
        <f t="shared" si="11"/>
        <v>-17</v>
      </c>
      <c r="H546" s="562">
        <v>10205866</v>
      </c>
      <c r="I546" s="562"/>
      <c r="J546" s="562">
        <f t="shared" si="10"/>
        <v>10205866</v>
      </c>
    </row>
    <row r="547" spans="1:10" hidden="1" x14ac:dyDescent="0.25">
      <c r="A547" s="362">
        <v>13</v>
      </c>
      <c r="B547" s="364">
        <v>43997</v>
      </c>
      <c r="C547" s="362" t="s">
        <v>78</v>
      </c>
      <c r="D547" s="562">
        <v>41797131</v>
      </c>
      <c r="E547" s="562">
        <v>3497569</v>
      </c>
      <c r="F547" s="562">
        <v>45294700</v>
      </c>
      <c r="G547" s="562">
        <f t="shared" si="11"/>
        <v>0</v>
      </c>
      <c r="H547" s="562">
        <v>7275322</v>
      </c>
      <c r="I547" s="562"/>
      <c r="J547" s="562">
        <f t="shared" si="10"/>
        <v>7275322</v>
      </c>
    </row>
    <row r="548" spans="1:10" hidden="1" x14ac:dyDescent="0.25">
      <c r="A548" s="362">
        <v>14</v>
      </c>
      <c r="B548" s="364">
        <v>43997</v>
      </c>
      <c r="C548" s="362" t="s">
        <v>166</v>
      </c>
      <c r="D548" s="562">
        <v>41282465</v>
      </c>
      <c r="E548" s="562"/>
      <c r="F548" s="562">
        <v>41282500</v>
      </c>
      <c r="G548" s="562">
        <f t="shared" si="11"/>
        <v>-35</v>
      </c>
      <c r="H548" s="562"/>
      <c r="I548" s="562"/>
      <c r="J548" s="562">
        <f t="shared" si="10"/>
        <v>0</v>
      </c>
    </row>
    <row r="549" spans="1:10" hidden="1" x14ac:dyDescent="0.25">
      <c r="A549" s="362">
        <v>15</v>
      </c>
      <c r="B549" s="364">
        <v>43997</v>
      </c>
      <c r="C549" s="362" t="s">
        <v>3435</v>
      </c>
      <c r="D549" s="562"/>
      <c r="E549" s="562"/>
      <c r="F549" s="562">
        <v>25890100</v>
      </c>
      <c r="G549" s="562">
        <f t="shared" si="11"/>
        <v>-25890100</v>
      </c>
      <c r="H549" s="562"/>
      <c r="I549" s="562"/>
      <c r="J549" s="562">
        <f t="shared" si="10"/>
        <v>0</v>
      </c>
    </row>
    <row r="550" spans="1:10" hidden="1" x14ac:dyDescent="0.25">
      <c r="A550" s="532"/>
      <c r="B550" s="591"/>
      <c r="C550" s="532"/>
      <c r="D550" s="564"/>
      <c r="E550" s="564"/>
      <c r="F550" s="564"/>
      <c r="G550" s="564">
        <f t="shared" si="11"/>
        <v>0</v>
      </c>
      <c r="H550" s="564"/>
      <c r="I550" s="564"/>
      <c r="J550" s="564">
        <f t="shared" si="10"/>
        <v>0</v>
      </c>
    </row>
    <row r="551" spans="1:10" hidden="1" x14ac:dyDescent="0.25">
      <c r="A551" s="362">
        <v>1</v>
      </c>
      <c r="B551" s="364">
        <v>43998</v>
      </c>
      <c r="C551" s="362" t="s">
        <v>80</v>
      </c>
      <c r="D551" s="562">
        <v>237361039</v>
      </c>
      <c r="E551" s="562">
        <v>11851578</v>
      </c>
      <c r="F551" s="562">
        <v>249212700</v>
      </c>
      <c r="G551" s="562">
        <f t="shared" si="11"/>
        <v>-83</v>
      </c>
      <c r="H551" s="562">
        <v>38000000</v>
      </c>
      <c r="I551" s="562"/>
      <c r="J551" s="562">
        <f t="shared" si="10"/>
        <v>38000000</v>
      </c>
    </row>
    <row r="552" spans="1:10" hidden="1" x14ac:dyDescent="0.25">
      <c r="A552" s="362">
        <v>2</v>
      </c>
      <c r="B552" s="364">
        <v>43998</v>
      </c>
      <c r="C552" s="362" t="s">
        <v>83</v>
      </c>
      <c r="D552" s="562">
        <v>494013277</v>
      </c>
      <c r="E552" s="562">
        <v>43979924</v>
      </c>
      <c r="F552" s="562">
        <f>210493200+327500000</f>
        <v>537993200</v>
      </c>
      <c r="G552" s="562">
        <f t="shared" si="11"/>
        <v>1</v>
      </c>
      <c r="H552" s="562">
        <v>8677431</v>
      </c>
      <c r="I552" s="562"/>
      <c r="J552" s="562">
        <f t="shared" ref="J552:J563" si="12">H552-I552</f>
        <v>8677431</v>
      </c>
    </row>
    <row r="553" spans="1:10" hidden="1" x14ac:dyDescent="0.25">
      <c r="A553" s="362">
        <v>3</v>
      </c>
      <c r="B553" s="364">
        <v>43998</v>
      </c>
      <c r="C553" s="362" t="s">
        <v>88</v>
      </c>
      <c r="D553" s="562">
        <v>99465934</v>
      </c>
      <c r="E553" s="562">
        <v>28519190</v>
      </c>
      <c r="F553" s="562">
        <v>127985200</v>
      </c>
      <c r="G553" s="562">
        <f t="shared" si="11"/>
        <v>-76</v>
      </c>
      <c r="H553" s="562">
        <v>15757400</v>
      </c>
      <c r="I553" s="562"/>
      <c r="J553" s="562">
        <f t="shared" si="12"/>
        <v>15757400</v>
      </c>
    </row>
    <row r="554" spans="1:10" hidden="1" x14ac:dyDescent="0.25">
      <c r="A554" s="362">
        <v>4</v>
      </c>
      <c r="B554" s="364">
        <v>43998</v>
      </c>
      <c r="C554" s="362" t="s">
        <v>146</v>
      </c>
      <c r="D554" s="562">
        <v>99715937</v>
      </c>
      <c r="E554" s="562">
        <v>79126038</v>
      </c>
      <c r="F554" s="562">
        <v>178841600</v>
      </c>
      <c r="G554" s="562">
        <f t="shared" si="11"/>
        <v>375</v>
      </c>
      <c r="H554" s="562">
        <v>18459470</v>
      </c>
      <c r="I554" s="562"/>
      <c r="J554" s="562">
        <f t="shared" si="12"/>
        <v>18459470</v>
      </c>
    </row>
    <row r="555" spans="1:10" hidden="1" x14ac:dyDescent="0.25">
      <c r="A555" s="362">
        <v>5</v>
      </c>
      <c r="B555" s="364">
        <v>43998</v>
      </c>
      <c r="C555" s="362" t="s">
        <v>86</v>
      </c>
      <c r="D555" s="562">
        <v>77737580</v>
      </c>
      <c r="E555" s="562">
        <v>38713822</v>
      </c>
      <c r="F555" s="562">
        <v>116451400</v>
      </c>
      <c r="G555" s="562">
        <f t="shared" si="11"/>
        <v>2</v>
      </c>
      <c r="H555" s="562">
        <v>6917966</v>
      </c>
      <c r="I555" s="562"/>
      <c r="J555" s="562">
        <f t="shared" si="12"/>
        <v>6917966</v>
      </c>
    </row>
    <row r="556" spans="1:10" hidden="1" x14ac:dyDescent="0.25">
      <c r="A556" s="362">
        <v>6</v>
      </c>
      <c r="B556" s="364">
        <v>43998</v>
      </c>
      <c r="C556" s="362" t="s">
        <v>89</v>
      </c>
      <c r="D556" s="562">
        <v>125396700</v>
      </c>
      <c r="E556" s="562">
        <v>2330500</v>
      </c>
      <c r="F556" s="562">
        <v>127727200</v>
      </c>
      <c r="G556" s="562">
        <f t="shared" si="11"/>
        <v>0</v>
      </c>
      <c r="H556" s="562">
        <v>16395846</v>
      </c>
      <c r="I556" s="562"/>
      <c r="J556" s="562">
        <f t="shared" si="12"/>
        <v>16395846</v>
      </c>
    </row>
    <row r="557" spans="1:10" hidden="1" x14ac:dyDescent="0.25">
      <c r="A557" s="362">
        <v>7</v>
      </c>
      <c r="B557" s="364">
        <v>43998</v>
      </c>
      <c r="C557" s="362" t="s">
        <v>4751</v>
      </c>
      <c r="D557" s="562">
        <v>225802608</v>
      </c>
      <c r="E557" s="562">
        <v>17916692</v>
      </c>
      <c r="F557" s="562">
        <v>243719300</v>
      </c>
      <c r="G557" s="562">
        <f t="shared" si="11"/>
        <v>0</v>
      </c>
      <c r="H557" s="562">
        <v>27515608</v>
      </c>
      <c r="I557" s="562"/>
      <c r="J557" s="562">
        <f t="shared" si="12"/>
        <v>27515608</v>
      </c>
    </row>
    <row r="558" spans="1:10" hidden="1" x14ac:dyDescent="0.25">
      <c r="A558" s="362">
        <v>8</v>
      </c>
      <c r="B558" s="364">
        <v>43998</v>
      </c>
      <c r="C558" s="362" t="s">
        <v>84</v>
      </c>
      <c r="D558" s="562">
        <v>132745227</v>
      </c>
      <c r="E558" s="562">
        <v>28098388</v>
      </c>
      <c r="F558" s="562">
        <v>160843700</v>
      </c>
      <c r="G558" s="562">
        <f t="shared" si="11"/>
        <v>-85</v>
      </c>
      <c r="H558" s="562">
        <v>28753726</v>
      </c>
      <c r="I558" s="562"/>
      <c r="J558" s="562">
        <f t="shared" si="12"/>
        <v>28753726</v>
      </c>
    </row>
    <row r="559" spans="1:10" hidden="1" x14ac:dyDescent="0.25">
      <c r="A559" s="362">
        <v>9</v>
      </c>
      <c r="B559" s="364">
        <v>43998</v>
      </c>
      <c r="C559" s="362" t="s">
        <v>85</v>
      </c>
      <c r="D559" s="562">
        <v>37099354</v>
      </c>
      <c r="E559" s="562">
        <v>875446</v>
      </c>
      <c r="F559" s="562">
        <v>37974800</v>
      </c>
      <c r="G559" s="562">
        <f t="shared" si="11"/>
        <v>0</v>
      </c>
      <c r="H559" s="562">
        <v>2417148</v>
      </c>
      <c r="I559" s="562"/>
      <c r="J559" s="562">
        <f t="shared" si="12"/>
        <v>2417148</v>
      </c>
    </row>
    <row r="560" spans="1:10" hidden="1" x14ac:dyDescent="0.25">
      <c r="A560" s="362">
        <v>10</v>
      </c>
      <c r="B560" s="364">
        <v>43998</v>
      </c>
      <c r="C560" s="362" t="s">
        <v>81</v>
      </c>
      <c r="D560" s="562">
        <v>142866748</v>
      </c>
      <c r="E560" s="562">
        <v>49889300</v>
      </c>
      <c r="F560" s="562">
        <v>192756100</v>
      </c>
      <c r="G560" s="562">
        <f t="shared" si="11"/>
        <v>-52</v>
      </c>
      <c r="H560" s="562">
        <v>16763074</v>
      </c>
      <c r="I560" s="562"/>
      <c r="J560" s="562">
        <f t="shared" si="12"/>
        <v>16763074</v>
      </c>
    </row>
    <row r="561" spans="1:10" hidden="1" x14ac:dyDescent="0.25">
      <c r="A561" s="362">
        <v>11</v>
      </c>
      <c r="B561" s="364">
        <v>43998</v>
      </c>
      <c r="C561" s="362" t="s">
        <v>79</v>
      </c>
      <c r="D561" s="562">
        <v>39119455</v>
      </c>
      <c r="E561" s="562">
        <v>1149000</v>
      </c>
      <c r="F561" s="562">
        <v>40268500</v>
      </c>
      <c r="G561" s="562">
        <f t="shared" si="11"/>
        <v>-45</v>
      </c>
      <c r="H561" s="562">
        <v>6067534</v>
      </c>
      <c r="I561" s="562"/>
      <c r="J561" s="562">
        <f t="shared" si="12"/>
        <v>6067534</v>
      </c>
    </row>
    <row r="562" spans="1:10" hidden="1" x14ac:dyDescent="0.25">
      <c r="A562" s="362">
        <v>12</v>
      </c>
      <c r="B562" s="364">
        <v>43998</v>
      </c>
      <c r="C562" s="362" t="s">
        <v>82</v>
      </c>
      <c r="D562" s="562">
        <v>42920050</v>
      </c>
      <c r="E562" s="562">
        <v>1296054</v>
      </c>
      <c r="F562" s="562">
        <v>44216200</v>
      </c>
      <c r="G562" s="562">
        <f t="shared" si="11"/>
        <v>-96</v>
      </c>
      <c r="H562" s="562">
        <v>8908566</v>
      </c>
      <c r="I562" s="562"/>
      <c r="J562" s="562">
        <f t="shared" si="12"/>
        <v>8908566</v>
      </c>
    </row>
    <row r="563" spans="1:10" hidden="1" x14ac:dyDescent="0.25">
      <c r="A563" s="362">
        <v>13</v>
      </c>
      <c r="B563" s="364">
        <v>43998</v>
      </c>
      <c r="C563" s="362" t="s">
        <v>78</v>
      </c>
      <c r="D563" s="562">
        <v>76305338</v>
      </c>
      <c r="E563" s="562">
        <v>6176262</v>
      </c>
      <c r="F563" s="562">
        <v>82481600</v>
      </c>
      <c r="G563" s="562">
        <f t="shared" si="11"/>
        <v>0</v>
      </c>
      <c r="H563" s="562">
        <v>15955190</v>
      </c>
      <c r="I563" s="562"/>
      <c r="J563" s="562">
        <f t="shared" si="12"/>
        <v>15955190</v>
      </c>
    </row>
    <row r="564" spans="1:10" hidden="1" x14ac:dyDescent="0.25">
      <c r="A564" s="362">
        <v>14</v>
      </c>
      <c r="B564" s="364">
        <v>43998</v>
      </c>
      <c r="C564" s="362" t="s">
        <v>166</v>
      </c>
      <c r="D564" s="562">
        <v>38018352</v>
      </c>
      <c r="E564" s="562"/>
      <c r="F564" s="562">
        <v>38018200</v>
      </c>
      <c r="G564" s="562">
        <f t="shared" si="11"/>
        <v>152</v>
      </c>
      <c r="H564" s="562"/>
      <c r="I564" s="562"/>
      <c r="J564" s="562"/>
    </row>
    <row r="565" spans="1:10" hidden="1" x14ac:dyDescent="0.25">
      <c r="A565" s="362">
        <v>15</v>
      </c>
      <c r="B565" s="364">
        <v>43998</v>
      </c>
      <c r="C565" s="362" t="s">
        <v>3435</v>
      </c>
      <c r="D565" s="562"/>
      <c r="E565" s="562"/>
      <c r="F565" s="562">
        <v>40154700</v>
      </c>
      <c r="G565" s="562">
        <f t="shared" si="11"/>
        <v>-40154700</v>
      </c>
      <c r="H565" s="562"/>
      <c r="I565" s="562"/>
      <c r="J565" s="562"/>
    </row>
    <row r="566" spans="1:10" hidden="1" x14ac:dyDescent="0.25">
      <c r="A566" s="532"/>
      <c r="B566" s="591"/>
      <c r="C566" s="532"/>
      <c r="D566" s="564"/>
      <c r="E566" s="564"/>
      <c r="F566" s="564"/>
      <c r="G566" s="562">
        <f t="shared" si="11"/>
        <v>0</v>
      </c>
      <c r="H566" s="564"/>
      <c r="I566" s="564"/>
      <c r="J566" s="564"/>
    </row>
    <row r="567" spans="1:10" hidden="1" x14ac:dyDescent="0.25">
      <c r="A567" s="362">
        <v>1</v>
      </c>
      <c r="B567" s="364">
        <v>43999</v>
      </c>
      <c r="C567" s="362" t="s">
        <v>80</v>
      </c>
      <c r="D567" s="562">
        <v>263135799</v>
      </c>
      <c r="E567" s="562">
        <v>5928080</v>
      </c>
      <c r="F567" s="562">
        <v>269063900</v>
      </c>
      <c r="G567" s="562">
        <f t="shared" si="11"/>
        <v>-21</v>
      </c>
      <c r="H567" s="562">
        <v>31814844</v>
      </c>
      <c r="I567" s="562"/>
      <c r="J567" s="562"/>
    </row>
    <row r="568" spans="1:10" hidden="1" x14ac:dyDescent="0.25">
      <c r="A568" s="362">
        <v>2</v>
      </c>
      <c r="B568" s="364">
        <v>43999</v>
      </c>
      <c r="C568" s="362" t="s">
        <v>83</v>
      </c>
      <c r="D568" s="562">
        <v>343776024</v>
      </c>
      <c r="E568" s="562">
        <v>20012276</v>
      </c>
      <c r="F568" s="562">
        <v>363788300</v>
      </c>
      <c r="G568" s="562">
        <f t="shared" si="11"/>
        <v>0</v>
      </c>
      <c r="H568" s="562">
        <v>4116340</v>
      </c>
      <c r="I568" s="562"/>
      <c r="J568" s="562"/>
    </row>
    <row r="569" spans="1:10" hidden="1" x14ac:dyDescent="0.25">
      <c r="A569" s="362">
        <v>3</v>
      </c>
      <c r="B569" s="364">
        <v>43999</v>
      </c>
      <c r="C569" s="362" t="s">
        <v>88</v>
      </c>
      <c r="D569" s="562">
        <v>132793507</v>
      </c>
      <c r="E569" s="562">
        <v>6723548</v>
      </c>
      <c r="F569" s="562">
        <v>139517100</v>
      </c>
      <c r="G569" s="562">
        <f t="shared" si="11"/>
        <v>-45</v>
      </c>
      <c r="H569" s="562">
        <v>13365780</v>
      </c>
      <c r="I569" s="562"/>
      <c r="J569" s="562"/>
    </row>
    <row r="570" spans="1:10" hidden="1" x14ac:dyDescent="0.25">
      <c r="A570" s="362">
        <v>4</v>
      </c>
      <c r="B570" s="364">
        <v>43999</v>
      </c>
      <c r="C570" s="362" t="s">
        <v>146</v>
      </c>
      <c r="D570" s="562">
        <v>70675259</v>
      </c>
      <c r="E570" s="562">
        <v>84775672</v>
      </c>
      <c r="F570" s="562">
        <v>155450900</v>
      </c>
      <c r="G570" s="562">
        <f t="shared" si="11"/>
        <v>31</v>
      </c>
      <c r="H570" s="562">
        <v>15706970</v>
      </c>
      <c r="I570" s="562"/>
      <c r="J570" s="562"/>
    </row>
    <row r="571" spans="1:10" hidden="1" x14ac:dyDescent="0.25">
      <c r="A571" s="362">
        <v>5</v>
      </c>
      <c r="B571" s="364">
        <v>43999</v>
      </c>
      <c r="C571" s="362" t="s">
        <v>86</v>
      </c>
      <c r="D571" s="562">
        <v>71195322</v>
      </c>
      <c r="E571" s="562">
        <v>93845573</v>
      </c>
      <c r="F571" s="562">
        <v>165040900</v>
      </c>
      <c r="G571" s="562">
        <f t="shared" si="11"/>
        <v>-5</v>
      </c>
      <c r="H571" s="562">
        <v>5958766</v>
      </c>
      <c r="I571" s="562"/>
      <c r="J571" s="562"/>
    </row>
    <row r="572" spans="1:10" hidden="1" x14ac:dyDescent="0.25">
      <c r="A572" s="362">
        <v>6</v>
      </c>
      <c r="B572" s="364">
        <v>43999</v>
      </c>
      <c r="C572" s="362" t="s">
        <v>89</v>
      </c>
      <c r="D572" s="562">
        <v>108737991</v>
      </c>
      <c r="E572" s="562">
        <v>3492109</v>
      </c>
      <c r="F572" s="562">
        <v>112230100</v>
      </c>
      <c r="G572" s="562">
        <f t="shared" si="11"/>
        <v>0</v>
      </c>
      <c r="H572" s="562">
        <v>13517346</v>
      </c>
      <c r="I572" s="562"/>
      <c r="J572" s="562"/>
    </row>
    <row r="573" spans="1:10" hidden="1" x14ac:dyDescent="0.25">
      <c r="A573" s="362">
        <v>7</v>
      </c>
      <c r="B573" s="364">
        <v>43999</v>
      </c>
      <c r="C573" s="362" t="s">
        <v>4751</v>
      </c>
      <c r="D573" s="562">
        <v>179796008</v>
      </c>
      <c r="E573" s="562">
        <v>6297492</v>
      </c>
      <c r="F573" s="562">
        <v>186093500</v>
      </c>
      <c r="G573" s="562">
        <f t="shared" si="11"/>
        <v>0</v>
      </c>
      <c r="H573" s="562">
        <v>18892161</v>
      </c>
      <c r="I573" s="562"/>
      <c r="J573" s="562"/>
    </row>
    <row r="574" spans="1:10" hidden="1" x14ac:dyDescent="0.25">
      <c r="A574" s="362">
        <v>8</v>
      </c>
      <c r="B574" s="364">
        <v>43999</v>
      </c>
      <c r="C574" s="362" t="s">
        <v>84</v>
      </c>
      <c r="D574" s="562">
        <v>222644871</v>
      </c>
      <c r="E574" s="562">
        <v>13509557</v>
      </c>
      <c r="F574" s="562">
        <v>236254500</v>
      </c>
      <c r="G574" s="562">
        <f t="shared" si="11"/>
        <v>-100072</v>
      </c>
      <c r="H574" s="562">
        <v>18140074</v>
      </c>
      <c r="I574" s="562"/>
      <c r="J574" s="562"/>
    </row>
    <row r="575" spans="1:10" hidden="1" x14ac:dyDescent="0.25">
      <c r="A575" s="362">
        <v>9</v>
      </c>
      <c r="B575" s="364">
        <v>43999</v>
      </c>
      <c r="C575" s="362" t="s">
        <v>85</v>
      </c>
      <c r="D575" s="562">
        <v>35082468</v>
      </c>
      <c r="E575" s="562">
        <v>1884632</v>
      </c>
      <c r="F575" s="562">
        <v>36967100</v>
      </c>
      <c r="G575" s="562">
        <f t="shared" si="11"/>
        <v>0</v>
      </c>
      <c r="H575" s="562">
        <v>2417148</v>
      </c>
      <c r="I575" s="562"/>
      <c r="J575" s="562"/>
    </row>
    <row r="576" spans="1:10" hidden="1" x14ac:dyDescent="0.25">
      <c r="A576" s="362">
        <v>10</v>
      </c>
      <c r="B576" s="364">
        <v>43999</v>
      </c>
      <c r="C576" s="362" t="s">
        <v>81</v>
      </c>
      <c r="D576" s="562">
        <v>86656626</v>
      </c>
      <c r="E576" s="562">
        <v>15877116</v>
      </c>
      <c r="F576" s="562">
        <v>102533800</v>
      </c>
      <c r="G576" s="562">
        <f t="shared" si="11"/>
        <v>-58</v>
      </c>
      <c r="H576" s="562">
        <v>16363074</v>
      </c>
      <c r="I576" s="562"/>
      <c r="J576" s="562"/>
    </row>
    <row r="577" spans="1:10" hidden="1" x14ac:dyDescent="0.25">
      <c r="A577" s="362">
        <v>11</v>
      </c>
      <c r="B577" s="364">
        <v>43999</v>
      </c>
      <c r="C577" s="362" t="s">
        <v>79</v>
      </c>
      <c r="D577" s="562">
        <v>81154250</v>
      </c>
      <c r="E577" s="562">
        <v>370602</v>
      </c>
      <c r="F577" s="562">
        <v>81524900</v>
      </c>
      <c r="G577" s="562">
        <f t="shared" si="11"/>
        <v>-48</v>
      </c>
      <c r="H577" s="562">
        <v>5633034</v>
      </c>
      <c r="I577" s="562"/>
      <c r="J577" s="562"/>
    </row>
    <row r="578" spans="1:10" hidden="1" x14ac:dyDescent="0.25">
      <c r="A578" s="362">
        <v>12</v>
      </c>
      <c r="B578" s="364">
        <v>43999</v>
      </c>
      <c r="C578" s="362" t="s">
        <v>82</v>
      </c>
      <c r="D578" s="562">
        <v>67387946</v>
      </c>
      <c r="E578" s="562">
        <v>913493</v>
      </c>
      <c r="F578" s="562">
        <v>68301500</v>
      </c>
      <c r="G578" s="562">
        <f t="shared" si="11"/>
        <v>-61</v>
      </c>
      <c r="H578" s="562">
        <v>8251766</v>
      </c>
      <c r="I578" s="562"/>
      <c r="J578" s="562"/>
    </row>
    <row r="579" spans="1:10" hidden="1" x14ac:dyDescent="0.25">
      <c r="A579" s="362">
        <v>13</v>
      </c>
      <c r="B579" s="364">
        <v>43999</v>
      </c>
      <c r="C579" s="362" t="s">
        <v>78</v>
      </c>
      <c r="D579" s="562">
        <v>133683572</v>
      </c>
      <c r="E579" s="562">
        <v>4494028</v>
      </c>
      <c r="F579" s="562">
        <v>138177600</v>
      </c>
      <c r="G579" s="562">
        <f t="shared" si="11"/>
        <v>0</v>
      </c>
      <c r="H579" s="562">
        <v>14695963</v>
      </c>
      <c r="I579" s="562"/>
      <c r="J579" s="562"/>
    </row>
    <row r="580" spans="1:10" hidden="1" x14ac:dyDescent="0.25">
      <c r="A580" s="362">
        <v>14</v>
      </c>
      <c r="B580" s="364">
        <v>43999</v>
      </c>
      <c r="C580" s="362" t="s">
        <v>166</v>
      </c>
      <c r="D580" s="562">
        <v>21239214</v>
      </c>
      <c r="E580" s="562"/>
      <c r="F580" s="562">
        <v>21239300</v>
      </c>
      <c r="G580" s="562">
        <f t="shared" si="11"/>
        <v>-86</v>
      </c>
      <c r="H580" s="562"/>
      <c r="I580" s="562"/>
      <c r="J580" s="562"/>
    </row>
    <row r="581" spans="1:10" hidden="1" x14ac:dyDescent="0.25">
      <c r="A581" s="362">
        <v>15</v>
      </c>
      <c r="B581" s="364">
        <v>43999</v>
      </c>
      <c r="C581" s="362" t="s">
        <v>3435</v>
      </c>
      <c r="D581" s="562"/>
      <c r="E581" s="562"/>
      <c r="F581" s="562">
        <v>130190500</v>
      </c>
      <c r="G581" s="562">
        <f t="shared" si="11"/>
        <v>-130190500</v>
      </c>
      <c r="H581" s="562"/>
      <c r="I581" s="562"/>
      <c r="J581" s="562"/>
    </row>
    <row r="582" spans="1:10" hidden="1" x14ac:dyDescent="0.25">
      <c r="A582" s="532"/>
      <c r="B582" s="591"/>
      <c r="C582" s="532"/>
      <c r="D582" s="564"/>
      <c r="E582" s="564"/>
      <c r="F582" s="564"/>
      <c r="G582" s="564">
        <f t="shared" si="11"/>
        <v>0</v>
      </c>
      <c r="H582" s="564"/>
      <c r="I582" s="564"/>
      <c r="J582" s="564"/>
    </row>
    <row r="583" spans="1:10" hidden="1" x14ac:dyDescent="0.25">
      <c r="A583" s="362">
        <v>1</v>
      </c>
      <c r="B583" s="364">
        <v>44000</v>
      </c>
      <c r="C583" s="362" t="s">
        <v>80</v>
      </c>
      <c r="D583" s="562">
        <v>184776675</v>
      </c>
      <c r="E583" s="562">
        <v>39627259</v>
      </c>
      <c r="F583" s="562">
        <v>224403800</v>
      </c>
      <c r="G583" s="562">
        <f t="shared" ref="G583:G646" si="13">D583+E583-F583</f>
        <v>134</v>
      </c>
      <c r="H583" s="562">
        <v>4613499</v>
      </c>
      <c r="I583" s="562">
        <v>4613499</v>
      </c>
      <c r="J583" s="562">
        <f>H583-I583</f>
        <v>0</v>
      </c>
    </row>
    <row r="584" spans="1:10" hidden="1" x14ac:dyDescent="0.25">
      <c r="A584" s="362">
        <v>2</v>
      </c>
      <c r="B584" s="364">
        <v>44000</v>
      </c>
      <c r="C584" s="362" t="s">
        <v>83</v>
      </c>
      <c r="D584" s="562">
        <v>242620593</v>
      </c>
      <c r="E584" s="562">
        <v>5867371</v>
      </c>
      <c r="F584" s="562">
        <v>248488000</v>
      </c>
      <c r="G584" s="562">
        <f t="shared" si="13"/>
        <v>-36</v>
      </c>
      <c r="H584" s="562">
        <v>3314090</v>
      </c>
      <c r="I584" s="562">
        <v>4116340</v>
      </c>
      <c r="J584" s="562">
        <f t="shared" ref="J584:J613" si="14">H584-I584</f>
        <v>-802250</v>
      </c>
    </row>
    <row r="585" spans="1:10" hidden="1" x14ac:dyDescent="0.25">
      <c r="A585" s="362">
        <v>3</v>
      </c>
      <c r="B585" s="364">
        <v>44000</v>
      </c>
      <c r="C585" s="362" t="s">
        <v>88</v>
      </c>
      <c r="D585" s="562">
        <v>166413544</v>
      </c>
      <c r="E585" s="562">
        <v>23448859</v>
      </c>
      <c r="F585" s="562">
        <v>189862500</v>
      </c>
      <c r="G585" s="562">
        <f t="shared" si="13"/>
        <v>-97</v>
      </c>
      <c r="H585" s="562">
        <v>8247727</v>
      </c>
      <c r="I585" s="562">
        <v>8247727</v>
      </c>
      <c r="J585" s="562">
        <f t="shared" si="14"/>
        <v>0</v>
      </c>
    </row>
    <row r="586" spans="1:10" hidden="1" x14ac:dyDescent="0.25">
      <c r="A586" s="362">
        <v>4</v>
      </c>
      <c r="B586" s="364">
        <v>44000</v>
      </c>
      <c r="C586" s="362" t="s">
        <v>146</v>
      </c>
      <c r="D586" s="562">
        <v>82665900</v>
      </c>
      <c r="E586" s="562">
        <v>67859476</v>
      </c>
      <c r="F586" s="562">
        <v>150525400</v>
      </c>
      <c r="G586" s="562">
        <f t="shared" si="13"/>
        <v>-24</v>
      </c>
      <c r="H586" s="562">
        <v>10462283</v>
      </c>
      <c r="I586" s="562"/>
      <c r="J586" s="562">
        <f t="shared" si="14"/>
        <v>10462283</v>
      </c>
    </row>
    <row r="587" spans="1:10" hidden="1" x14ac:dyDescent="0.25">
      <c r="A587" s="362">
        <v>5</v>
      </c>
      <c r="B587" s="364">
        <v>44000</v>
      </c>
      <c r="C587" s="362" t="s">
        <v>86</v>
      </c>
      <c r="D587" s="562">
        <v>86776282</v>
      </c>
      <c r="E587" s="562">
        <v>46021704</v>
      </c>
      <c r="F587" s="562">
        <v>132797900</v>
      </c>
      <c r="G587" s="562">
        <f t="shared" si="13"/>
        <v>86</v>
      </c>
      <c r="H587" s="562">
        <v>1702380</v>
      </c>
      <c r="I587" s="562"/>
      <c r="J587" s="562">
        <f t="shared" si="14"/>
        <v>1702380</v>
      </c>
    </row>
    <row r="588" spans="1:10" hidden="1" x14ac:dyDescent="0.25">
      <c r="A588" s="362">
        <v>6</v>
      </c>
      <c r="B588" s="364">
        <v>44000</v>
      </c>
      <c r="C588" s="362" t="s">
        <v>89</v>
      </c>
      <c r="D588" s="562">
        <v>242290659</v>
      </c>
      <c r="E588" s="562">
        <v>4460541</v>
      </c>
      <c r="F588" s="562">
        <v>246751200</v>
      </c>
      <c r="G588" s="562">
        <f t="shared" si="13"/>
        <v>0</v>
      </c>
      <c r="H588" s="562">
        <v>7691033</v>
      </c>
      <c r="I588" s="562">
        <v>7691033</v>
      </c>
      <c r="J588" s="562">
        <f t="shared" si="14"/>
        <v>0</v>
      </c>
    </row>
    <row r="589" spans="1:10" hidden="1" x14ac:dyDescent="0.25">
      <c r="A589" s="362">
        <v>7</v>
      </c>
      <c r="B589" s="364">
        <v>44000</v>
      </c>
      <c r="C589" s="362" t="s">
        <v>4751</v>
      </c>
      <c r="D589" s="562">
        <v>228006442</v>
      </c>
      <c r="E589" s="562">
        <v>9321058</v>
      </c>
      <c r="F589" s="562">
        <v>237327500</v>
      </c>
      <c r="G589" s="562">
        <f t="shared" si="13"/>
        <v>0</v>
      </c>
      <c r="H589" s="562">
        <v>11292788</v>
      </c>
      <c r="I589" s="562"/>
      <c r="J589" s="562">
        <f t="shared" si="14"/>
        <v>11292788</v>
      </c>
    </row>
    <row r="590" spans="1:10" hidden="1" x14ac:dyDescent="0.25">
      <c r="A590" s="362">
        <v>8</v>
      </c>
      <c r="B590" s="364">
        <v>44000</v>
      </c>
      <c r="C590" s="362" t="s">
        <v>84</v>
      </c>
      <c r="D590" s="562">
        <v>224180392</v>
      </c>
      <c r="E590" s="562">
        <v>18938567</v>
      </c>
      <c r="F590" s="562">
        <v>243118500</v>
      </c>
      <c r="G590" s="562">
        <f t="shared" si="13"/>
        <v>459</v>
      </c>
      <c r="H590" s="562">
        <v>4369675</v>
      </c>
      <c r="I590" s="562">
        <v>4369675</v>
      </c>
      <c r="J590" s="562">
        <f t="shared" si="14"/>
        <v>0</v>
      </c>
    </row>
    <row r="591" spans="1:10" hidden="1" x14ac:dyDescent="0.25">
      <c r="A591" s="362">
        <v>9</v>
      </c>
      <c r="B591" s="364">
        <v>44000</v>
      </c>
      <c r="C591" s="362" t="s">
        <v>85</v>
      </c>
      <c r="D591" s="562">
        <v>38584189</v>
      </c>
      <c r="E591" s="562">
        <v>2292111</v>
      </c>
      <c r="F591" s="562">
        <v>40876300</v>
      </c>
      <c r="G591" s="562">
        <f t="shared" si="13"/>
        <v>0</v>
      </c>
      <c r="H591" s="562">
        <v>2485768</v>
      </c>
      <c r="I591" s="562">
        <v>2485768</v>
      </c>
      <c r="J591" s="562">
        <f t="shared" si="14"/>
        <v>0</v>
      </c>
    </row>
    <row r="592" spans="1:10" hidden="1" x14ac:dyDescent="0.25">
      <c r="A592" s="362">
        <v>10</v>
      </c>
      <c r="B592" s="364">
        <v>44000</v>
      </c>
      <c r="C592" s="362" t="s">
        <v>81</v>
      </c>
      <c r="D592" s="562">
        <v>96226463</v>
      </c>
      <c r="E592" s="562">
        <v>18391212</v>
      </c>
      <c r="F592" s="562">
        <v>114617700</v>
      </c>
      <c r="G592" s="562">
        <f t="shared" si="13"/>
        <v>-25</v>
      </c>
      <c r="H592" s="562">
        <v>7957783</v>
      </c>
      <c r="I592" s="562"/>
      <c r="J592" s="562">
        <f t="shared" si="14"/>
        <v>7957783</v>
      </c>
    </row>
    <row r="593" spans="1:10" hidden="1" x14ac:dyDescent="0.25">
      <c r="A593" s="362">
        <v>11</v>
      </c>
      <c r="B593" s="364">
        <v>44000</v>
      </c>
      <c r="C593" s="362" t="s">
        <v>79</v>
      </c>
      <c r="D593" s="562">
        <v>45657722</v>
      </c>
      <c r="E593" s="562">
        <v>11075595</v>
      </c>
      <c r="F593" s="562">
        <v>56733400</v>
      </c>
      <c r="G593" s="562">
        <f t="shared" si="13"/>
        <v>-83</v>
      </c>
      <c r="H593" s="562">
        <v>4411784</v>
      </c>
      <c r="I593" s="562">
        <v>4411784</v>
      </c>
      <c r="J593" s="562">
        <f t="shared" si="14"/>
        <v>0</v>
      </c>
    </row>
    <row r="594" spans="1:10" hidden="1" x14ac:dyDescent="0.25">
      <c r="A594" s="362">
        <v>12</v>
      </c>
      <c r="B594" s="364">
        <v>44000</v>
      </c>
      <c r="C594" s="362" t="s">
        <v>82</v>
      </c>
      <c r="D594" s="562">
        <v>246503862</v>
      </c>
      <c r="E594" s="562">
        <v>4998380</v>
      </c>
      <c r="F594" s="562">
        <v>251502200</v>
      </c>
      <c r="G594" s="562">
        <f t="shared" si="13"/>
        <v>42</v>
      </c>
      <c r="H594" s="562">
        <v>5264366</v>
      </c>
      <c r="I594" s="562">
        <v>5264366</v>
      </c>
      <c r="J594" s="562">
        <f t="shared" si="14"/>
        <v>0</v>
      </c>
    </row>
    <row r="595" spans="1:10" hidden="1" x14ac:dyDescent="0.25">
      <c r="A595" s="362">
        <v>13</v>
      </c>
      <c r="B595" s="364">
        <v>44000</v>
      </c>
      <c r="C595" s="362" t="s">
        <v>78</v>
      </c>
      <c r="D595" s="562">
        <v>59493772</v>
      </c>
      <c r="E595" s="562">
        <v>7781128</v>
      </c>
      <c r="F595" s="562">
        <v>67274900</v>
      </c>
      <c r="G595" s="562">
        <f t="shared" si="13"/>
        <v>0</v>
      </c>
      <c r="H595" s="562">
        <v>11714663</v>
      </c>
      <c r="I595" s="562">
        <v>11714663</v>
      </c>
      <c r="J595" s="562">
        <f t="shared" si="14"/>
        <v>0</v>
      </c>
    </row>
    <row r="596" spans="1:10" hidden="1" x14ac:dyDescent="0.25">
      <c r="A596" s="362">
        <v>14</v>
      </c>
      <c r="B596" s="364">
        <v>44000</v>
      </c>
      <c r="C596" s="362" t="s">
        <v>166</v>
      </c>
      <c r="D596" s="562">
        <v>74224101</v>
      </c>
      <c r="E596" s="562"/>
      <c r="F596" s="562">
        <v>74224100</v>
      </c>
      <c r="G596" s="562">
        <f t="shared" si="13"/>
        <v>1</v>
      </c>
      <c r="H596" s="562"/>
      <c r="I596" s="562"/>
      <c r="J596" s="562">
        <f t="shared" si="14"/>
        <v>0</v>
      </c>
    </row>
    <row r="597" spans="1:10" hidden="1" x14ac:dyDescent="0.25">
      <c r="A597" s="362">
        <v>15</v>
      </c>
      <c r="B597" s="364">
        <v>44000</v>
      </c>
      <c r="C597" s="362" t="s">
        <v>3435</v>
      </c>
      <c r="D597" s="562"/>
      <c r="E597" s="562"/>
      <c r="F597" s="562">
        <v>52211800</v>
      </c>
      <c r="G597" s="562">
        <f t="shared" si="13"/>
        <v>-52211800</v>
      </c>
      <c r="H597" s="562"/>
      <c r="I597" s="562"/>
      <c r="J597" s="562">
        <f t="shared" si="14"/>
        <v>0</v>
      </c>
    </row>
    <row r="598" spans="1:10" hidden="1" x14ac:dyDescent="0.25">
      <c r="A598" s="532"/>
      <c r="B598" s="532"/>
      <c r="C598" s="532"/>
      <c r="D598" s="532"/>
      <c r="E598" s="532"/>
      <c r="F598" s="532"/>
      <c r="G598" s="564">
        <f t="shared" si="13"/>
        <v>0</v>
      </c>
      <c r="H598" s="532"/>
      <c r="I598" s="532"/>
      <c r="J598" s="564">
        <f t="shared" si="14"/>
        <v>0</v>
      </c>
    </row>
    <row r="599" spans="1:10" hidden="1" x14ac:dyDescent="0.25">
      <c r="A599" s="362">
        <v>1</v>
      </c>
      <c r="B599" s="364">
        <v>44001</v>
      </c>
      <c r="C599" s="362" t="s">
        <v>80</v>
      </c>
      <c r="D599" s="562">
        <v>200735922</v>
      </c>
      <c r="E599" s="562">
        <v>1525692</v>
      </c>
      <c r="F599" s="562">
        <v>202261600</v>
      </c>
      <c r="G599" s="562">
        <f t="shared" si="13"/>
        <v>14</v>
      </c>
      <c r="H599" s="562">
        <v>4613499</v>
      </c>
      <c r="I599" s="562"/>
      <c r="J599" s="562">
        <f t="shared" si="14"/>
        <v>4613499</v>
      </c>
    </row>
    <row r="600" spans="1:10" hidden="1" x14ac:dyDescent="0.25">
      <c r="A600" s="362">
        <v>2</v>
      </c>
      <c r="B600" s="364">
        <v>44001</v>
      </c>
      <c r="C600" s="362" t="s">
        <v>83</v>
      </c>
      <c r="D600" s="562">
        <v>238489634</v>
      </c>
      <c r="E600" s="562">
        <v>9465255</v>
      </c>
      <c r="F600" s="562">
        <v>247954900</v>
      </c>
      <c r="G600" s="562">
        <f t="shared" si="13"/>
        <v>-11</v>
      </c>
      <c r="H600" s="562">
        <v>1199365</v>
      </c>
      <c r="I600" s="562"/>
      <c r="J600" s="562">
        <f t="shared" si="14"/>
        <v>1199365</v>
      </c>
    </row>
    <row r="601" spans="1:10" hidden="1" x14ac:dyDescent="0.25">
      <c r="A601" s="362">
        <v>3</v>
      </c>
      <c r="B601" s="364">
        <v>44001</v>
      </c>
      <c r="C601" s="362" t="s">
        <v>88</v>
      </c>
      <c r="D601" s="562">
        <v>148156119</v>
      </c>
      <c r="E601" s="562">
        <v>121338995</v>
      </c>
      <c r="F601" s="562">
        <v>269495200</v>
      </c>
      <c r="G601" s="562">
        <f t="shared" si="13"/>
        <v>-86</v>
      </c>
      <c r="H601" s="562">
        <v>8247727</v>
      </c>
      <c r="I601" s="562"/>
      <c r="J601" s="562">
        <f t="shared" si="14"/>
        <v>8247727</v>
      </c>
    </row>
    <row r="602" spans="1:10" hidden="1" x14ac:dyDescent="0.25">
      <c r="A602" s="362">
        <v>4</v>
      </c>
      <c r="B602" s="364">
        <v>44001</v>
      </c>
      <c r="C602" s="362" t="s">
        <v>146</v>
      </c>
      <c r="D602" s="562">
        <v>118792278</v>
      </c>
      <c r="E602" s="562">
        <v>115486727</v>
      </c>
      <c r="F602" s="562">
        <v>234278600</v>
      </c>
      <c r="G602" s="562">
        <f t="shared" si="13"/>
        <v>405</v>
      </c>
      <c r="H602" s="562">
        <v>4569051</v>
      </c>
      <c r="I602" s="562">
        <v>4569051</v>
      </c>
      <c r="J602" s="562">
        <f t="shared" si="14"/>
        <v>0</v>
      </c>
    </row>
    <row r="603" spans="1:10" hidden="1" x14ac:dyDescent="0.25">
      <c r="A603" s="362">
        <v>5</v>
      </c>
      <c r="B603" s="364">
        <v>44001</v>
      </c>
      <c r="C603" s="362" t="s">
        <v>86</v>
      </c>
      <c r="D603" s="562">
        <v>73764709</v>
      </c>
      <c r="E603" s="562">
        <v>134201678</v>
      </c>
      <c r="F603" s="562">
        <v>207966400</v>
      </c>
      <c r="G603" s="562">
        <f t="shared" si="13"/>
        <v>-13</v>
      </c>
      <c r="H603" s="562">
        <v>1702380</v>
      </c>
      <c r="I603" s="562">
        <v>1702380</v>
      </c>
      <c r="J603" s="562">
        <f t="shared" si="14"/>
        <v>0</v>
      </c>
    </row>
    <row r="604" spans="1:10" hidden="1" x14ac:dyDescent="0.25">
      <c r="A604" s="362">
        <v>6</v>
      </c>
      <c r="B604" s="364">
        <v>44001</v>
      </c>
      <c r="C604" s="362" t="s">
        <v>89</v>
      </c>
      <c r="D604" s="562">
        <v>142837080</v>
      </c>
      <c r="E604" s="562">
        <v>12918520</v>
      </c>
      <c r="F604" s="562">
        <v>155755600</v>
      </c>
      <c r="G604" s="562">
        <f t="shared" si="13"/>
        <v>0</v>
      </c>
      <c r="H604" s="562">
        <v>7563255</v>
      </c>
      <c r="I604" s="562"/>
      <c r="J604" s="562">
        <f t="shared" si="14"/>
        <v>7563255</v>
      </c>
    </row>
    <row r="605" spans="1:10" hidden="1" x14ac:dyDescent="0.25">
      <c r="A605" s="362">
        <v>7</v>
      </c>
      <c r="B605" s="364">
        <v>44001</v>
      </c>
      <c r="C605" s="362" t="s">
        <v>4751</v>
      </c>
      <c r="D605" s="562">
        <v>142562754</v>
      </c>
      <c r="E605" s="562">
        <v>8317246</v>
      </c>
      <c r="F605" s="562">
        <v>150880000</v>
      </c>
      <c r="G605" s="562">
        <f t="shared" si="13"/>
        <v>0</v>
      </c>
      <c r="H605" s="562">
        <v>10659838</v>
      </c>
      <c r="I605" s="562">
        <v>11292788</v>
      </c>
      <c r="J605" s="562">
        <f t="shared" si="14"/>
        <v>-632950</v>
      </c>
    </row>
    <row r="606" spans="1:10" hidden="1" x14ac:dyDescent="0.25">
      <c r="A606" s="362">
        <v>8</v>
      </c>
      <c r="B606" s="364">
        <v>44001</v>
      </c>
      <c r="C606" s="362" t="s">
        <v>84</v>
      </c>
      <c r="D606" s="562">
        <v>179853273</v>
      </c>
      <c r="E606" s="562">
        <v>28421209</v>
      </c>
      <c r="F606" s="562">
        <v>208274400</v>
      </c>
      <c r="G606" s="562">
        <f t="shared" si="13"/>
        <v>82</v>
      </c>
      <c r="H606" s="562">
        <v>4369675</v>
      </c>
      <c r="I606" s="562"/>
      <c r="J606" s="562">
        <f t="shared" si="14"/>
        <v>4369675</v>
      </c>
    </row>
    <row r="607" spans="1:10" hidden="1" x14ac:dyDescent="0.25">
      <c r="A607" s="362">
        <v>9</v>
      </c>
      <c r="B607" s="364">
        <v>44001</v>
      </c>
      <c r="C607" s="362" t="s">
        <v>85</v>
      </c>
      <c r="D607" s="562">
        <v>27113871</v>
      </c>
      <c r="E607" s="562">
        <v>967729</v>
      </c>
      <c r="F607" s="562">
        <v>28081600</v>
      </c>
      <c r="G607" s="562">
        <f t="shared" si="13"/>
        <v>0</v>
      </c>
      <c r="H607" s="562">
        <v>2485768</v>
      </c>
      <c r="I607" s="562"/>
      <c r="J607" s="562">
        <f t="shared" si="14"/>
        <v>2485768</v>
      </c>
    </row>
    <row r="608" spans="1:10" hidden="1" x14ac:dyDescent="0.25">
      <c r="A608" s="362">
        <v>10</v>
      </c>
      <c r="B608" s="364">
        <v>44001</v>
      </c>
      <c r="C608" s="362" t="s">
        <v>81</v>
      </c>
      <c r="D608" s="562">
        <v>105705681</v>
      </c>
      <c r="E608" s="562">
        <v>20941911</v>
      </c>
      <c r="F608" s="562">
        <v>126647600</v>
      </c>
      <c r="G608" s="562">
        <f t="shared" si="13"/>
        <v>-8</v>
      </c>
      <c r="H608" s="562">
        <v>4545933</v>
      </c>
      <c r="I608" s="562">
        <v>4545933</v>
      </c>
      <c r="J608" s="562">
        <f t="shared" si="14"/>
        <v>0</v>
      </c>
    </row>
    <row r="609" spans="1:10" hidden="1" x14ac:dyDescent="0.25">
      <c r="A609" s="362">
        <v>11</v>
      </c>
      <c r="B609" s="364">
        <v>44001</v>
      </c>
      <c r="C609" s="362" t="s">
        <v>79</v>
      </c>
      <c r="D609" s="562">
        <v>52161106</v>
      </c>
      <c r="E609" s="562">
        <v>506929</v>
      </c>
      <c r="F609" s="562">
        <v>52687900</v>
      </c>
      <c r="G609" s="562">
        <f t="shared" si="13"/>
        <v>-19865</v>
      </c>
      <c r="H609" s="562">
        <v>4405784</v>
      </c>
      <c r="I609" s="562"/>
      <c r="J609" s="562">
        <f t="shared" si="14"/>
        <v>4405784</v>
      </c>
    </row>
    <row r="610" spans="1:10" hidden="1" x14ac:dyDescent="0.25">
      <c r="A610" s="362">
        <v>12</v>
      </c>
      <c r="B610" s="364">
        <v>44001</v>
      </c>
      <c r="C610" s="362" t="s">
        <v>82</v>
      </c>
      <c r="D610" s="562">
        <v>66062110</v>
      </c>
      <c r="E610" s="562">
        <v>6294624</v>
      </c>
      <c r="F610" s="562">
        <v>72356800</v>
      </c>
      <c r="G610" s="562">
        <f t="shared" si="13"/>
        <v>-66</v>
      </c>
      <c r="H610" s="562">
        <v>5085466</v>
      </c>
      <c r="I610" s="562"/>
      <c r="J610" s="562">
        <f t="shared" si="14"/>
        <v>5085466</v>
      </c>
    </row>
    <row r="611" spans="1:10" hidden="1" x14ac:dyDescent="0.25">
      <c r="A611" s="362">
        <v>13</v>
      </c>
      <c r="B611" s="364">
        <v>44001</v>
      </c>
      <c r="C611" s="362" t="s">
        <v>78</v>
      </c>
      <c r="D611" s="562">
        <v>43077892</v>
      </c>
      <c r="E611" s="562">
        <v>1920808</v>
      </c>
      <c r="F611" s="562">
        <v>44998700</v>
      </c>
      <c r="G611" s="562">
        <f t="shared" si="13"/>
        <v>0</v>
      </c>
      <c r="H611" s="562">
        <v>11218104</v>
      </c>
      <c r="I611" s="562"/>
      <c r="J611" s="562">
        <f t="shared" si="14"/>
        <v>11218104</v>
      </c>
    </row>
    <row r="612" spans="1:10" hidden="1" x14ac:dyDescent="0.25">
      <c r="A612" s="362">
        <v>14</v>
      </c>
      <c r="B612" s="364">
        <v>44001</v>
      </c>
      <c r="C612" s="362" t="s">
        <v>166</v>
      </c>
      <c r="D612" s="562">
        <v>50307421</v>
      </c>
      <c r="E612" s="562"/>
      <c r="F612" s="562">
        <v>50307500</v>
      </c>
      <c r="G612" s="562">
        <f t="shared" si="13"/>
        <v>-79</v>
      </c>
      <c r="H612" s="562"/>
      <c r="I612" s="562"/>
      <c r="J612" s="562">
        <f t="shared" si="14"/>
        <v>0</v>
      </c>
    </row>
    <row r="613" spans="1:10" hidden="1" x14ac:dyDescent="0.25">
      <c r="A613" s="362">
        <v>15</v>
      </c>
      <c r="B613" s="364">
        <v>44001</v>
      </c>
      <c r="C613" s="362" t="s">
        <v>3435</v>
      </c>
      <c r="D613" s="562"/>
      <c r="E613" s="562"/>
      <c r="F613" s="562">
        <v>17683400</v>
      </c>
      <c r="G613" s="562">
        <f t="shared" si="13"/>
        <v>-17683400</v>
      </c>
      <c r="H613" s="562"/>
      <c r="I613" s="562"/>
      <c r="J613" s="562">
        <f t="shared" si="14"/>
        <v>0</v>
      </c>
    </row>
    <row r="614" spans="1:10" hidden="1" x14ac:dyDescent="0.25">
      <c r="A614" s="532"/>
      <c r="B614" s="591"/>
      <c r="C614" s="532"/>
      <c r="D614" s="564"/>
      <c r="E614" s="564"/>
      <c r="F614" s="564"/>
      <c r="G614" s="562">
        <f t="shared" si="13"/>
        <v>0</v>
      </c>
      <c r="H614" s="564"/>
      <c r="I614" s="564"/>
      <c r="J614" s="564"/>
    </row>
    <row r="615" spans="1:10" hidden="1" x14ac:dyDescent="0.25">
      <c r="A615" s="362">
        <v>1</v>
      </c>
      <c r="B615" s="364">
        <v>44002</v>
      </c>
      <c r="C615" s="362" t="s">
        <v>80</v>
      </c>
      <c r="D615" s="562">
        <v>205613519</v>
      </c>
      <c r="E615" s="562">
        <v>6253253</v>
      </c>
      <c r="F615" s="562">
        <v>211866800</v>
      </c>
      <c r="G615" s="562">
        <f t="shared" si="13"/>
        <v>-28</v>
      </c>
      <c r="H615" s="562">
        <v>4613499</v>
      </c>
      <c r="I615" s="562"/>
      <c r="J615" s="562"/>
    </row>
    <row r="616" spans="1:10" hidden="1" x14ac:dyDescent="0.25">
      <c r="A616" s="362">
        <v>2</v>
      </c>
      <c r="B616" s="364">
        <v>44002</v>
      </c>
      <c r="C616" s="362" t="s">
        <v>83</v>
      </c>
      <c r="D616" s="562">
        <v>199115255</v>
      </c>
      <c r="E616" s="562">
        <v>49007179</v>
      </c>
      <c r="F616" s="562">
        <v>248122500</v>
      </c>
      <c r="G616" s="562">
        <f t="shared" si="13"/>
        <v>-66</v>
      </c>
      <c r="H616" s="562">
        <v>712365</v>
      </c>
      <c r="I616" s="562"/>
      <c r="J616" s="562"/>
    </row>
    <row r="617" spans="1:10" hidden="1" x14ac:dyDescent="0.25">
      <c r="A617" s="362">
        <v>3</v>
      </c>
      <c r="B617" s="364">
        <v>44002</v>
      </c>
      <c r="C617" s="362" t="s">
        <v>88</v>
      </c>
      <c r="D617" s="562">
        <v>153588908</v>
      </c>
      <c r="E617" s="562">
        <v>61530639</v>
      </c>
      <c r="F617" s="562">
        <v>215119600</v>
      </c>
      <c r="G617" s="562">
        <f t="shared" si="13"/>
        <v>-53</v>
      </c>
      <c r="H617" s="562">
        <v>8247727</v>
      </c>
      <c r="I617" s="562"/>
      <c r="J617" s="562"/>
    </row>
    <row r="618" spans="1:10" hidden="1" x14ac:dyDescent="0.25">
      <c r="A618" s="362">
        <v>4</v>
      </c>
      <c r="B618" s="364">
        <v>44002</v>
      </c>
      <c r="C618" s="362" t="s">
        <v>146</v>
      </c>
      <c r="D618" s="562">
        <v>69414108</v>
      </c>
      <c r="E618" s="562">
        <v>46052167</v>
      </c>
      <c r="F618" s="562">
        <v>115466400</v>
      </c>
      <c r="G618" s="562">
        <f t="shared" si="13"/>
        <v>-125</v>
      </c>
      <c r="H618" s="562">
        <v>569051</v>
      </c>
      <c r="I618" s="562"/>
      <c r="J618" s="562"/>
    </row>
    <row r="619" spans="1:10" hidden="1" x14ac:dyDescent="0.25">
      <c r="A619" s="362">
        <v>5</v>
      </c>
      <c r="B619" s="364">
        <v>44002</v>
      </c>
      <c r="C619" s="362" t="s">
        <v>86</v>
      </c>
      <c r="D619" s="562">
        <v>48862857</v>
      </c>
      <c r="E619" s="562">
        <v>47839944</v>
      </c>
      <c r="F619" s="562">
        <v>96702800</v>
      </c>
      <c r="G619" s="562">
        <f t="shared" si="13"/>
        <v>1</v>
      </c>
      <c r="H619" s="562">
        <v>1702380</v>
      </c>
      <c r="I619" s="562"/>
      <c r="J619" s="562"/>
    </row>
    <row r="620" spans="1:10" hidden="1" x14ac:dyDescent="0.25">
      <c r="A620" s="362">
        <v>6</v>
      </c>
      <c r="B620" s="364">
        <v>44002</v>
      </c>
      <c r="C620" s="362" t="s">
        <v>89</v>
      </c>
      <c r="D620" s="562">
        <v>130308860</v>
      </c>
      <c r="E620" s="562">
        <v>4663540</v>
      </c>
      <c r="F620" s="562">
        <v>134972400</v>
      </c>
      <c r="G620" s="562">
        <f t="shared" si="13"/>
        <v>0</v>
      </c>
      <c r="H620" s="562">
        <v>6717200</v>
      </c>
      <c r="I620" s="562"/>
      <c r="J620" s="562"/>
    </row>
    <row r="621" spans="1:10" hidden="1" x14ac:dyDescent="0.25">
      <c r="A621" s="362">
        <v>7</v>
      </c>
      <c r="B621" s="364">
        <v>44002</v>
      </c>
      <c r="C621" s="362" t="s">
        <v>4751</v>
      </c>
      <c r="D621" s="562">
        <v>288480909</v>
      </c>
      <c r="E621" s="562">
        <v>11072591</v>
      </c>
      <c r="F621" s="562">
        <v>299553500</v>
      </c>
      <c r="G621" s="562">
        <f t="shared" si="13"/>
        <v>0</v>
      </c>
      <c r="H621" s="562">
        <v>10659838</v>
      </c>
      <c r="I621" s="562"/>
      <c r="J621" s="562"/>
    </row>
    <row r="622" spans="1:10" hidden="1" x14ac:dyDescent="0.25">
      <c r="A622" s="362">
        <v>8</v>
      </c>
      <c r="B622" s="364">
        <v>44002</v>
      </c>
      <c r="C622" s="362" t="s">
        <v>84</v>
      </c>
      <c r="D622" s="562">
        <v>249806052</v>
      </c>
      <c r="E622" s="562">
        <v>14816052</v>
      </c>
      <c r="F622" s="562">
        <v>264622100</v>
      </c>
      <c r="G622" s="562">
        <f t="shared" si="13"/>
        <v>4</v>
      </c>
      <c r="H622" s="562">
        <v>4369675</v>
      </c>
      <c r="I622" s="562"/>
      <c r="J622" s="562"/>
    </row>
    <row r="623" spans="1:10" hidden="1" x14ac:dyDescent="0.25">
      <c r="A623" s="362">
        <v>9</v>
      </c>
      <c r="B623" s="364">
        <v>44002</v>
      </c>
      <c r="C623" s="362" t="s">
        <v>85</v>
      </c>
      <c r="D623" s="562">
        <v>23746518</v>
      </c>
      <c r="E623" s="562">
        <v>1546782</v>
      </c>
      <c r="F623" s="562">
        <v>25293300</v>
      </c>
      <c r="G623" s="562">
        <f t="shared" si="13"/>
        <v>0</v>
      </c>
      <c r="H623" s="562">
        <v>2485768</v>
      </c>
      <c r="I623" s="562"/>
      <c r="J623" s="562"/>
    </row>
    <row r="624" spans="1:10" hidden="1" x14ac:dyDescent="0.25">
      <c r="A624" s="362">
        <v>10</v>
      </c>
      <c r="B624" s="364">
        <v>44002</v>
      </c>
      <c r="C624" s="362" t="s">
        <v>81</v>
      </c>
      <c r="D624" s="562">
        <v>106336206</v>
      </c>
      <c r="E624" s="562">
        <v>16165377</v>
      </c>
      <c r="F624" s="562">
        <v>121701400</v>
      </c>
      <c r="G624" s="562">
        <f t="shared" si="13"/>
        <v>800183</v>
      </c>
      <c r="H624" s="562">
        <v>4545933</v>
      </c>
      <c r="I624" s="562"/>
      <c r="J624" s="562"/>
    </row>
    <row r="625" spans="1:10" hidden="1" x14ac:dyDescent="0.25">
      <c r="A625" s="362">
        <v>11</v>
      </c>
      <c r="B625" s="364">
        <v>44002</v>
      </c>
      <c r="C625" s="362" t="s">
        <v>79</v>
      </c>
      <c r="D625" s="562">
        <v>44271586</v>
      </c>
      <c r="E625" s="562">
        <v>3440470</v>
      </c>
      <c r="F625" s="562">
        <v>47712100</v>
      </c>
      <c r="G625" s="562">
        <f t="shared" si="13"/>
        <v>-44</v>
      </c>
      <c r="H625" s="562">
        <v>3706514</v>
      </c>
      <c r="I625" s="562"/>
      <c r="J625" s="562"/>
    </row>
    <row r="626" spans="1:10" hidden="1" x14ac:dyDescent="0.25">
      <c r="A626" s="362">
        <v>12</v>
      </c>
      <c r="B626" s="364">
        <v>44002</v>
      </c>
      <c r="C626" s="362" t="s">
        <v>82</v>
      </c>
      <c r="D626" s="562">
        <v>19978896</v>
      </c>
      <c r="E626" s="562">
        <v>2131800</v>
      </c>
      <c r="F626" s="562">
        <v>22110700</v>
      </c>
      <c r="G626" s="562">
        <f t="shared" si="13"/>
        <v>-4</v>
      </c>
      <c r="H626" s="562">
        <v>5085466</v>
      </c>
      <c r="I626" s="562"/>
      <c r="J626" s="562"/>
    </row>
    <row r="627" spans="1:10" hidden="1" x14ac:dyDescent="0.25">
      <c r="A627" s="362">
        <v>13</v>
      </c>
      <c r="B627" s="364">
        <v>44002</v>
      </c>
      <c r="C627" s="362" t="s">
        <v>78</v>
      </c>
      <c r="D627" s="562">
        <v>87648429</v>
      </c>
      <c r="E627" s="562">
        <v>1355771</v>
      </c>
      <c r="F627" s="562">
        <v>89004200</v>
      </c>
      <c r="G627" s="562">
        <f t="shared" si="13"/>
        <v>0</v>
      </c>
      <c r="H627" s="562">
        <v>9851280</v>
      </c>
      <c r="I627" s="562"/>
      <c r="J627" s="562"/>
    </row>
    <row r="628" spans="1:10" hidden="1" x14ac:dyDescent="0.25">
      <c r="A628" s="362">
        <v>14</v>
      </c>
      <c r="B628" s="364">
        <v>44002</v>
      </c>
      <c r="C628" s="362" t="s">
        <v>166</v>
      </c>
      <c r="D628" s="562"/>
      <c r="E628" s="562"/>
      <c r="F628" s="562"/>
      <c r="G628" s="562">
        <f t="shared" si="13"/>
        <v>0</v>
      </c>
      <c r="H628" s="562"/>
      <c r="I628" s="562"/>
      <c r="J628" s="562"/>
    </row>
    <row r="629" spans="1:10" hidden="1" x14ac:dyDescent="0.25">
      <c r="A629" s="362">
        <v>15</v>
      </c>
      <c r="B629" s="364">
        <v>44002</v>
      </c>
      <c r="C629" s="362" t="s">
        <v>3435</v>
      </c>
      <c r="D629" s="562"/>
      <c r="E629" s="562"/>
      <c r="F629" s="562"/>
      <c r="G629" s="562">
        <f t="shared" si="13"/>
        <v>0</v>
      </c>
      <c r="H629" s="562"/>
      <c r="I629" s="562"/>
      <c r="J629" s="562"/>
    </row>
    <row r="630" spans="1:10" hidden="1" x14ac:dyDescent="0.25">
      <c r="A630" s="532"/>
      <c r="B630" s="591"/>
      <c r="C630" s="532"/>
      <c r="D630" s="564"/>
      <c r="E630" s="564"/>
      <c r="F630" s="564"/>
      <c r="G630" s="564">
        <f t="shared" si="13"/>
        <v>0</v>
      </c>
      <c r="H630" s="564"/>
      <c r="I630" s="564"/>
      <c r="J630" s="564"/>
    </row>
    <row r="631" spans="1:10" hidden="1" x14ac:dyDescent="0.25">
      <c r="A631" s="362">
        <v>1</v>
      </c>
      <c r="B631" s="364">
        <v>44004</v>
      </c>
      <c r="C631" s="362" t="s">
        <v>80</v>
      </c>
      <c r="D631" s="562">
        <v>193372823</v>
      </c>
      <c r="E631" s="562">
        <v>1753020</v>
      </c>
      <c r="F631" s="562">
        <v>195128900</v>
      </c>
      <c r="G631" s="562">
        <f t="shared" si="13"/>
        <v>-3057</v>
      </c>
      <c r="H631" s="562">
        <v>38000000</v>
      </c>
      <c r="I631" s="562"/>
      <c r="J631" s="562"/>
    </row>
    <row r="632" spans="1:10" hidden="1" x14ac:dyDescent="0.25">
      <c r="A632" s="362">
        <v>2</v>
      </c>
      <c r="B632" s="364">
        <v>44004</v>
      </c>
      <c r="C632" s="362" t="s">
        <v>83</v>
      </c>
      <c r="D632" s="562">
        <v>295544374</v>
      </c>
      <c r="E632" s="562">
        <v>199736870</v>
      </c>
      <c r="F632" s="562">
        <v>495281300</v>
      </c>
      <c r="G632" s="562">
        <f t="shared" si="13"/>
        <v>-56</v>
      </c>
      <c r="H632" s="562">
        <v>9129441</v>
      </c>
      <c r="I632" s="562"/>
      <c r="J632" s="562"/>
    </row>
    <row r="633" spans="1:10" hidden="1" x14ac:dyDescent="0.25">
      <c r="A633" s="362">
        <v>3</v>
      </c>
      <c r="B633" s="364">
        <v>44004</v>
      </c>
      <c r="C633" s="362" t="s">
        <v>88</v>
      </c>
      <c r="D633" s="562">
        <v>168160649</v>
      </c>
      <c r="E633" s="562">
        <v>42075496</v>
      </c>
      <c r="F633" s="562">
        <v>210236200</v>
      </c>
      <c r="G633" s="562">
        <f t="shared" si="13"/>
        <v>-55</v>
      </c>
      <c r="H633" s="562">
        <v>8247727</v>
      </c>
      <c r="I633" s="562"/>
      <c r="J633" s="562"/>
    </row>
    <row r="634" spans="1:10" hidden="1" x14ac:dyDescent="0.25">
      <c r="A634" s="362">
        <v>4</v>
      </c>
      <c r="B634" s="364">
        <v>44004</v>
      </c>
      <c r="C634" s="362" t="s">
        <v>146</v>
      </c>
      <c r="D634" s="562">
        <v>95598934</v>
      </c>
      <c r="E634" s="562">
        <v>118203826</v>
      </c>
      <c r="F634" s="562">
        <v>213802900</v>
      </c>
      <c r="G634" s="562">
        <f t="shared" si="13"/>
        <v>-140</v>
      </c>
      <c r="H634" s="562">
        <v>18969036</v>
      </c>
      <c r="I634" s="562"/>
      <c r="J634" s="562"/>
    </row>
    <row r="635" spans="1:10" hidden="1" x14ac:dyDescent="0.25">
      <c r="A635" s="362">
        <v>5</v>
      </c>
      <c r="B635" s="364">
        <v>44004</v>
      </c>
      <c r="C635" s="362" t="s">
        <v>86</v>
      </c>
      <c r="D635" s="562">
        <v>41438026</v>
      </c>
      <c r="E635" s="562">
        <v>10406041</v>
      </c>
      <c r="F635" s="562">
        <v>51844000</v>
      </c>
      <c r="G635" s="562">
        <f t="shared" si="13"/>
        <v>67</v>
      </c>
      <c r="H635" s="562">
        <v>7946325</v>
      </c>
      <c r="I635" s="562"/>
      <c r="J635" s="562"/>
    </row>
    <row r="636" spans="1:10" hidden="1" x14ac:dyDescent="0.25">
      <c r="A636" s="362">
        <v>6</v>
      </c>
      <c r="B636" s="364">
        <v>44004</v>
      </c>
      <c r="C636" s="362" t="s">
        <v>89</v>
      </c>
      <c r="D636" s="562">
        <v>162398394</v>
      </c>
      <c r="E636" s="562">
        <v>3373006</v>
      </c>
      <c r="F636" s="562">
        <v>165771400</v>
      </c>
      <c r="G636" s="562">
        <f t="shared" si="13"/>
        <v>0</v>
      </c>
      <c r="H636" s="562">
        <v>3867984</v>
      </c>
      <c r="I636" s="562"/>
      <c r="J636" s="562"/>
    </row>
    <row r="637" spans="1:10" hidden="1" x14ac:dyDescent="0.25">
      <c r="A637" s="362">
        <v>7</v>
      </c>
      <c r="B637" s="364">
        <v>44004</v>
      </c>
      <c r="C637" s="362" t="s">
        <v>4751</v>
      </c>
      <c r="D637" s="562">
        <v>220963039</v>
      </c>
      <c r="E637" s="562">
        <v>11400961</v>
      </c>
      <c r="F637" s="562">
        <v>232364000</v>
      </c>
      <c r="G637" s="562">
        <f t="shared" si="13"/>
        <v>0</v>
      </c>
      <c r="H637" s="562">
        <v>10479656</v>
      </c>
      <c r="I637" s="562"/>
      <c r="J637" s="562"/>
    </row>
    <row r="638" spans="1:10" hidden="1" x14ac:dyDescent="0.25">
      <c r="A638" s="362">
        <v>8</v>
      </c>
      <c r="B638" s="364">
        <v>44004</v>
      </c>
      <c r="C638" s="362" t="s">
        <v>84</v>
      </c>
      <c r="D638" s="562">
        <v>234814645</v>
      </c>
      <c r="E638" s="562">
        <v>39675891</v>
      </c>
      <c r="F638" s="562">
        <v>274490600</v>
      </c>
      <c r="G638" s="562">
        <f t="shared" si="13"/>
        <v>-64</v>
      </c>
      <c r="H638" s="562">
        <v>4369675</v>
      </c>
      <c r="I638" s="562"/>
      <c r="J638" s="562"/>
    </row>
    <row r="639" spans="1:10" hidden="1" x14ac:dyDescent="0.25">
      <c r="A639" s="362">
        <v>9</v>
      </c>
      <c r="B639" s="364">
        <v>44004</v>
      </c>
      <c r="C639" s="362" t="s">
        <v>85</v>
      </c>
      <c r="D639" s="562">
        <v>62393411</v>
      </c>
      <c r="E639" s="562">
        <v>5280089</v>
      </c>
      <c r="F639" s="562">
        <v>67673500</v>
      </c>
      <c r="G639" s="562">
        <f t="shared" si="13"/>
        <v>0</v>
      </c>
      <c r="H639" s="562">
        <v>2485768</v>
      </c>
      <c r="I639" s="562"/>
      <c r="J639" s="562"/>
    </row>
    <row r="640" spans="1:10" hidden="1" x14ac:dyDescent="0.25">
      <c r="A640" s="362">
        <v>10</v>
      </c>
      <c r="B640" s="364">
        <v>44004</v>
      </c>
      <c r="C640" s="362" t="s">
        <v>81</v>
      </c>
      <c r="D640" s="562">
        <v>74149576</v>
      </c>
      <c r="E640" s="562">
        <v>14688650</v>
      </c>
      <c r="F640" s="562">
        <v>88838300</v>
      </c>
      <c r="G640" s="562">
        <f t="shared" si="13"/>
        <v>-74</v>
      </c>
      <c r="H640" s="562">
        <v>2532633</v>
      </c>
      <c r="I640" s="562"/>
      <c r="J640" s="562"/>
    </row>
    <row r="641" spans="1:10" hidden="1" x14ac:dyDescent="0.25">
      <c r="A641" s="362">
        <v>11</v>
      </c>
      <c r="B641" s="364">
        <v>44004</v>
      </c>
      <c r="C641" s="362" t="s">
        <v>79</v>
      </c>
      <c r="D641" s="562">
        <v>113373546</v>
      </c>
      <c r="E641" s="562">
        <v>4860973</v>
      </c>
      <c r="F641" s="562">
        <v>118234600</v>
      </c>
      <c r="G641" s="562">
        <f t="shared" si="13"/>
        <v>-81</v>
      </c>
      <c r="H641" s="562">
        <v>3273014</v>
      </c>
      <c r="I641" s="562"/>
      <c r="J641" s="562"/>
    </row>
    <row r="642" spans="1:10" hidden="1" x14ac:dyDescent="0.25">
      <c r="A642" s="362">
        <v>12</v>
      </c>
      <c r="B642" s="364">
        <v>44004</v>
      </c>
      <c r="C642" s="362" t="s">
        <v>82</v>
      </c>
      <c r="D642" s="562">
        <v>50222549</v>
      </c>
      <c r="E642" s="562">
        <v>4473476</v>
      </c>
      <c r="F642" s="562">
        <v>54696100</v>
      </c>
      <c r="G642" s="562">
        <f t="shared" si="13"/>
        <v>-75</v>
      </c>
      <c r="H642" s="562">
        <v>10182366</v>
      </c>
      <c r="I642" s="562"/>
      <c r="J642" s="562"/>
    </row>
    <row r="643" spans="1:10" hidden="1" x14ac:dyDescent="0.25">
      <c r="A643" s="362">
        <v>13</v>
      </c>
      <c r="B643" s="364">
        <v>44004</v>
      </c>
      <c r="C643" s="362" t="s">
        <v>78</v>
      </c>
      <c r="D643" s="562">
        <v>94761307</v>
      </c>
      <c r="E643" s="562">
        <v>14534393</v>
      </c>
      <c r="F643" s="562">
        <v>109295700</v>
      </c>
      <c r="G643" s="562">
        <f t="shared" si="13"/>
        <v>0</v>
      </c>
      <c r="H643" s="562">
        <v>8934267</v>
      </c>
      <c r="I643" s="562"/>
      <c r="J643" s="562"/>
    </row>
    <row r="644" spans="1:10" hidden="1" x14ac:dyDescent="0.25">
      <c r="A644" s="362">
        <v>14</v>
      </c>
      <c r="B644" s="364">
        <v>44004</v>
      </c>
      <c r="C644" s="362" t="s">
        <v>166</v>
      </c>
      <c r="D644" s="562">
        <v>62807989</v>
      </c>
      <c r="E644" s="562"/>
      <c r="F644" s="562">
        <v>62808000</v>
      </c>
      <c r="G644" s="562">
        <f t="shared" si="13"/>
        <v>-11</v>
      </c>
      <c r="H644" s="562"/>
      <c r="I644" s="562"/>
      <c r="J644" s="562"/>
    </row>
    <row r="645" spans="1:10" hidden="1" x14ac:dyDescent="0.25">
      <c r="A645" s="362">
        <v>15</v>
      </c>
      <c r="B645" s="364">
        <v>44004</v>
      </c>
      <c r="C645" s="362" t="s">
        <v>3435</v>
      </c>
      <c r="D645" s="562"/>
      <c r="E645" s="562"/>
      <c r="F645" s="562">
        <v>42384700</v>
      </c>
      <c r="G645" s="562">
        <f t="shared" si="13"/>
        <v>-42384700</v>
      </c>
      <c r="H645" s="562"/>
      <c r="I645" s="562"/>
      <c r="J645" s="562"/>
    </row>
    <row r="646" spans="1:10" hidden="1" x14ac:dyDescent="0.25">
      <c r="A646" s="532"/>
      <c r="B646" s="591"/>
      <c r="C646" s="532"/>
      <c r="D646" s="564"/>
      <c r="E646" s="564"/>
      <c r="F646" s="564"/>
      <c r="G646" s="564">
        <f t="shared" si="13"/>
        <v>0</v>
      </c>
      <c r="H646" s="564"/>
      <c r="I646" s="564"/>
      <c r="J646" s="564"/>
    </row>
    <row r="647" spans="1:10" hidden="1" x14ac:dyDescent="0.25">
      <c r="A647" s="362">
        <v>1</v>
      </c>
      <c r="B647" s="364">
        <v>44005</v>
      </c>
      <c r="C647" s="362" t="s">
        <v>80</v>
      </c>
      <c r="D647" s="562">
        <v>254124788</v>
      </c>
      <c r="E647" s="562">
        <v>14806039</v>
      </c>
      <c r="F647" s="562">
        <v>268931300</v>
      </c>
      <c r="G647" s="562">
        <f t="shared" ref="G647:G710" si="15">D647+E647-F647</f>
        <v>-473</v>
      </c>
      <c r="H647" s="562">
        <v>32788432</v>
      </c>
      <c r="I647" s="562"/>
      <c r="J647" s="562"/>
    </row>
    <row r="648" spans="1:10" hidden="1" x14ac:dyDescent="0.25">
      <c r="A648" s="362">
        <v>2</v>
      </c>
      <c r="B648" s="364">
        <v>44005</v>
      </c>
      <c r="C648" s="362" t="s">
        <v>83</v>
      </c>
      <c r="D648" s="562">
        <v>154998470</v>
      </c>
      <c r="E648" s="562">
        <v>22438736</v>
      </c>
      <c r="F648" s="562">
        <v>177437200</v>
      </c>
      <c r="G648" s="562">
        <f t="shared" si="15"/>
        <v>6</v>
      </c>
      <c r="H648" s="562">
        <v>7475691</v>
      </c>
      <c r="I648" s="562"/>
      <c r="J648" s="562"/>
    </row>
    <row r="649" spans="1:10" hidden="1" x14ac:dyDescent="0.25">
      <c r="A649" s="362">
        <v>3</v>
      </c>
      <c r="B649" s="364">
        <v>44005</v>
      </c>
      <c r="C649" s="362" t="s">
        <v>88</v>
      </c>
      <c r="D649" s="562">
        <v>210031466</v>
      </c>
      <c r="E649" s="562">
        <v>45263384</v>
      </c>
      <c r="F649" s="562">
        <v>255294900</v>
      </c>
      <c r="G649" s="562">
        <f t="shared" si="15"/>
        <v>-50</v>
      </c>
      <c r="H649" s="562">
        <v>16000601</v>
      </c>
      <c r="I649" s="562"/>
      <c r="J649" s="562"/>
    </row>
    <row r="650" spans="1:10" hidden="1" x14ac:dyDescent="0.25">
      <c r="A650" s="362">
        <v>4</v>
      </c>
      <c r="B650" s="364">
        <v>44005</v>
      </c>
      <c r="C650" s="362" t="s">
        <v>146</v>
      </c>
      <c r="D650" s="562">
        <v>137824332</v>
      </c>
      <c r="E650" s="562">
        <v>25909456</v>
      </c>
      <c r="F650" s="562">
        <v>163735000</v>
      </c>
      <c r="G650" s="562">
        <f t="shared" si="15"/>
        <v>-1212</v>
      </c>
      <c r="H650" s="562">
        <v>18375736</v>
      </c>
      <c r="I650" s="562"/>
      <c r="J650" s="562"/>
    </row>
    <row r="651" spans="1:10" hidden="1" x14ac:dyDescent="0.25">
      <c r="A651" s="362">
        <v>5</v>
      </c>
      <c r="B651" s="364">
        <v>44005</v>
      </c>
      <c r="C651" s="362" t="s">
        <v>86</v>
      </c>
      <c r="D651" s="562">
        <v>38314360</v>
      </c>
      <c r="E651" s="562">
        <v>144099547</v>
      </c>
      <c r="F651" s="562">
        <v>182413600</v>
      </c>
      <c r="G651" s="562">
        <f t="shared" si="15"/>
        <v>307</v>
      </c>
      <c r="H651" s="562">
        <v>7289208</v>
      </c>
      <c r="I651" s="562"/>
      <c r="J651" s="562"/>
    </row>
    <row r="652" spans="1:10" hidden="1" x14ac:dyDescent="0.25">
      <c r="A652" s="362">
        <v>6</v>
      </c>
      <c r="B652" s="364">
        <v>44005</v>
      </c>
      <c r="C652" s="362" t="s">
        <v>89</v>
      </c>
      <c r="D652" s="562">
        <v>141633175</v>
      </c>
      <c r="E652" s="562">
        <v>4167725</v>
      </c>
      <c r="F652" s="562">
        <v>145800900</v>
      </c>
      <c r="G652" s="562">
        <f t="shared" si="15"/>
        <v>0</v>
      </c>
      <c r="H652" s="562">
        <v>15489783</v>
      </c>
      <c r="I652" s="562"/>
      <c r="J652" s="562"/>
    </row>
    <row r="653" spans="1:10" hidden="1" x14ac:dyDescent="0.25">
      <c r="A653" s="362">
        <v>7</v>
      </c>
      <c r="B653" s="364">
        <v>44005</v>
      </c>
      <c r="C653" s="362" t="s">
        <v>4751</v>
      </c>
      <c r="D653" s="562">
        <v>209822947</v>
      </c>
      <c r="E653" s="562">
        <v>8760053</v>
      </c>
      <c r="F653" s="562">
        <v>218583000</v>
      </c>
      <c r="G653" s="562">
        <f t="shared" si="15"/>
        <v>0</v>
      </c>
      <c r="H653" s="562">
        <v>28201858</v>
      </c>
      <c r="I653" s="562"/>
      <c r="J653" s="562"/>
    </row>
    <row r="654" spans="1:10" hidden="1" x14ac:dyDescent="0.25">
      <c r="A654" s="362">
        <v>8</v>
      </c>
      <c r="B654" s="364">
        <v>44005</v>
      </c>
      <c r="C654" s="362" t="s">
        <v>84</v>
      </c>
      <c r="D654" s="562">
        <v>168517173</v>
      </c>
      <c r="E654" s="562">
        <v>15288847</v>
      </c>
      <c r="F654" s="562">
        <v>183806100</v>
      </c>
      <c r="G654" s="562">
        <f t="shared" si="15"/>
        <v>-80</v>
      </c>
      <c r="H654" s="562">
        <v>25195276</v>
      </c>
      <c r="I654" s="562"/>
      <c r="J654" s="562"/>
    </row>
    <row r="655" spans="1:10" hidden="1" x14ac:dyDescent="0.25">
      <c r="A655" s="362">
        <v>9</v>
      </c>
      <c r="B655" s="364">
        <v>44005</v>
      </c>
      <c r="C655" s="362" t="s">
        <v>85</v>
      </c>
      <c r="D655" s="562">
        <v>27387862</v>
      </c>
      <c r="E655" s="562">
        <v>6022738</v>
      </c>
      <c r="F655" s="562">
        <v>33410600</v>
      </c>
      <c r="G655" s="562">
        <f t="shared" si="15"/>
        <v>0</v>
      </c>
      <c r="H655" s="562">
        <v>2485768</v>
      </c>
      <c r="I655" s="562"/>
      <c r="J655" s="562"/>
    </row>
    <row r="656" spans="1:10" hidden="1" x14ac:dyDescent="0.25">
      <c r="A656" s="362">
        <v>10</v>
      </c>
      <c r="B656" s="364">
        <v>44005</v>
      </c>
      <c r="C656" s="362" t="s">
        <v>81</v>
      </c>
      <c r="D656" s="562">
        <v>89800020</v>
      </c>
      <c r="E656" s="562">
        <v>18001853</v>
      </c>
      <c r="F656" s="562">
        <v>107801900</v>
      </c>
      <c r="G656" s="562">
        <f t="shared" si="15"/>
        <v>-27</v>
      </c>
      <c r="H656" s="562"/>
      <c r="I656" s="562"/>
      <c r="J656" s="562"/>
    </row>
    <row r="657" spans="1:10" hidden="1" x14ac:dyDescent="0.25">
      <c r="A657" s="362">
        <v>11</v>
      </c>
      <c r="B657" s="364">
        <v>44005</v>
      </c>
      <c r="C657" s="362" t="s">
        <v>79</v>
      </c>
      <c r="D657" s="562">
        <v>46092366</v>
      </c>
      <c r="E657" s="562">
        <v>375000</v>
      </c>
      <c r="F657" s="562">
        <v>46467400</v>
      </c>
      <c r="G657" s="562">
        <f t="shared" si="15"/>
        <v>-34</v>
      </c>
      <c r="H657" s="562">
        <v>5262764</v>
      </c>
      <c r="I657" s="562"/>
      <c r="J657" s="562"/>
    </row>
    <row r="658" spans="1:10" hidden="1" x14ac:dyDescent="0.25">
      <c r="A658" s="362">
        <v>12</v>
      </c>
      <c r="B658" s="364">
        <v>44005</v>
      </c>
      <c r="C658" s="362" t="s">
        <v>82</v>
      </c>
      <c r="D658" s="562">
        <v>49125525</v>
      </c>
      <c r="E658" s="562">
        <v>4605233</v>
      </c>
      <c r="F658" s="562">
        <v>53730800</v>
      </c>
      <c r="G658" s="562">
        <f t="shared" si="15"/>
        <v>-42</v>
      </c>
      <c r="H658" s="562">
        <v>10028266</v>
      </c>
      <c r="I658" s="562"/>
      <c r="J658" s="562"/>
    </row>
    <row r="659" spans="1:10" hidden="1" x14ac:dyDescent="0.25">
      <c r="A659" s="362">
        <v>13</v>
      </c>
      <c r="B659" s="364">
        <v>44005</v>
      </c>
      <c r="C659" s="362" t="s">
        <v>78</v>
      </c>
      <c r="D659" s="562">
        <v>98043058</v>
      </c>
      <c r="E659" s="562">
        <v>5787342</v>
      </c>
      <c r="F659" s="562">
        <v>103830400</v>
      </c>
      <c r="G659" s="562">
        <f t="shared" si="15"/>
        <v>0</v>
      </c>
      <c r="H659" s="562">
        <v>15698463</v>
      </c>
      <c r="I659" s="562"/>
      <c r="J659" s="562"/>
    </row>
    <row r="660" spans="1:10" hidden="1" x14ac:dyDescent="0.25">
      <c r="A660" s="362">
        <v>14</v>
      </c>
      <c r="B660" s="364">
        <v>44005</v>
      </c>
      <c r="C660" s="362" t="s">
        <v>166</v>
      </c>
      <c r="D660" s="562">
        <v>98776841</v>
      </c>
      <c r="E660" s="562"/>
      <c r="F660" s="562">
        <v>98776800</v>
      </c>
      <c r="G660" s="562">
        <f t="shared" si="15"/>
        <v>41</v>
      </c>
      <c r="H660" s="562"/>
      <c r="I660" s="562"/>
      <c r="J660" s="562"/>
    </row>
    <row r="661" spans="1:10" hidden="1" x14ac:dyDescent="0.25">
      <c r="A661" s="362">
        <v>15</v>
      </c>
      <c r="B661" s="364">
        <v>44005</v>
      </c>
      <c r="C661" s="362" t="s">
        <v>3435</v>
      </c>
      <c r="D661" s="562"/>
      <c r="E661" s="562"/>
      <c r="F661" s="562">
        <v>42379100</v>
      </c>
      <c r="G661" s="562">
        <f t="shared" si="15"/>
        <v>-42379100</v>
      </c>
      <c r="H661" s="562"/>
      <c r="I661" s="562"/>
      <c r="J661" s="562"/>
    </row>
    <row r="662" spans="1:10" hidden="1" x14ac:dyDescent="0.25">
      <c r="A662" s="532"/>
      <c r="B662" s="591"/>
      <c r="C662" s="532"/>
      <c r="D662" s="564"/>
      <c r="E662" s="564"/>
      <c r="F662" s="564"/>
      <c r="G662" s="564">
        <f t="shared" si="15"/>
        <v>0</v>
      </c>
      <c r="H662" s="564"/>
      <c r="I662" s="564"/>
      <c r="J662" s="564"/>
    </row>
    <row r="663" spans="1:10" hidden="1" x14ac:dyDescent="0.25">
      <c r="A663" s="362">
        <v>1</v>
      </c>
      <c r="B663" s="364">
        <v>44006</v>
      </c>
      <c r="C663" s="362" t="s">
        <v>80</v>
      </c>
      <c r="D663" s="562">
        <v>237557495</v>
      </c>
      <c r="E663" s="562">
        <v>4717108</v>
      </c>
      <c r="F663" s="562">
        <v>242274800</v>
      </c>
      <c r="G663" s="562">
        <f t="shared" si="15"/>
        <v>-197</v>
      </c>
      <c r="H663" s="562">
        <v>32788435</v>
      </c>
      <c r="I663" s="562"/>
      <c r="J663" s="562"/>
    </row>
    <row r="664" spans="1:10" hidden="1" x14ac:dyDescent="0.25">
      <c r="A664" s="362">
        <v>2</v>
      </c>
      <c r="B664" s="364">
        <v>44006</v>
      </c>
      <c r="C664" s="362" t="s">
        <v>83</v>
      </c>
      <c r="D664" s="562">
        <v>244725036</v>
      </c>
      <c r="E664" s="562">
        <v>84741406</v>
      </c>
      <c r="F664" s="562">
        <v>329466500</v>
      </c>
      <c r="G664" s="562">
        <f t="shared" si="15"/>
        <v>-58</v>
      </c>
      <c r="H664" s="562">
        <v>7041991</v>
      </c>
      <c r="I664" s="562"/>
      <c r="J664" s="562"/>
    </row>
    <row r="665" spans="1:10" hidden="1" x14ac:dyDescent="0.25">
      <c r="A665" s="362">
        <v>3</v>
      </c>
      <c r="B665" s="364">
        <v>44006</v>
      </c>
      <c r="C665" s="362" t="s">
        <v>88</v>
      </c>
      <c r="D665" s="562">
        <v>148032874</v>
      </c>
      <c r="E665" s="562">
        <v>6039939</v>
      </c>
      <c r="F665" s="562">
        <v>154073900</v>
      </c>
      <c r="G665" s="562">
        <f t="shared" si="15"/>
        <v>-1087</v>
      </c>
      <c r="H665" s="562">
        <v>12131102</v>
      </c>
      <c r="I665" s="562"/>
      <c r="J665" s="562"/>
    </row>
    <row r="666" spans="1:10" hidden="1" x14ac:dyDescent="0.25">
      <c r="A666" s="362">
        <v>4</v>
      </c>
      <c r="B666" s="364">
        <v>44006</v>
      </c>
      <c r="C666" s="362" t="s">
        <v>146</v>
      </c>
      <c r="D666" s="562">
        <v>97527244</v>
      </c>
      <c r="E666" s="562">
        <v>105710548</v>
      </c>
      <c r="F666" s="562">
        <v>203237800</v>
      </c>
      <c r="G666" s="562">
        <f t="shared" si="15"/>
        <v>-8</v>
      </c>
      <c r="H666" s="562">
        <v>18375736</v>
      </c>
      <c r="I666" s="562"/>
      <c r="J666" s="562"/>
    </row>
    <row r="667" spans="1:10" hidden="1" x14ac:dyDescent="0.25">
      <c r="A667" s="362">
        <v>5</v>
      </c>
      <c r="B667" s="364">
        <v>44006</v>
      </c>
      <c r="C667" s="362" t="s">
        <v>86</v>
      </c>
      <c r="D667" s="562">
        <v>85523354</v>
      </c>
      <c r="E667" s="562">
        <v>12520100</v>
      </c>
      <c r="F667" s="562">
        <v>98043500</v>
      </c>
      <c r="G667" s="562">
        <f t="shared" si="15"/>
        <v>-46</v>
      </c>
      <c r="H667" s="562">
        <v>6802071</v>
      </c>
      <c r="I667" s="562"/>
      <c r="J667" s="562"/>
    </row>
    <row r="668" spans="1:10" hidden="1" x14ac:dyDescent="0.25">
      <c r="A668" s="362">
        <v>6</v>
      </c>
      <c r="B668" s="364">
        <v>44006</v>
      </c>
      <c r="C668" s="362" t="s">
        <v>89</v>
      </c>
      <c r="D668" s="562">
        <v>136837626</v>
      </c>
      <c r="E668" s="562">
        <v>3655074</v>
      </c>
      <c r="F668" s="562">
        <v>140492700</v>
      </c>
      <c r="G668" s="562">
        <f t="shared" si="15"/>
        <v>0</v>
      </c>
      <c r="H668" s="562">
        <v>14733252</v>
      </c>
      <c r="I668" s="562"/>
      <c r="J668" s="562"/>
    </row>
    <row r="669" spans="1:10" hidden="1" x14ac:dyDescent="0.25">
      <c r="A669" s="362">
        <v>7</v>
      </c>
      <c r="B669" s="364">
        <v>44006</v>
      </c>
      <c r="C669" s="362" t="s">
        <v>4751</v>
      </c>
      <c r="D669" s="562">
        <v>146107009</v>
      </c>
      <c r="E669" s="562">
        <v>30631391</v>
      </c>
      <c r="F669" s="562">
        <v>176738400</v>
      </c>
      <c r="G669" s="562">
        <f t="shared" si="15"/>
        <v>0</v>
      </c>
      <c r="H669" s="562">
        <v>19845858</v>
      </c>
      <c r="I669" s="562"/>
      <c r="J669" s="562"/>
    </row>
    <row r="670" spans="1:10" hidden="1" x14ac:dyDescent="0.25">
      <c r="A670" s="362">
        <v>8</v>
      </c>
      <c r="B670" s="364">
        <v>44006</v>
      </c>
      <c r="C670" s="362" t="s">
        <v>84</v>
      </c>
      <c r="D670" s="562">
        <v>253832985</v>
      </c>
      <c r="E670" s="562">
        <v>20279923</v>
      </c>
      <c r="F670" s="562">
        <v>274112900</v>
      </c>
      <c r="G670" s="562">
        <f t="shared" si="15"/>
        <v>8</v>
      </c>
      <c r="H670" s="562">
        <v>25195276</v>
      </c>
      <c r="I670" s="562"/>
      <c r="J670" s="562"/>
    </row>
    <row r="671" spans="1:10" hidden="1" x14ac:dyDescent="0.25">
      <c r="A671" s="362">
        <v>9</v>
      </c>
      <c r="B671" s="364">
        <v>44006</v>
      </c>
      <c r="C671" s="362" t="s">
        <v>85</v>
      </c>
      <c r="D671" s="562">
        <v>58781445</v>
      </c>
      <c r="E671" s="562">
        <v>3000755</v>
      </c>
      <c r="F671" s="562">
        <v>61782200</v>
      </c>
      <c r="G671" s="562">
        <f t="shared" si="15"/>
        <v>0</v>
      </c>
      <c r="H671" s="562">
        <v>2485768</v>
      </c>
      <c r="I671" s="562"/>
      <c r="J671" s="562"/>
    </row>
    <row r="672" spans="1:10" hidden="1" x14ac:dyDescent="0.25">
      <c r="A672" s="362">
        <v>10</v>
      </c>
      <c r="B672" s="364">
        <v>44006</v>
      </c>
      <c r="C672" s="362" t="s">
        <v>81</v>
      </c>
      <c r="D672" s="562">
        <v>50008258</v>
      </c>
      <c r="E672" s="562">
        <v>12455802</v>
      </c>
      <c r="F672" s="562">
        <v>62464100</v>
      </c>
      <c r="G672" s="562">
        <f t="shared" si="15"/>
        <v>-40</v>
      </c>
      <c r="H672" s="562">
        <v>16702434</v>
      </c>
      <c r="I672" s="562"/>
      <c r="J672" s="562"/>
    </row>
    <row r="673" spans="1:10" hidden="1" x14ac:dyDescent="0.25">
      <c r="A673" s="362">
        <v>11</v>
      </c>
      <c r="B673" s="364">
        <v>44006</v>
      </c>
      <c r="C673" s="362" t="s">
        <v>79</v>
      </c>
      <c r="D673" s="562">
        <v>97757553</v>
      </c>
      <c r="E673" s="562">
        <v>248600</v>
      </c>
      <c r="F673" s="562">
        <v>98006200</v>
      </c>
      <c r="G673" s="562">
        <f t="shared" si="15"/>
        <v>-47</v>
      </c>
      <c r="H673" s="562">
        <v>5138764</v>
      </c>
      <c r="I673" s="562"/>
      <c r="J673" s="562"/>
    </row>
    <row r="674" spans="1:10" hidden="1" x14ac:dyDescent="0.25">
      <c r="A674" s="362">
        <v>12</v>
      </c>
      <c r="B674" s="364">
        <v>44006</v>
      </c>
      <c r="C674" s="362" t="s">
        <v>82</v>
      </c>
      <c r="D674" s="562">
        <v>121795376</v>
      </c>
      <c r="E674" s="562"/>
      <c r="F674" s="562">
        <v>121795400</v>
      </c>
      <c r="G674" s="562">
        <f t="shared" si="15"/>
        <v>-24</v>
      </c>
      <c r="H674" s="562">
        <v>9379466</v>
      </c>
      <c r="I674" s="562"/>
      <c r="J674" s="562"/>
    </row>
    <row r="675" spans="1:10" hidden="1" x14ac:dyDescent="0.25">
      <c r="A675" s="362">
        <v>13</v>
      </c>
      <c r="B675" s="364">
        <v>44006</v>
      </c>
      <c r="C675" s="362" t="s">
        <v>78</v>
      </c>
      <c r="D675" s="562">
        <v>81794601</v>
      </c>
      <c r="E675" s="562">
        <v>4256099</v>
      </c>
      <c r="F675" s="562">
        <v>86050700</v>
      </c>
      <c r="G675" s="562">
        <f t="shared" si="15"/>
        <v>0</v>
      </c>
      <c r="H675" s="562">
        <v>14829627</v>
      </c>
      <c r="I675" s="562"/>
      <c r="J675" s="562"/>
    </row>
    <row r="676" spans="1:10" hidden="1" x14ac:dyDescent="0.25">
      <c r="A676" s="362">
        <v>14</v>
      </c>
      <c r="B676" s="364">
        <v>44006</v>
      </c>
      <c r="C676" s="362" t="s">
        <v>166</v>
      </c>
      <c r="D676" s="562">
        <v>39906451</v>
      </c>
      <c r="E676" s="562"/>
      <c r="F676" s="562">
        <v>39906500</v>
      </c>
      <c r="G676" s="562">
        <f t="shared" si="15"/>
        <v>-49</v>
      </c>
      <c r="H676" s="562"/>
      <c r="I676" s="562"/>
      <c r="J676" s="562"/>
    </row>
    <row r="677" spans="1:10" hidden="1" x14ac:dyDescent="0.25">
      <c r="A677" s="362">
        <v>15</v>
      </c>
      <c r="B677" s="364">
        <v>44006</v>
      </c>
      <c r="C677" s="362" t="s">
        <v>3435</v>
      </c>
      <c r="D677" s="562"/>
      <c r="E677" s="562"/>
      <c r="F677" s="562">
        <v>193242200</v>
      </c>
      <c r="G677" s="562">
        <f t="shared" si="15"/>
        <v>-193242200</v>
      </c>
      <c r="H677" s="562"/>
      <c r="I677" s="562"/>
      <c r="J677" s="562"/>
    </row>
    <row r="678" spans="1:10" hidden="1" x14ac:dyDescent="0.25">
      <c r="A678" s="532"/>
      <c r="B678" s="591"/>
      <c r="C678" s="532"/>
      <c r="D678" s="564"/>
      <c r="E678" s="564"/>
      <c r="F678" s="564"/>
      <c r="G678" s="564">
        <f t="shared" si="15"/>
        <v>0</v>
      </c>
      <c r="H678" s="564"/>
      <c r="I678" s="564"/>
      <c r="J678" s="564"/>
    </row>
    <row r="679" spans="1:10" hidden="1" x14ac:dyDescent="0.25">
      <c r="A679" s="362">
        <v>1</v>
      </c>
      <c r="B679" s="364">
        <v>44007</v>
      </c>
      <c r="C679" s="362" t="s">
        <v>80</v>
      </c>
      <c r="D679" s="562">
        <v>313205857</v>
      </c>
      <c r="E679" s="562">
        <v>4805555</v>
      </c>
      <c r="F679" s="562">
        <v>318011200</v>
      </c>
      <c r="G679" s="562">
        <f t="shared" si="15"/>
        <v>212</v>
      </c>
      <c r="H679" s="562">
        <v>16391584</v>
      </c>
      <c r="I679" s="562">
        <v>16391564</v>
      </c>
      <c r="J679" s="562">
        <f>H679-I679</f>
        <v>20</v>
      </c>
    </row>
    <row r="680" spans="1:10" hidden="1" x14ac:dyDescent="0.25">
      <c r="A680" s="362">
        <v>2</v>
      </c>
      <c r="B680" s="364">
        <v>44007</v>
      </c>
      <c r="C680" s="362" t="s">
        <v>83</v>
      </c>
      <c r="D680" s="562">
        <v>318030886</v>
      </c>
      <c r="E680" s="562">
        <v>16297444</v>
      </c>
      <c r="F680" s="562">
        <v>334328400</v>
      </c>
      <c r="G680" s="562">
        <f t="shared" si="15"/>
        <v>-70</v>
      </c>
      <c r="H680" s="562">
        <v>5226616</v>
      </c>
      <c r="I680" s="562">
        <v>6184116</v>
      </c>
      <c r="J680" s="562">
        <f t="shared" ref="J680:J709" si="16">H680-I680</f>
        <v>-957500</v>
      </c>
    </row>
    <row r="681" spans="1:10" hidden="1" x14ac:dyDescent="0.25">
      <c r="A681" s="362">
        <v>3</v>
      </c>
      <c r="B681" s="364">
        <v>44007</v>
      </c>
      <c r="C681" s="362" t="s">
        <v>88</v>
      </c>
      <c r="D681" s="562">
        <v>255554943</v>
      </c>
      <c r="E681" s="562">
        <v>10343253</v>
      </c>
      <c r="F681" s="562">
        <v>265898200</v>
      </c>
      <c r="G681" s="562">
        <f t="shared" si="15"/>
        <v>-4</v>
      </c>
      <c r="H681" s="562">
        <v>1050056</v>
      </c>
      <c r="I681" s="562">
        <v>1050052</v>
      </c>
      <c r="J681" s="562">
        <f t="shared" si="16"/>
        <v>4</v>
      </c>
    </row>
    <row r="682" spans="1:10" hidden="1" x14ac:dyDescent="0.25">
      <c r="A682" s="362">
        <v>4</v>
      </c>
      <c r="B682" s="364">
        <v>44007</v>
      </c>
      <c r="C682" s="362" t="s">
        <v>146</v>
      </c>
      <c r="D682" s="562">
        <v>61766627</v>
      </c>
      <c r="E682" s="562">
        <v>152338905</v>
      </c>
      <c r="F682" s="562">
        <v>214106300</v>
      </c>
      <c r="G682" s="562">
        <f t="shared" si="15"/>
        <v>-768</v>
      </c>
      <c r="H682" s="562">
        <v>10320022</v>
      </c>
      <c r="I682" s="562"/>
      <c r="J682" s="562">
        <f t="shared" si="16"/>
        <v>10320022</v>
      </c>
    </row>
    <row r="683" spans="1:10" hidden="1" x14ac:dyDescent="0.25">
      <c r="A683" s="362">
        <v>5</v>
      </c>
      <c r="B683" s="364">
        <v>44007</v>
      </c>
      <c r="C683" s="362" t="s">
        <v>86</v>
      </c>
      <c r="D683" s="562">
        <v>87356146</v>
      </c>
      <c r="E683" s="562">
        <v>60340478</v>
      </c>
      <c r="F683" s="562">
        <v>147696600</v>
      </c>
      <c r="G683" s="562">
        <f t="shared" si="15"/>
        <v>24</v>
      </c>
      <c r="H683" s="562">
        <v>3448123</v>
      </c>
      <c r="I683" s="562"/>
      <c r="J683" s="562">
        <f t="shared" si="16"/>
        <v>3448123</v>
      </c>
    </row>
    <row r="684" spans="1:10" hidden="1" x14ac:dyDescent="0.25">
      <c r="A684" s="362">
        <v>6</v>
      </c>
      <c r="B684" s="364">
        <v>44007</v>
      </c>
      <c r="C684" s="362" t="s">
        <v>89</v>
      </c>
      <c r="D684" s="562">
        <v>175926000</v>
      </c>
      <c r="E684" s="562">
        <v>3354000</v>
      </c>
      <c r="F684" s="562">
        <v>179280000</v>
      </c>
      <c r="G684" s="562">
        <f t="shared" si="15"/>
        <v>0</v>
      </c>
      <c r="H684" s="562">
        <v>9049194</v>
      </c>
      <c r="I684" s="562">
        <v>9049194</v>
      </c>
      <c r="J684" s="562">
        <f t="shared" si="16"/>
        <v>0</v>
      </c>
    </row>
    <row r="685" spans="1:10" hidden="1" x14ac:dyDescent="0.25">
      <c r="A685" s="362">
        <v>7</v>
      </c>
      <c r="B685" s="364">
        <v>44007</v>
      </c>
      <c r="C685" s="362" t="s">
        <v>4751</v>
      </c>
      <c r="D685" s="562">
        <v>138839140</v>
      </c>
      <c r="E685" s="562">
        <v>24285460</v>
      </c>
      <c r="F685" s="562">
        <v>163124600</v>
      </c>
      <c r="G685" s="562">
        <f t="shared" si="15"/>
        <v>0</v>
      </c>
      <c r="H685" s="562">
        <v>8151935</v>
      </c>
      <c r="I685" s="562">
        <v>7926935</v>
      </c>
      <c r="J685" s="562">
        <f t="shared" si="16"/>
        <v>225000</v>
      </c>
    </row>
    <row r="686" spans="1:10" hidden="1" x14ac:dyDescent="0.25">
      <c r="A686" s="362">
        <v>8</v>
      </c>
      <c r="B686" s="364">
        <v>44007</v>
      </c>
      <c r="C686" s="362" t="s">
        <v>84</v>
      </c>
      <c r="D686" s="562">
        <v>221384814</v>
      </c>
      <c r="E686" s="562">
        <v>13307298</v>
      </c>
      <c r="F686" s="562">
        <v>234692200</v>
      </c>
      <c r="G686" s="562">
        <f t="shared" si="15"/>
        <v>-88</v>
      </c>
      <c r="H686" s="562">
        <v>6233013</v>
      </c>
      <c r="I686" s="562">
        <v>6233013</v>
      </c>
      <c r="J686" s="562">
        <f t="shared" si="16"/>
        <v>0</v>
      </c>
    </row>
    <row r="687" spans="1:10" hidden="1" x14ac:dyDescent="0.25">
      <c r="A687" s="362">
        <v>9</v>
      </c>
      <c r="B687" s="364">
        <v>44007</v>
      </c>
      <c r="C687" s="362" t="s">
        <v>85</v>
      </c>
      <c r="D687" s="562">
        <v>20796405</v>
      </c>
      <c r="E687" s="562">
        <v>4148595</v>
      </c>
      <c r="F687" s="562">
        <v>24945000</v>
      </c>
      <c r="G687" s="562">
        <f t="shared" si="15"/>
        <v>0</v>
      </c>
      <c r="H687" s="562">
        <v>3441140</v>
      </c>
      <c r="I687" s="562"/>
      <c r="J687" s="562">
        <f t="shared" si="16"/>
        <v>3441140</v>
      </c>
    </row>
    <row r="688" spans="1:10" hidden="1" x14ac:dyDescent="0.25">
      <c r="A688" s="362">
        <v>10</v>
      </c>
      <c r="B688" s="364">
        <v>44007</v>
      </c>
      <c r="C688" s="362" t="s">
        <v>81</v>
      </c>
      <c r="D688" s="562">
        <v>64609593</v>
      </c>
      <c r="E688" s="562">
        <v>18969610</v>
      </c>
      <c r="F688" s="562">
        <v>83579200</v>
      </c>
      <c r="G688" s="562">
        <f t="shared" si="15"/>
        <v>3</v>
      </c>
      <c r="H688" s="562">
        <v>9250204</v>
      </c>
      <c r="I688" s="562">
        <v>9250204</v>
      </c>
      <c r="J688" s="562">
        <f t="shared" si="16"/>
        <v>0</v>
      </c>
    </row>
    <row r="689" spans="1:10" hidden="1" x14ac:dyDescent="0.25">
      <c r="A689" s="362">
        <v>11</v>
      </c>
      <c r="B689" s="364">
        <v>44007</v>
      </c>
      <c r="C689" s="362" t="s">
        <v>79</v>
      </c>
      <c r="D689" s="562">
        <v>73540742</v>
      </c>
      <c r="E689" s="562">
        <v>5476221</v>
      </c>
      <c r="F689" s="562">
        <v>79017000</v>
      </c>
      <c r="G689" s="562">
        <f t="shared" si="15"/>
        <v>-37</v>
      </c>
      <c r="H689" s="562">
        <v>2783564</v>
      </c>
      <c r="I689" s="562">
        <v>2783564</v>
      </c>
      <c r="J689" s="562">
        <f t="shared" si="16"/>
        <v>0</v>
      </c>
    </row>
    <row r="690" spans="1:10" hidden="1" x14ac:dyDescent="0.25">
      <c r="A690" s="362">
        <v>12</v>
      </c>
      <c r="B690" s="364">
        <v>44007</v>
      </c>
      <c r="C690" s="362" t="s">
        <v>82</v>
      </c>
      <c r="D690" s="562">
        <v>133145613</v>
      </c>
      <c r="E690" s="562">
        <v>609681</v>
      </c>
      <c r="F690" s="562">
        <v>133755300</v>
      </c>
      <c r="G690" s="562">
        <f t="shared" si="15"/>
        <v>-6</v>
      </c>
      <c r="H690" s="562">
        <v>4850436</v>
      </c>
      <c r="I690" s="562">
        <v>4850436</v>
      </c>
      <c r="J690" s="562">
        <f t="shared" si="16"/>
        <v>0</v>
      </c>
    </row>
    <row r="691" spans="1:10" hidden="1" x14ac:dyDescent="0.25">
      <c r="A691" s="362">
        <v>13</v>
      </c>
      <c r="B691" s="364">
        <v>44007</v>
      </c>
      <c r="C691" s="362" t="s">
        <v>78</v>
      </c>
      <c r="D691" s="562">
        <v>199615782</v>
      </c>
      <c r="E691" s="562">
        <v>2116818</v>
      </c>
      <c r="F691" s="562">
        <v>201732600</v>
      </c>
      <c r="G691" s="562">
        <f t="shared" si="15"/>
        <v>0</v>
      </c>
      <c r="H691" s="562">
        <v>9958251</v>
      </c>
      <c r="I691" s="562">
        <v>9958251</v>
      </c>
      <c r="J691" s="562">
        <f t="shared" si="16"/>
        <v>0</v>
      </c>
    </row>
    <row r="692" spans="1:10" hidden="1" x14ac:dyDescent="0.25">
      <c r="A692" s="362">
        <v>14</v>
      </c>
      <c r="B692" s="364">
        <v>44007</v>
      </c>
      <c r="C692" s="362" t="s">
        <v>166</v>
      </c>
      <c r="D692" s="562">
        <v>70433298</v>
      </c>
      <c r="E692" s="562"/>
      <c r="F692" s="562">
        <v>70433300</v>
      </c>
      <c r="G692" s="562">
        <f t="shared" si="15"/>
        <v>-2</v>
      </c>
      <c r="H692" s="562"/>
      <c r="I692" s="562"/>
      <c r="J692" s="562">
        <f t="shared" si="16"/>
        <v>0</v>
      </c>
    </row>
    <row r="693" spans="1:10" hidden="1" x14ac:dyDescent="0.25">
      <c r="A693" s="362">
        <v>15</v>
      </c>
      <c r="B693" s="364">
        <v>44007</v>
      </c>
      <c r="C693" s="362" t="s">
        <v>3435</v>
      </c>
      <c r="D693" s="562"/>
      <c r="E693" s="562"/>
      <c r="F693" s="562">
        <v>74813900</v>
      </c>
      <c r="G693" s="562">
        <f t="shared" si="15"/>
        <v>-74813900</v>
      </c>
      <c r="H693" s="562"/>
      <c r="I693" s="562"/>
      <c r="J693" s="562">
        <f t="shared" si="16"/>
        <v>0</v>
      </c>
    </row>
    <row r="694" spans="1:10" hidden="1" x14ac:dyDescent="0.25">
      <c r="A694" s="532"/>
      <c r="B694" s="532"/>
      <c r="C694" s="532"/>
      <c r="D694" s="564"/>
      <c r="E694" s="564"/>
      <c r="F694" s="564"/>
      <c r="G694" s="564">
        <f t="shared" si="15"/>
        <v>0</v>
      </c>
      <c r="H694" s="564"/>
      <c r="I694" s="564"/>
      <c r="J694" s="564">
        <f t="shared" si="16"/>
        <v>0</v>
      </c>
    </row>
    <row r="695" spans="1:10" hidden="1" x14ac:dyDescent="0.25">
      <c r="A695" s="362">
        <v>1</v>
      </c>
      <c r="B695" s="364">
        <v>44008</v>
      </c>
      <c r="C695" s="362" t="s">
        <v>80</v>
      </c>
      <c r="D695" s="562">
        <v>345293903</v>
      </c>
      <c r="E695" s="562">
        <v>72654060</v>
      </c>
      <c r="F695" s="562">
        <v>417946900</v>
      </c>
      <c r="G695" s="562">
        <f t="shared" si="15"/>
        <v>1063</v>
      </c>
      <c r="H695" s="562">
        <v>16391564</v>
      </c>
      <c r="I695" s="562"/>
      <c r="J695" s="562">
        <f t="shared" si="16"/>
        <v>16391564</v>
      </c>
    </row>
    <row r="696" spans="1:10" hidden="1" x14ac:dyDescent="0.25">
      <c r="A696" s="362">
        <v>2</v>
      </c>
      <c r="B696" s="364">
        <v>44008</v>
      </c>
      <c r="C696" s="362" t="s">
        <v>83</v>
      </c>
      <c r="D696" s="562">
        <v>193549947</v>
      </c>
      <c r="E696" s="562">
        <v>19126412</v>
      </c>
      <c r="F696" s="562">
        <v>212676400</v>
      </c>
      <c r="G696" s="562">
        <f t="shared" si="15"/>
        <v>-41</v>
      </c>
      <c r="H696" s="562">
        <v>3352866</v>
      </c>
      <c r="I696" s="562"/>
      <c r="J696" s="562">
        <f t="shared" si="16"/>
        <v>3352866</v>
      </c>
    </row>
    <row r="697" spans="1:10" hidden="1" x14ac:dyDescent="0.25">
      <c r="A697" s="362">
        <v>3</v>
      </c>
      <c r="B697" s="364">
        <v>44008</v>
      </c>
      <c r="C697" s="362" t="s">
        <v>88</v>
      </c>
      <c r="D697" s="562">
        <v>194863493</v>
      </c>
      <c r="E697" s="562">
        <v>19745177</v>
      </c>
      <c r="F697" s="562">
        <v>214608700</v>
      </c>
      <c r="G697" s="562">
        <f t="shared" si="15"/>
        <v>-30</v>
      </c>
      <c r="H697" s="562">
        <v>1050000</v>
      </c>
      <c r="I697" s="562"/>
      <c r="J697" s="562">
        <f t="shared" si="16"/>
        <v>1050000</v>
      </c>
    </row>
    <row r="698" spans="1:10" hidden="1" x14ac:dyDescent="0.25">
      <c r="A698" s="362">
        <v>4</v>
      </c>
      <c r="B698" s="364">
        <v>44008</v>
      </c>
      <c r="C698" s="362" t="s">
        <v>146</v>
      </c>
      <c r="D698" s="562">
        <v>48214920</v>
      </c>
      <c r="E698" s="562">
        <v>76792807</v>
      </c>
      <c r="F698" s="562">
        <v>125007800</v>
      </c>
      <c r="G698" s="562">
        <f t="shared" si="15"/>
        <v>-73</v>
      </c>
      <c r="H698" s="562">
        <v>4988272</v>
      </c>
      <c r="I698" s="562">
        <v>4988272</v>
      </c>
      <c r="J698" s="562">
        <f t="shared" si="16"/>
        <v>0</v>
      </c>
    </row>
    <row r="699" spans="1:10" hidden="1" x14ac:dyDescent="0.25">
      <c r="A699" s="362">
        <v>5</v>
      </c>
      <c r="B699" s="364">
        <v>44008</v>
      </c>
      <c r="C699" s="362" t="s">
        <v>86</v>
      </c>
      <c r="D699" s="562">
        <v>29112037</v>
      </c>
      <c r="E699" s="562">
        <v>11132636</v>
      </c>
      <c r="F699" s="562">
        <v>40244700</v>
      </c>
      <c r="G699" s="562">
        <f t="shared" si="15"/>
        <v>-27</v>
      </c>
      <c r="H699" s="562">
        <v>3448181</v>
      </c>
      <c r="I699" s="562">
        <v>3448123</v>
      </c>
      <c r="J699" s="562">
        <f t="shared" si="16"/>
        <v>58</v>
      </c>
    </row>
    <row r="700" spans="1:10" hidden="1" x14ac:dyDescent="0.25">
      <c r="A700" s="362">
        <v>6</v>
      </c>
      <c r="B700" s="364">
        <v>44008</v>
      </c>
      <c r="C700" s="362" t="s">
        <v>89</v>
      </c>
      <c r="D700" s="562">
        <v>183355736</v>
      </c>
      <c r="E700" s="562">
        <v>4774264</v>
      </c>
      <c r="F700" s="562">
        <v>188130000</v>
      </c>
      <c r="G700" s="562">
        <f t="shared" si="15"/>
        <v>0</v>
      </c>
      <c r="H700" s="562">
        <v>8955194</v>
      </c>
      <c r="I700" s="562"/>
      <c r="J700" s="562">
        <f t="shared" si="16"/>
        <v>8955194</v>
      </c>
    </row>
    <row r="701" spans="1:10" hidden="1" x14ac:dyDescent="0.25">
      <c r="A701" s="362">
        <v>7</v>
      </c>
      <c r="B701" s="364">
        <v>44008</v>
      </c>
      <c r="C701" s="362" t="s">
        <v>4751</v>
      </c>
      <c r="D701" s="562">
        <v>237150568</v>
      </c>
      <c r="E701" s="562">
        <v>14433432</v>
      </c>
      <c r="F701" s="562">
        <v>251584000</v>
      </c>
      <c r="G701" s="562">
        <f t="shared" si="15"/>
        <v>0</v>
      </c>
      <c r="H701" s="562">
        <v>6629935</v>
      </c>
      <c r="I701" s="562"/>
      <c r="J701" s="562">
        <f t="shared" si="16"/>
        <v>6629935</v>
      </c>
    </row>
    <row r="702" spans="1:10" hidden="1" x14ac:dyDescent="0.25">
      <c r="A702" s="362">
        <v>8</v>
      </c>
      <c r="B702" s="364">
        <v>44008</v>
      </c>
      <c r="C702" s="362" t="s">
        <v>84</v>
      </c>
      <c r="D702" s="562">
        <v>163576653</v>
      </c>
      <c r="E702" s="562">
        <v>22008178</v>
      </c>
      <c r="F702" s="562">
        <v>185584900</v>
      </c>
      <c r="G702" s="562">
        <f t="shared" si="15"/>
        <v>-69</v>
      </c>
      <c r="H702" s="562">
        <v>6233013</v>
      </c>
      <c r="I702" s="562"/>
      <c r="J702" s="562">
        <f t="shared" si="16"/>
        <v>6233013</v>
      </c>
    </row>
    <row r="703" spans="1:10" hidden="1" x14ac:dyDescent="0.25">
      <c r="A703" s="362">
        <v>9</v>
      </c>
      <c r="B703" s="364">
        <v>44008</v>
      </c>
      <c r="C703" s="362" t="s">
        <v>85</v>
      </c>
      <c r="D703" s="562">
        <v>21027017</v>
      </c>
      <c r="E703" s="562">
        <v>4912383</v>
      </c>
      <c r="F703" s="562">
        <v>25939400</v>
      </c>
      <c r="G703" s="562">
        <f t="shared" si="15"/>
        <v>0</v>
      </c>
      <c r="H703" s="562">
        <v>3441140</v>
      </c>
      <c r="I703" s="562"/>
      <c r="J703" s="562">
        <f t="shared" si="16"/>
        <v>3441140</v>
      </c>
    </row>
    <row r="704" spans="1:10" hidden="1" x14ac:dyDescent="0.25">
      <c r="A704" s="362">
        <v>10</v>
      </c>
      <c r="B704" s="364">
        <v>44008</v>
      </c>
      <c r="C704" s="362" t="s">
        <v>81</v>
      </c>
      <c r="D704" s="562">
        <v>59390086</v>
      </c>
      <c r="E704" s="562">
        <v>23641353</v>
      </c>
      <c r="F704" s="562">
        <v>83031400</v>
      </c>
      <c r="G704" s="562">
        <f t="shared" si="15"/>
        <v>39</v>
      </c>
      <c r="H704" s="562">
        <v>9250204</v>
      </c>
      <c r="I704" s="562"/>
      <c r="J704" s="562">
        <f t="shared" si="16"/>
        <v>9250204</v>
      </c>
    </row>
    <row r="705" spans="1:10" hidden="1" x14ac:dyDescent="0.25">
      <c r="A705" s="362">
        <v>11</v>
      </c>
      <c r="B705" s="364">
        <v>44008</v>
      </c>
      <c r="C705" s="362" t="s">
        <v>79</v>
      </c>
      <c r="D705" s="562">
        <v>71360740</v>
      </c>
      <c r="E705" s="562"/>
      <c r="F705" s="562">
        <v>71360800</v>
      </c>
      <c r="G705" s="562">
        <f t="shared" si="15"/>
        <v>-60</v>
      </c>
      <c r="H705" s="562">
        <v>2744564</v>
      </c>
      <c r="I705" s="562"/>
      <c r="J705" s="562">
        <f t="shared" si="16"/>
        <v>2744564</v>
      </c>
    </row>
    <row r="706" spans="1:10" hidden="1" x14ac:dyDescent="0.25">
      <c r="A706" s="362">
        <v>12</v>
      </c>
      <c r="B706" s="364">
        <v>44008</v>
      </c>
      <c r="C706" s="362" t="s">
        <v>82</v>
      </c>
      <c r="D706" s="562">
        <v>108484715</v>
      </c>
      <c r="E706" s="562"/>
      <c r="F706" s="562">
        <v>108484800</v>
      </c>
      <c r="G706" s="562">
        <f t="shared" si="15"/>
        <v>-85</v>
      </c>
      <c r="H706" s="562">
        <v>4850436</v>
      </c>
      <c r="I706" s="562"/>
      <c r="J706" s="562">
        <f t="shared" si="16"/>
        <v>4850436</v>
      </c>
    </row>
    <row r="707" spans="1:10" hidden="1" x14ac:dyDescent="0.25">
      <c r="A707" s="362">
        <v>13</v>
      </c>
      <c r="B707" s="364">
        <v>44008</v>
      </c>
      <c r="C707" s="362" t="s">
        <v>78</v>
      </c>
      <c r="D707" s="562">
        <v>122055300</v>
      </c>
      <c r="E707" s="562">
        <v>12775500</v>
      </c>
      <c r="F707" s="562">
        <v>134830800</v>
      </c>
      <c r="G707" s="562">
        <f t="shared" si="15"/>
        <v>0</v>
      </c>
      <c r="H707" s="562">
        <v>8733376</v>
      </c>
      <c r="I707" s="562"/>
      <c r="J707" s="562">
        <f t="shared" si="16"/>
        <v>8733376</v>
      </c>
    </row>
    <row r="708" spans="1:10" hidden="1" x14ac:dyDescent="0.25">
      <c r="A708" s="362">
        <v>14</v>
      </c>
      <c r="B708" s="364">
        <v>44008</v>
      </c>
      <c r="C708" s="362" t="s">
        <v>166</v>
      </c>
      <c r="D708" s="562">
        <v>35858344</v>
      </c>
      <c r="E708" s="562"/>
      <c r="F708" s="562">
        <v>35858300</v>
      </c>
      <c r="G708" s="562">
        <f t="shared" si="15"/>
        <v>44</v>
      </c>
      <c r="H708" s="562"/>
      <c r="I708" s="562"/>
      <c r="J708" s="562">
        <f t="shared" si="16"/>
        <v>0</v>
      </c>
    </row>
    <row r="709" spans="1:10" hidden="1" x14ac:dyDescent="0.25">
      <c r="A709" s="362">
        <v>15</v>
      </c>
      <c r="B709" s="364">
        <v>44008</v>
      </c>
      <c r="C709" s="362" t="s">
        <v>3435</v>
      </c>
      <c r="D709" s="562"/>
      <c r="E709" s="562"/>
      <c r="F709" s="562">
        <v>39803500</v>
      </c>
      <c r="G709" s="562">
        <f t="shared" si="15"/>
        <v>-39803500</v>
      </c>
      <c r="H709" s="562"/>
      <c r="I709" s="562"/>
      <c r="J709" s="562">
        <f t="shared" si="16"/>
        <v>0</v>
      </c>
    </row>
    <row r="710" spans="1:10" hidden="1" x14ac:dyDescent="0.25">
      <c r="A710" s="532"/>
      <c r="B710" s="591"/>
      <c r="C710" s="532"/>
      <c r="D710" s="564"/>
      <c r="E710" s="564"/>
      <c r="F710" s="564"/>
      <c r="G710" s="564">
        <f t="shared" si="15"/>
        <v>0</v>
      </c>
      <c r="H710" s="564"/>
      <c r="I710" s="564"/>
      <c r="J710" s="564"/>
    </row>
    <row r="711" spans="1:10" hidden="1" x14ac:dyDescent="0.25">
      <c r="A711" s="362">
        <v>1</v>
      </c>
      <c r="B711" s="364">
        <v>44009</v>
      </c>
      <c r="C711" s="362" t="s">
        <v>80</v>
      </c>
      <c r="D711" s="562">
        <v>241287533</v>
      </c>
      <c r="E711" s="562">
        <v>2601720</v>
      </c>
      <c r="F711" s="562">
        <v>246232300</v>
      </c>
      <c r="G711" s="562">
        <f t="shared" ref="G711:G774" si="17">D711+E711-F711</f>
        <v>-2343047</v>
      </c>
      <c r="H711" s="562"/>
      <c r="I711" s="562"/>
      <c r="J711" s="562"/>
    </row>
    <row r="712" spans="1:10" hidden="1" x14ac:dyDescent="0.25">
      <c r="A712" s="362">
        <v>2</v>
      </c>
      <c r="B712" s="364">
        <v>44009</v>
      </c>
      <c r="C712" s="362" t="s">
        <v>83</v>
      </c>
      <c r="D712" s="562">
        <v>256171783</v>
      </c>
      <c r="E712" s="562">
        <v>49422117</v>
      </c>
      <c r="F712" s="562">
        <v>305593900</v>
      </c>
      <c r="G712" s="562">
        <f t="shared" si="17"/>
        <v>0</v>
      </c>
      <c r="H712" s="562">
        <v>3362866</v>
      </c>
      <c r="I712" s="562"/>
      <c r="J712" s="562"/>
    </row>
    <row r="713" spans="1:10" hidden="1" x14ac:dyDescent="0.25">
      <c r="A713" s="362">
        <v>3</v>
      </c>
      <c r="B713" s="364">
        <v>44009</v>
      </c>
      <c r="C713" s="362" t="s">
        <v>88</v>
      </c>
      <c r="D713" s="562">
        <v>166906623</v>
      </c>
      <c r="E713" s="562">
        <v>38790980</v>
      </c>
      <c r="F713" s="562">
        <v>205697000</v>
      </c>
      <c r="G713" s="562">
        <f t="shared" si="17"/>
        <v>603</v>
      </c>
      <c r="H713" s="562">
        <v>721552</v>
      </c>
      <c r="I713" s="562"/>
      <c r="J713" s="562"/>
    </row>
    <row r="714" spans="1:10" hidden="1" x14ac:dyDescent="0.25">
      <c r="A714" s="362">
        <v>4</v>
      </c>
      <c r="B714" s="364">
        <v>44009</v>
      </c>
      <c r="C714" s="362" t="s">
        <v>146</v>
      </c>
      <c r="D714" s="562">
        <v>101693817</v>
      </c>
      <c r="E714" s="562">
        <v>72678071</v>
      </c>
      <c r="F714" s="562">
        <v>174372000</v>
      </c>
      <c r="G714" s="562">
        <f t="shared" si="17"/>
        <v>-112</v>
      </c>
      <c r="H714" s="562">
        <v>199972</v>
      </c>
      <c r="I714" s="562"/>
      <c r="J714" s="562"/>
    </row>
    <row r="715" spans="1:10" hidden="1" x14ac:dyDescent="0.25">
      <c r="A715" s="362">
        <v>5</v>
      </c>
      <c r="B715" s="364">
        <v>44009</v>
      </c>
      <c r="C715" s="362" t="s">
        <v>86</v>
      </c>
      <c r="D715" s="562">
        <v>57666574</v>
      </c>
      <c r="E715" s="562">
        <v>163246341</v>
      </c>
      <c r="F715" s="562">
        <v>220913000</v>
      </c>
      <c r="G715" s="562">
        <f t="shared" si="17"/>
        <v>-85</v>
      </c>
      <c r="H715" s="562">
        <v>2499623</v>
      </c>
      <c r="I715" s="562"/>
      <c r="J715" s="562"/>
    </row>
    <row r="716" spans="1:10" hidden="1" x14ac:dyDescent="0.25">
      <c r="A716" s="362">
        <v>6</v>
      </c>
      <c r="B716" s="364">
        <v>44009</v>
      </c>
      <c r="C716" s="362" t="s">
        <v>89</v>
      </c>
      <c r="D716" s="562">
        <v>81148404</v>
      </c>
      <c r="E716" s="562">
        <v>3563100</v>
      </c>
      <c r="F716" s="562">
        <v>84711600</v>
      </c>
      <c r="G716" s="562">
        <f t="shared" si="17"/>
        <v>-96</v>
      </c>
      <c r="H716" s="562">
        <v>8453394</v>
      </c>
      <c r="I716" s="562"/>
      <c r="J716" s="562"/>
    </row>
    <row r="717" spans="1:10" hidden="1" x14ac:dyDescent="0.25">
      <c r="A717" s="362">
        <v>7</v>
      </c>
      <c r="B717" s="364">
        <v>44009</v>
      </c>
      <c r="C717" s="362" t="s">
        <v>4751</v>
      </c>
      <c r="D717" s="562">
        <v>222309718</v>
      </c>
      <c r="E717" s="562">
        <v>6900282</v>
      </c>
      <c r="F717" s="562">
        <v>229210000</v>
      </c>
      <c r="G717" s="562">
        <f t="shared" si="17"/>
        <v>0</v>
      </c>
      <c r="H717" s="562"/>
      <c r="I717" s="562"/>
      <c r="J717" s="562"/>
    </row>
    <row r="718" spans="1:10" hidden="1" x14ac:dyDescent="0.25">
      <c r="A718" s="362">
        <v>8</v>
      </c>
      <c r="B718" s="364">
        <v>44009</v>
      </c>
      <c r="C718" s="362" t="s">
        <v>84</v>
      </c>
      <c r="D718" s="562">
        <v>171748059</v>
      </c>
      <c r="E718" s="562">
        <v>19550547</v>
      </c>
      <c r="F718" s="562">
        <v>191298800</v>
      </c>
      <c r="G718" s="562">
        <f t="shared" si="17"/>
        <v>-194</v>
      </c>
      <c r="H718" s="562">
        <v>5262013</v>
      </c>
      <c r="I718" s="562"/>
      <c r="J718" s="562"/>
    </row>
    <row r="719" spans="1:10" hidden="1" x14ac:dyDescent="0.25">
      <c r="A719" s="362">
        <v>9</v>
      </c>
      <c r="B719" s="364">
        <v>44009</v>
      </c>
      <c r="C719" s="362" t="s">
        <v>85</v>
      </c>
      <c r="D719" s="562">
        <v>22601363</v>
      </c>
      <c r="E719" s="562">
        <v>3282537</v>
      </c>
      <c r="F719" s="562">
        <v>25883900</v>
      </c>
      <c r="G719" s="562">
        <f t="shared" si="17"/>
        <v>0</v>
      </c>
      <c r="H719" s="562">
        <v>3085340</v>
      </c>
      <c r="I719" s="562"/>
      <c r="J719" s="562"/>
    </row>
    <row r="720" spans="1:10" hidden="1" x14ac:dyDescent="0.25">
      <c r="A720" s="362">
        <v>10</v>
      </c>
      <c r="B720" s="364">
        <v>44009</v>
      </c>
      <c r="C720" s="362" t="s">
        <v>81</v>
      </c>
      <c r="D720" s="562">
        <v>85180677</v>
      </c>
      <c r="E720" s="562">
        <v>30255561</v>
      </c>
      <c r="F720" s="562">
        <v>115436300</v>
      </c>
      <c r="G720" s="562">
        <f t="shared" si="17"/>
        <v>-62</v>
      </c>
      <c r="H720" s="562">
        <v>7333304</v>
      </c>
      <c r="I720" s="562"/>
      <c r="J720" s="562"/>
    </row>
    <row r="721" spans="1:10" hidden="1" x14ac:dyDescent="0.25">
      <c r="A721" s="362">
        <v>11</v>
      </c>
      <c r="B721" s="364">
        <v>44009</v>
      </c>
      <c r="C721" s="362" t="s">
        <v>79</v>
      </c>
      <c r="D721" s="562">
        <v>39080981</v>
      </c>
      <c r="E721" s="562">
        <v>445767</v>
      </c>
      <c r="F721" s="562">
        <v>39526800</v>
      </c>
      <c r="G721" s="562">
        <f t="shared" si="17"/>
        <v>-52</v>
      </c>
      <c r="H721" s="562">
        <v>2606064</v>
      </c>
      <c r="I721" s="562"/>
      <c r="J721" s="562"/>
    </row>
    <row r="722" spans="1:10" hidden="1" x14ac:dyDescent="0.25">
      <c r="A722" s="362">
        <v>12</v>
      </c>
      <c r="B722" s="364">
        <v>44009</v>
      </c>
      <c r="C722" s="362" t="s">
        <v>82</v>
      </c>
      <c r="D722" s="562">
        <v>60532455</v>
      </c>
      <c r="E722" s="562">
        <v>4361200</v>
      </c>
      <c r="F722" s="562">
        <v>64893700</v>
      </c>
      <c r="G722" s="562">
        <f t="shared" si="17"/>
        <v>-45</v>
      </c>
      <c r="H722" s="562">
        <v>4135136</v>
      </c>
      <c r="I722" s="562"/>
      <c r="J722" s="562"/>
    </row>
    <row r="723" spans="1:10" hidden="1" x14ac:dyDescent="0.25">
      <c r="A723" s="362">
        <v>13</v>
      </c>
      <c r="B723" s="364">
        <v>44009</v>
      </c>
      <c r="C723" s="362" t="s">
        <v>78</v>
      </c>
      <c r="D723" s="562">
        <v>121403691</v>
      </c>
      <c r="E723" s="562">
        <v>9261709</v>
      </c>
      <c r="F723" s="562">
        <v>130665400</v>
      </c>
      <c r="G723" s="562">
        <f t="shared" si="17"/>
        <v>0</v>
      </c>
      <c r="H723" s="562">
        <v>10059374</v>
      </c>
      <c r="I723" s="562"/>
      <c r="J723" s="562"/>
    </row>
    <row r="724" spans="1:10" hidden="1" x14ac:dyDescent="0.25">
      <c r="A724" s="362">
        <v>14</v>
      </c>
      <c r="B724" s="364">
        <v>44009</v>
      </c>
      <c r="C724" s="362" t="s">
        <v>166</v>
      </c>
      <c r="D724" s="562"/>
      <c r="E724" s="562"/>
      <c r="F724" s="562"/>
      <c r="G724" s="562">
        <f t="shared" si="17"/>
        <v>0</v>
      </c>
      <c r="H724" s="562"/>
      <c r="I724" s="562"/>
      <c r="J724" s="562"/>
    </row>
    <row r="725" spans="1:10" hidden="1" x14ac:dyDescent="0.25">
      <c r="A725" s="362">
        <v>15</v>
      </c>
      <c r="B725" s="364">
        <v>44009</v>
      </c>
      <c r="C725" s="362" t="s">
        <v>3435</v>
      </c>
      <c r="D725" s="562"/>
      <c r="E725" s="562"/>
      <c r="F725" s="562"/>
      <c r="G725" s="562">
        <f t="shared" si="17"/>
        <v>0</v>
      </c>
      <c r="H725" s="562"/>
      <c r="I725" s="562"/>
      <c r="J725" s="562"/>
    </row>
    <row r="726" spans="1:10" hidden="1" x14ac:dyDescent="0.25">
      <c r="A726" s="532"/>
      <c r="B726" s="591"/>
      <c r="C726" s="532"/>
      <c r="D726" s="564"/>
      <c r="E726" s="564"/>
      <c r="F726" s="564"/>
      <c r="G726" s="564">
        <f t="shared" si="17"/>
        <v>0</v>
      </c>
      <c r="H726" s="564"/>
      <c r="I726" s="564"/>
      <c r="J726" s="564"/>
    </row>
    <row r="727" spans="1:10" hidden="1" x14ac:dyDescent="0.25">
      <c r="A727" s="362">
        <v>1</v>
      </c>
      <c r="B727" s="364">
        <v>44011</v>
      </c>
      <c r="C727" s="362" t="s">
        <v>80</v>
      </c>
      <c r="D727" s="562">
        <v>353752130</v>
      </c>
      <c r="E727" s="562">
        <v>2142874</v>
      </c>
      <c r="F727" s="562">
        <v>355895500</v>
      </c>
      <c r="G727" s="562">
        <f t="shared" si="17"/>
        <v>-496</v>
      </c>
      <c r="H727" s="562">
        <v>16391564</v>
      </c>
      <c r="I727" s="562"/>
      <c r="J727" s="562"/>
    </row>
    <row r="728" spans="1:10" hidden="1" x14ac:dyDescent="0.25">
      <c r="A728" s="362">
        <v>2</v>
      </c>
      <c r="B728" s="364">
        <v>44011</v>
      </c>
      <c r="C728" s="362" t="s">
        <v>83</v>
      </c>
      <c r="D728" s="562">
        <v>243410855</v>
      </c>
      <c r="E728" s="562">
        <v>49680109</v>
      </c>
      <c r="F728" s="562">
        <v>293091000</v>
      </c>
      <c r="G728" s="562">
        <f t="shared" si="17"/>
        <v>-36</v>
      </c>
      <c r="H728" s="562">
        <v>17904050</v>
      </c>
      <c r="I728" s="562"/>
      <c r="J728" s="562"/>
    </row>
    <row r="729" spans="1:10" hidden="1" x14ac:dyDescent="0.25">
      <c r="A729" s="362">
        <v>3</v>
      </c>
      <c r="B729" s="364">
        <v>44011</v>
      </c>
      <c r="C729" s="362" t="s">
        <v>88</v>
      </c>
      <c r="D729" s="562">
        <v>282508447</v>
      </c>
      <c r="E729" s="562">
        <v>15901508</v>
      </c>
      <c r="F729" s="562">
        <v>298410000</v>
      </c>
      <c r="G729" s="562">
        <f t="shared" si="17"/>
        <v>-45</v>
      </c>
      <c r="H729" s="562">
        <v>721552</v>
      </c>
      <c r="I729" s="562"/>
      <c r="J729" s="562"/>
    </row>
    <row r="730" spans="1:10" hidden="1" x14ac:dyDescent="0.25">
      <c r="A730" s="362">
        <v>4</v>
      </c>
      <c r="B730" s="364">
        <v>44011</v>
      </c>
      <c r="C730" s="362" t="s">
        <v>146</v>
      </c>
      <c r="D730" s="562">
        <v>83895693</v>
      </c>
      <c r="E730" s="562">
        <v>62935819</v>
      </c>
      <c r="F730" s="562">
        <v>146831600</v>
      </c>
      <c r="G730" s="562">
        <f t="shared" si="17"/>
        <v>-88</v>
      </c>
      <c r="H730" s="562">
        <v>19146670</v>
      </c>
      <c r="I730" s="562"/>
      <c r="J730" s="562"/>
    </row>
    <row r="731" spans="1:10" hidden="1" x14ac:dyDescent="0.25">
      <c r="A731" s="362">
        <v>5</v>
      </c>
      <c r="B731" s="364">
        <v>44011</v>
      </c>
      <c r="C731" s="362" t="s">
        <v>86</v>
      </c>
      <c r="D731" s="562">
        <v>38215104</v>
      </c>
      <c r="E731" s="562">
        <v>9768000</v>
      </c>
      <c r="F731" s="562">
        <v>47983000</v>
      </c>
      <c r="G731" s="562">
        <f t="shared" si="17"/>
        <v>104</v>
      </c>
      <c r="H731" s="562">
        <v>8110392</v>
      </c>
      <c r="I731" s="562"/>
      <c r="J731" s="562"/>
    </row>
    <row r="732" spans="1:10" hidden="1" x14ac:dyDescent="0.25">
      <c r="A732" s="362">
        <v>6</v>
      </c>
      <c r="B732" s="364">
        <v>44011</v>
      </c>
      <c r="C732" s="362" t="s">
        <v>89</v>
      </c>
      <c r="D732" s="562">
        <v>113803895</v>
      </c>
      <c r="E732" s="562">
        <v>7159230</v>
      </c>
      <c r="F732" s="562">
        <v>120963200</v>
      </c>
      <c r="G732" s="562">
        <f t="shared" si="17"/>
        <v>-75</v>
      </c>
      <c r="H732" s="562">
        <v>8453394</v>
      </c>
      <c r="I732" s="562"/>
      <c r="J732" s="562"/>
    </row>
    <row r="733" spans="1:10" hidden="1" x14ac:dyDescent="0.25">
      <c r="A733" s="362">
        <v>7</v>
      </c>
      <c r="B733" s="364">
        <v>44011</v>
      </c>
      <c r="C733" s="362" t="s">
        <v>4751</v>
      </c>
      <c r="D733" s="562">
        <v>155405325</v>
      </c>
      <c r="E733" s="562">
        <v>8861075</v>
      </c>
      <c r="F733" s="562">
        <v>164266400</v>
      </c>
      <c r="G733" s="562">
        <f t="shared" si="17"/>
        <v>0</v>
      </c>
      <c r="H733" s="562">
        <v>4864885</v>
      </c>
      <c r="I733" s="562"/>
      <c r="J733" s="562"/>
    </row>
    <row r="734" spans="1:10" hidden="1" x14ac:dyDescent="0.25">
      <c r="A734" s="362">
        <v>8</v>
      </c>
      <c r="B734" s="364">
        <v>44011</v>
      </c>
      <c r="C734" s="362" t="s">
        <v>84</v>
      </c>
      <c r="D734" s="562">
        <v>163962457</v>
      </c>
      <c r="E734" s="562">
        <v>35903812</v>
      </c>
      <c r="F734" s="562">
        <v>199866300</v>
      </c>
      <c r="G734" s="562">
        <f t="shared" si="17"/>
        <v>-31</v>
      </c>
      <c r="H734" s="562">
        <v>5262013</v>
      </c>
      <c r="I734" s="562"/>
      <c r="J734" s="562"/>
    </row>
    <row r="735" spans="1:10" hidden="1" x14ac:dyDescent="0.25">
      <c r="A735" s="362">
        <v>9</v>
      </c>
      <c r="B735" s="364">
        <v>44011</v>
      </c>
      <c r="C735" s="362" t="s">
        <v>85</v>
      </c>
      <c r="D735" s="562">
        <v>21508650</v>
      </c>
      <c r="E735" s="562"/>
      <c r="F735" s="562">
        <v>21508700</v>
      </c>
      <c r="G735" s="562">
        <f t="shared" si="17"/>
        <v>-50</v>
      </c>
      <c r="H735" s="562"/>
      <c r="I735" s="562"/>
      <c r="J735" s="562"/>
    </row>
    <row r="736" spans="1:10" hidden="1" x14ac:dyDescent="0.25">
      <c r="A736" s="362">
        <v>10</v>
      </c>
      <c r="B736" s="364">
        <v>44011</v>
      </c>
      <c r="C736" s="362" t="s">
        <v>81</v>
      </c>
      <c r="D736" s="562">
        <v>82280544</v>
      </c>
      <c r="E736" s="562">
        <v>6523051</v>
      </c>
      <c r="F736" s="562">
        <v>88803600</v>
      </c>
      <c r="G736" s="562">
        <f t="shared" si="17"/>
        <v>-5</v>
      </c>
      <c r="H736" s="562">
        <v>7333304</v>
      </c>
      <c r="I736" s="562"/>
      <c r="J736" s="562"/>
    </row>
    <row r="737" spans="1:10" hidden="1" x14ac:dyDescent="0.25">
      <c r="A737" s="362">
        <v>11</v>
      </c>
      <c r="B737" s="364">
        <v>44011</v>
      </c>
      <c r="C737" s="362" t="s">
        <v>79</v>
      </c>
      <c r="D737" s="562">
        <v>43078797</v>
      </c>
      <c r="E737" s="562">
        <v>3619941</v>
      </c>
      <c r="F737" s="562">
        <v>46698800</v>
      </c>
      <c r="G737" s="562">
        <f t="shared" si="17"/>
        <v>-62</v>
      </c>
      <c r="H737" s="562">
        <v>2338564</v>
      </c>
      <c r="I737" s="562"/>
      <c r="J737" s="562"/>
    </row>
    <row r="738" spans="1:10" hidden="1" x14ac:dyDescent="0.25">
      <c r="A738" s="362">
        <v>12</v>
      </c>
      <c r="B738" s="364">
        <v>44011</v>
      </c>
      <c r="C738" s="362" t="s">
        <v>82</v>
      </c>
      <c r="D738" s="562">
        <v>70685360</v>
      </c>
      <c r="E738" s="562">
        <v>3753892</v>
      </c>
      <c r="F738" s="562">
        <v>74439300</v>
      </c>
      <c r="G738" s="562">
        <f t="shared" si="17"/>
        <v>-48</v>
      </c>
      <c r="H738" s="562">
        <v>3671636</v>
      </c>
      <c r="I738" s="562"/>
      <c r="J738" s="562"/>
    </row>
    <row r="739" spans="1:10" hidden="1" x14ac:dyDescent="0.25">
      <c r="A739" s="362">
        <v>13</v>
      </c>
      <c r="B739" s="364">
        <v>44011</v>
      </c>
      <c r="C739" s="362" t="s">
        <v>78</v>
      </c>
      <c r="D739" s="562">
        <v>55796350</v>
      </c>
      <c r="E739" s="562">
        <v>1817250</v>
      </c>
      <c r="F739" s="562">
        <v>57613600</v>
      </c>
      <c r="G739" s="562">
        <f t="shared" si="17"/>
        <v>0</v>
      </c>
      <c r="H739" s="562">
        <v>6593046</v>
      </c>
      <c r="I739" s="562"/>
      <c r="J739" s="562"/>
    </row>
    <row r="740" spans="1:10" hidden="1" x14ac:dyDescent="0.25">
      <c r="A740" s="362">
        <v>14</v>
      </c>
      <c r="B740" s="364">
        <v>44011</v>
      </c>
      <c r="C740" s="362" t="s">
        <v>166</v>
      </c>
      <c r="D740" s="562">
        <v>36308031</v>
      </c>
      <c r="E740" s="562"/>
      <c r="F740" s="562">
        <v>36308100</v>
      </c>
      <c r="G740" s="562">
        <f t="shared" si="17"/>
        <v>-69</v>
      </c>
      <c r="H740" s="562"/>
      <c r="I740" s="562"/>
      <c r="J740" s="562"/>
    </row>
    <row r="741" spans="1:10" hidden="1" x14ac:dyDescent="0.25">
      <c r="A741" s="362">
        <v>15</v>
      </c>
      <c r="B741" s="364">
        <v>44011</v>
      </c>
      <c r="C741" s="362" t="s">
        <v>3435</v>
      </c>
      <c r="D741" s="562"/>
      <c r="E741" s="562"/>
      <c r="F741" s="562">
        <v>29231000</v>
      </c>
      <c r="G741" s="562">
        <f t="shared" si="17"/>
        <v>-29231000</v>
      </c>
      <c r="H741" s="562"/>
      <c r="I741" s="562"/>
      <c r="J741" s="562"/>
    </row>
    <row r="742" spans="1:10" hidden="1" x14ac:dyDescent="0.25">
      <c r="A742" s="532"/>
      <c r="B742" s="532"/>
      <c r="C742" s="532"/>
      <c r="D742" s="564"/>
      <c r="E742" s="564"/>
      <c r="F742" s="564"/>
      <c r="G742" s="564">
        <f t="shared" si="17"/>
        <v>0</v>
      </c>
      <c r="H742" s="564"/>
      <c r="I742" s="564"/>
      <c r="J742" s="564"/>
    </row>
    <row r="743" spans="1:10" hidden="1" x14ac:dyDescent="0.25">
      <c r="A743" s="362">
        <v>1</v>
      </c>
      <c r="B743" s="364">
        <v>44012</v>
      </c>
      <c r="C743" s="362" t="s">
        <v>80</v>
      </c>
      <c r="D743" s="562">
        <v>260156317</v>
      </c>
      <c r="E743" s="562">
        <v>35992044</v>
      </c>
      <c r="F743" s="562">
        <v>296148200</v>
      </c>
      <c r="G743" s="562">
        <f t="shared" si="17"/>
        <v>161</v>
      </c>
      <c r="H743" s="562">
        <v>16391564</v>
      </c>
      <c r="I743" s="562"/>
      <c r="J743" s="562"/>
    </row>
    <row r="744" spans="1:10" hidden="1" x14ac:dyDescent="0.25">
      <c r="A744" s="362">
        <v>2</v>
      </c>
      <c r="B744" s="364">
        <v>44012</v>
      </c>
      <c r="C744" s="362" t="s">
        <v>83</v>
      </c>
      <c r="D744" s="562">
        <v>173285474</v>
      </c>
      <c r="E744" s="562">
        <v>21055844</v>
      </c>
      <c r="F744" s="562">
        <v>194345300</v>
      </c>
      <c r="G744" s="562">
        <f t="shared" si="17"/>
        <v>-3982</v>
      </c>
      <c r="H744" s="562">
        <v>9007869</v>
      </c>
      <c r="I744" s="562"/>
      <c r="J744" s="562"/>
    </row>
    <row r="745" spans="1:10" hidden="1" x14ac:dyDescent="0.25">
      <c r="A745" s="362">
        <v>3</v>
      </c>
      <c r="B745" s="364">
        <v>44012</v>
      </c>
      <c r="C745" s="362" t="s">
        <v>88</v>
      </c>
      <c r="D745" s="562">
        <v>96456200</v>
      </c>
      <c r="E745" s="562">
        <v>25294102</v>
      </c>
      <c r="F745" s="562">
        <v>121750400</v>
      </c>
      <c r="G745" s="562">
        <f t="shared" si="17"/>
        <v>-98</v>
      </c>
      <c r="H745" s="562">
        <v>721552</v>
      </c>
      <c r="I745" s="562"/>
      <c r="J745" s="562"/>
    </row>
    <row r="746" spans="1:10" hidden="1" x14ac:dyDescent="0.25">
      <c r="A746" s="362">
        <v>4</v>
      </c>
      <c r="B746" s="364">
        <v>44012</v>
      </c>
      <c r="C746" s="362" t="s">
        <v>146</v>
      </c>
      <c r="D746" s="562">
        <v>196439256</v>
      </c>
      <c r="E746" s="562">
        <v>98032157</v>
      </c>
      <c r="F746" s="562">
        <v>294471500</v>
      </c>
      <c r="G746" s="562">
        <f t="shared" si="17"/>
        <v>-87</v>
      </c>
      <c r="H746" s="562">
        <v>18571670</v>
      </c>
      <c r="I746" s="562"/>
      <c r="J746" s="562"/>
    </row>
    <row r="747" spans="1:10" hidden="1" x14ac:dyDescent="0.25">
      <c r="A747" s="362">
        <v>5</v>
      </c>
      <c r="B747" s="364">
        <v>44012</v>
      </c>
      <c r="C747" s="362" t="s">
        <v>86</v>
      </c>
      <c r="D747" s="562">
        <v>59345915</v>
      </c>
      <c r="E747" s="562">
        <v>4743295</v>
      </c>
      <c r="F747" s="562">
        <v>64089300</v>
      </c>
      <c r="G747" s="562">
        <f t="shared" si="17"/>
        <v>-90</v>
      </c>
      <c r="H747" s="562">
        <v>4335892</v>
      </c>
      <c r="I747" s="562"/>
      <c r="J747" s="562"/>
    </row>
    <row r="748" spans="1:10" hidden="1" x14ac:dyDescent="0.25">
      <c r="A748" s="362">
        <v>6</v>
      </c>
      <c r="B748" s="364">
        <v>44012</v>
      </c>
      <c r="C748" s="362" t="s">
        <v>89</v>
      </c>
      <c r="D748" s="562">
        <v>194455848</v>
      </c>
      <c r="E748" s="562">
        <v>3698752</v>
      </c>
      <c r="F748" s="562">
        <v>198154600</v>
      </c>
      <c r="G748" s="562">
        <f t="shared" si="17"/>
        <v>0</v>
      </c>
      <c r="H748" s="562">
        <v>5670641</v>
      </c>
      <c r="I748" s="562"/>
      <c r="J748" s="562"/>
    </row>
    <row r="749" spans="1:10" hidden="1" x14ac:dyDescent="0.25">
      <c r="A749" s="362">
        <v>7</v>
      </c>
      <c r="B749" s="364">
        <v>44012</v>
      </c>
      <c r="C749" s="362" t="s">
        <v>4751</v>
      </c>
      <c r="D749" s="562">
        <v>173019776</v>
      </c>
      <c r="E749" s="562">
        <v>16630224</v>
      </c>
      <c r="F749" s="562">
        <v>189650000</v>
      </c>
      <c r="G749" s="562">
        <f t="shared" si="17"/>
        <v>0</v>
      </c>
      <c r="H749" s="562">
        <v>4408945</v>
      </c>
      <c r="I749" s="562"/>
      <c r="J749" s="562"/>
    </row>
    <row r="750" spans="1:10" hidden="1" x14ac:dyDescent="0.25">
      <c r="A750" s="362">
        <v>8</v>
      </c>
      <c r="B750" s="364">
        <v>44012</v>
      </c>
      <c r="C750" s="362" t="s">
        <v>84</v>
      </c>
      <c r="D750" s="562">
        <v>305682426</v>
      </c>
      <c r="E750" s="562">
        <v>7728136</v>
      </c>
      <c r="F750" s="562">
        <v>313410700</v>
      </c>
      <c r="G750" s="562">
        <f t="shared" si="17"/>
        <v>-138</v>
      </c>
      <c r="H750" s="562">
        <v>5262013</v>
      </c>
      <c r="I750" s="562"/>
      <c r="J750" s="562"/>
    </row>
    <row r="751" spans="1:10" hidden="1" x14ac:dyDescent="0.25">
      <c r="A751" s="362">
        <v>9</v>
      </c>
      <c r="B751" s="364">
        <v>44012</v>
      </c>
      <c r="C751" s="362" t="s">
        <v>85</v>
      </c>
      <c r="D751" s="562">
        <v>29681200</v>
      </c>
      <c r="E751" s="562"/>
      <c r="F751" s="562">
        <v>29681200</v>
      </c>
      <c r="G751" s="562">
        <f t="shared" si="17"/>
        <v>0</v>
      </c>
      <c r="H751" s="562"/>
      <c r="I751" s="562"/>
      <c r="J751" s="562"/>
    </row>
    <row r="752" spans="1:10" hidden="1" x14ac:dyDescent="0.25">
      <c r="A752" s="362">
        <v>10</v>
      </c>
      <c r="B752" s="364">
        <v>44012</v>
      </c>
      <c r="C752" s="362" t="s">
        <v>81</v>
      </c>
      <c r="D752" s="562">
        <v>86447972</v>
      </c>
      <c r="E752" s="562">
        <v>20279430</v>
      </c>
      <c r="F752" s="562">
        <v>106727400</v>
      </c>
      <c r="G752" s="562">
        <f t="shared" si="17"/>
        <v>2</v>
      </c>
      <c r="H752" s="562">
        <v>15849826</v>
      </c>
      <c r="I752" s="562"/>
      <c r="J752" s="562"/>
    </row>
    <row r="753" spans="1:10" hidden="1" x14ac:dyDescent="0.25">
      <c r="A753" s="362">
        <v>11</v>
      </c>
      <c r="B753" s="364">
        <v>44012</v>
      </c>
      <c r="C753" s="362" t="s">
        <v>79</v>
      </c>
      <c r="D753" s="562">
        <v>77744033</v>
      </c>
      <c r="E753" s="562">
        <v>159490</v>
      </c>
      <c r="F753" s="562">
        <v>77903600</v>
      </c>
      <c r="G753" s="562">
        <f t="shared" si="17"/>
        <v>-77</v>
      </c>
      <c r="H753" s="562">
        <v>5807686</v>
      </c>
      <c r="I753" s="562"/>
      <c r="J753" s="562"/>
    </row>
    <row r="754" spans="1:10" hidden="1" x14ac:dyDescent="0.25">
      <c r="A754" s="362">
        <v>12</v>
      </c>
      <c r="B754" s="364">
        <v>44012</v>
      </c>
      <c r="C754" s="362" t="s">
        <v>82</v>
      </c>
      <c r="D754" s="562">
        <v>38590549</v>
      </c>
      <c r="E754" s="562">
        <v>7578000</v>
      </c>
      <c r="F754" s="562">
        <v>46168600</v>
      </c>
      <c r="G754" s="562">
        <f t="shared" si="17"/>
        <v>-51</v>
      </c>
      <c r="H754" s="562">
        <v>2328186</v>
      </c>
      <c r="I754" s="562"/>
      <c r="J754" s="562"/>
    </row>
    <row r="755" spans="1:10" hidden="1" x14ac:dyDescent="0.25">
      <c r="A755" s="362">
        <v>13</v>
      </c>
      <c r="B755" s="364">
        <v>44012</v>
      </c>
      <c r="C755" s="362" t="s">
        <v>78</v>
      </c>
      <c r="D755" s="562">
        <v>94946054</v>
      </c>
      <c r="E755" s="562">
        <v>4104946</v>
      </c>
      <c r="F755" s="562">
        <v>99051000</v>
      </c>
      <c r="G755" s="562">
        <f t="shared" si="17"/>
        <v>0</v>
      </c>
      <c r="H755" s="562">
        <v>15476056</v>
      </c>
      <c r="I755" s="562"/>
      <c r="J755" s="562"/>
    </row>
    <row r="756" spans="1:10" hidden="1" x14ac:dyDescent="0.25">
      <c r="A756" s="362">
        <v>14</v>
      </c>
      <c r="B756" s="364">
        <v>44012</v>
      </c>
      <c r="C756" s="362" t="s">
        <v>166</v>
      </c>
      <c r="D756" s="562">
        <v>49752414</v>
      </c>
      <c r="E756" s="562"/>
      <c r="F756" s="562">
        <v>49752500</v>
      </c>
      <c r="G756" s="562">
        <f t="shared" si="17"/>
        <v>-86</v>
      </c>
      <c r="H756" s="562"/>
      <c r="I756" s="562"/>
      <c r="J756" s="562"/>
    </row>
    <row r="757" spans="1:10" hidden="1" x14ac:dyDescent="0.25">
      <c r="A757" s="362">
        <v>15</v>
      </c>
      <c r="B757" s="364">
        <v>44012</v>
      </c>
      <c r="C757" s="362" t="s">
        <v>3435</v>
      </c>
      <c r="D757" s="562"/>
      <c r="E757" s="562"/>
      <c r="F757" s="562">
        <v>32445100</v>
      </c>
      <c r="G757" s="562">
        <f t="shared" si="17"/>
        <v>-32445100</v>
      </c>
      <c r="H757" s="562"/>
      <c r="I757" s="562"/>
      <c r="J757" s="562"/>
    </row>
    <row r="758" spans="1:10" hidden="1" x14ac:dyDescent="0.25">
      <c r="A758" s="532"/>
      <c r="B758" s="532"/>
      <c r="C758" s="532"/>
      <c r="D758" s="564"/>
      <c r="E758" s="564"/>
      <c r="F758" s="564"/>
      <c r="G758" s="564">
        <f t="shared" si="17"/>
        <v>0</v>
      </c>
      <c r="H758" s="564"/>
      <c r="I758" s="564"/>
      <c r="J758" s="564"/>
    </row>
    <row r="759" spans="1:10" hidden="1" x14ac:dyDescent="0.25">
      <c r="A759" s="362">
        <v>1</v>
      </c>
      <c r="B759" s="364">
        <v>44013</v>
      </c>
      <c r="C759" s="362" t="s">
        <v>80</v>
      </c>
      <c r="D759" s="562">
        <v>261186449</v>
      </c>
      <c r="E759" s="562"/>
      <c r="F759" s="562">
        <v>251186500</v>
      </c>
      <c r="G759" s="562">
        <f t="shared" si="17"/>
        <v>9999949</v>
      </c>
      <c r="H759" s="562">
        <v>3084677</v>
      </c>
      <c r="I759" s="562"/>
      <c r="J759" s="562"/>
    </row>
    <row r="760" spans="1:10" hidden="1" x14ac:dyDescent="0.25">
      <c r="A760" s="362">
        <v>2</v>
      </c>
      <c r="B760" s="364">
        <v>44013</v>
      </c>
      <c r="C760" s="362" t="s">
        <v>83</v>
      </c>
      <c r="D760" s="562">
        <v>397926985</v>
      </c>
      <c r="E760" s="562">
        <v>25705230</v>
      </c>
      <c r="F760" s="562">
        <v>423632300</v>
      </c>
      <c r="G760" s="562">
        <f t="shared" si="17"/>
        <v>-85</v>
      </c>
      <c r="H760" s="562">
        <v>5200259</v>
      </c>
      <c r="I760" s="562"/>
      <c r="J760" s="562"/>
    </row>
    <row r="761" spans="1:10" hidden="1" x14ac:dyDescent="0.25">
      <c r="A761" s="362">
        <v>3</v>
      </c>
      <c r="B761" s="364">
        <v>44013</v>
      </c>
      <c r="C761" s="362" t="s">
        <v>88</v>
      </c>
      <c r="D761" s="562">
        <v>199718714</v>
      </c>
      <c r="E761" s="562">
        <v>2152191</v>
      </c>
      <c r="F761" s="562">
        <v>201871000</v>
      </c>
      <c r="G761" s="562">
        <f t="shared" si="17"/>
        <v>-95</v>
      </c>
      <c r="H761" s="562">
        <v>14436451</v>
      </c>
      <c r="I761" s="562"/>
      <c r="J761" s="562"/>
    </row>
    <row r="762" spans="1:10" hidden="1" x14ac:dyDescent="0.25">
      <c r="A762" s="362">
        <v>4</v>
      </c>
      <c r="B762" s="364">
        <v>44013</v>
      </c>
      <c r="C762" s="362" t="s">
        <v>146</v>
      </c>
      <c r="D762" s="562">
        <v>59685508</v>
      </c>
      <c r="E762" s="562">
        <v>80750516</v>
      </c>
      <c r="F762" s="562">
        <v>140436400</v>
      </c>
      <c r="G762" s="562">
        <f t="shared" si="17"/>
        <v>-376</v>
      </c>
      <c r="H762" s="562">
        <v>15045670</v>
      </c>
      <c r="I762" s="562"/>
      <c r="J762" s="562"/>
    </row>
    <row r="763" spans="1:10" hidden="1" x14ac:dyDescent="0.25">
      <c r="A763" s="362">
        <v>5</v>
      </c>
      <c r="B763" s="364">
        <v>44013</v>
      </c>
      <c r="C763" s="362" t="s">
        <v>86</v>
      </c>
      <c r="D763" s="562">
        <v>48488368</v>
      </c>
      <c r="E763" s="562">
        <v>98469800</v>
      </c>
      <c r="F763" s="562">
        <v>146958200</v>
      </c>
      <c r="G763" s="562">
        <f t="shared" si="17"/>
        <v>-32</v>
      </c>
      <c r="H763" s="562">
        <v>4035892</v>
      </c>
      <c r="I763" s="562"/>
      <c r="J763" s="562"/>
    </row>
    <row r="764" spans="1:10" hidden="1" x14ac:dyDescent="0.25">
      <c r="A764" s="362">
        <v>6</v>
      </c>
      <c r="B764" s="364">
        <v>44013</v>
      </c>
      <c r="C764" s="362" t="s">
        <v>89</v>
      </c>
      <c r="D764" s="562">
        <v>130325700</v>
      </c>
      <c r="E764" s="562">
        <v>1454100</v>
      </c>
      <c r="F764" s="562">
        <v>131779800</v>
      </c>
      <c r="G764" s="562">
        <f t="shared" si="17"/>
        <v>0</v>
      </c>
      <c r="H764" s="562">
        <v>16621879</v>
      </c>
      <c r="I764" s="562"/>
      <c r="J764" s="562"/>
    </row>
    <row r="765" spans="1:10" hidden="1" x14ac:dyDescent="0.25">
      <c r="A765" s="362">
        <v>7</v>
      </c>
      <c r="B765" s="364">
        <v>44013</v>
      </c>
      <c r="C765" s="362" t="s">
        <v>4751</v>
      </c>
      <c r="D765" s="562">
        <v>164506063</v>
      </c>
      <c r="E765" s="562">
        <v>7231337</v>
      </c>
      <c r="F765" s="562">
        <v>171737400</v>
      </c>
      <c r="G765" s="562">
        <f t="shared" si="17"/>
        <v>0</v>
      </c>
      <c r="H765" s="562">
        <v>26085018</v>
      </c>
      <c r="I765" s="562"/>
      <c r="J765" s="562"/>
    </row>
    <row r="766" spans="1:10" hidden="1" x14ac:dyDescent="0.25">
      <c r="A766" s="362">
        <v>8</v>
      </c>
      <c r="B766" s="364">
        <v>44013</v>
      </c>
      <c r="C766" s="362" t="s">
        <v>84</v>
      </c>
      <c r="D766" s="562">
        <v>235160051</v>
      </c>
      <c r="E766" s="562">
        <v>104988240</v>
      </c>
      <c r="F766" s="562">
        <v>340148000</v>
      </c>
      <c r="G766" s="562">
        <f t="shared" si="17"/>
        <v>291</v>
      </c>
      <c r="H766" s="562">
        <v>19039889</v>
      </c>
      <c r="I766" s="562"/>
      <c r="J766" s="562"/>
    </row>
    <row r="767" spans="1:10" hidden="1" x14ac:dyDescent="0.25">
      <c r="A767" s="362">
        <v>9</v>
      </c>
      <c r="B767" s="364">
        <v>44013</v>
      </c>
      <c r="C767" s="362" t="s">
        <v>85</v>
      </c>
      <c r="D767" s="562">
        <v>39887767</v>
      </c>
      <c r="E767" s="562"/>
      <c r="F767" s="562">
        <v>39887800</v>
      </c>
      <c r="G767" s="562">
        <f t="shared" si="17"/>
        <v>-33</v>
      </c>
      <c r="H767" s="562"/>
      <c r="I767" s="562"/>
      <c r="J767" s="562"/>
    </row>
    <row r="768" spans="1:10" hidden="1" x14ac:dyDescent="0.25">
      <c r="A768" s="362">
        <v>10</v>
      </c>
      <c r="B768" s="364">
        <v>44013</v>
      </c>
      <c r="C768" s="362" t="s">
        <v>81</v>
      </c>
      <c r="D768" s="562">
        <v>110648460</v>
      </c>
      <c r="E768" s="562"/>
      <c r="F768" s="562">
        <v>117830400</v>
      </c>
      <c r="G768" s="562">
        <f t="shared" si="17"/>
        <v>-7181940</v>
      </c>
      <c r="H768" s="562">
        <v>14115328</v>
      </c>
      <c r="I768" s="562"/>
      <c r="J768" s="562"/>
    </row>
    <row r="769" spans="1:10" hidden="1" x14ac:dyDescent="0.25">
      <c r="A769" s="362">
        <v>11</v>
      </c>
      <c r="B769" s="364">
        <v>44013</v>
      </c>
      <c r="C769" s="362" t="s">
        <v>79</v>
      </c>
      <c r="D769" s="562">
        <v>52386032</v>
      </c>
      <c r="E769" s="562">
        <v>1023256</v>
      </c>
      <c r="F769" s="562">
        <v>47409300</v>
      </c>
      <c r="G769" s="562">
        <f t="shared" si="17"/>
        <v>5999988</v>
      </c>
      <c r="H769" s="562">
        <v>4867686</v>
      </c>
      <c r="I769" s="562"/>
      <c r="J769" s="562"/>
    </row>
    <row r="770" spans="1:10" hidden="1" x14ac:dyDescent="0.25">
      <c r="A770" s="362">
        <v>12</v>
      </c>
      <c r="B770" s="364">
        <v>44013</v>
      </c>
      <c r="C770" s="362" t="s">
        <v>82</v>
      </c>
      <c r="D770" s="562">
        <v>77804918</v>
      </c>
      <c r="E770" s="562"/>
      <c r="F770" s="562">
        <v>77805000</v>
      </c>
      <c r="G770" s="562">
        <f t="shared" si="17"/>
        <v>-82</v>
      </c>
      <c r="H770" s="562">
        <v>8310927</v>
      </c>
      <c r="I770" s="562"/>
      <c r="J770" s="562"/>
    </row>
    <row r="771" spans="1:10" hidden="1" x14ac:dyDescent="0.25">
      <c r="A771" s="362">
        <v>13</v>
      </c>
      <c r="B771" s="364">
        <v>44013</v>
      </c>
      <c r="C771" s="362" t="s">
        <v>78</v>
      </c>
      <c r="D771" s="562">
        <v>146418759</v>
      </c>
      <c r="E771" s="562">
        <v>1664041</v>
      </c>
      <c r="F771" s="562">
        <v>148082800</v>
      </c>
      <c r="G771" s="562">
        <f t="shared" si="17"/>
        <v>0</v>
      </c>
      <c r="H771" s="562">
        <v>14499431</v>
      </c>
      <c r="I771" s="562"/>
      <c r="J771" s="562"/>
    </row>
    <row r="772" spans="1:10" hidden="1" x14ac:dyDescent="0.25">
      <c r="A772" s="362">
        <v>14</v>
      </c>
      <c r="B772" s="364">
        <v>44013</v>
      </c>
      <c r="C772" s="362" t="s">
        <v>166</v>
      </c>
      <c r="D772" s="562">
        <v>67478350</v>
      </c>
      <c r="E772" s="562"/>
      <c r="F772" s="562">
        <v>67478400</v>
      </c>
      <c r="G772" s="562">
        <f t="shared" si="17"/>
        <v>-50</v>
      </c>
      <c r="H772" s="562"/>
      <c r="I772" s="562"/>
      <c r="J772" s="562"/>
    </row>
    <row r="773" spans="1:10" hidden="1" x14ac:dyDescent="0.25">
      <c r="A773" s="362">
        <v>15</v>
      </c>
      <c r="B773" s="364">
        <v>44013</v>
      </c>
      <c r="C773" s="362" t="s">
        <v>3435</v>
      </c>
      <c r="D773" s="562"/>
      <c r="E773" s="562"/>
      <c r="F773" s="562">
        <v>65331500</v>
      </c>
      <c r="G773" s="562">
        <f t="shared" si="17"/>
        <v>-65331500</v>
      </c>
      <c r="H773" s="562"/>
      <c r="I773" s="562"/>
      <c r="J773" s="562"/>
    </row>
    <row r="774" spans="1:10" hidden="1" x14ac:dyDescent="0.25">
      <c r="A774" s="532"/>
      <c r="B774" s="591"/>
      <c r="C774" s="532"/>
      <c r="D774" s="564"/>
      <c r="E774" s="564"/>
      <c r="F774" s="564"/>
      <c r="G774" s="564">
        <f t="shared" si="17"/>
        <v>0</v>
      </c>
      <c r="H774" s="564"/>
      <c r="I774" s="564"/>
      <c r="J774" s="564"/>
    </row>
    <row r="775" spans="1:10" hidden="1" x14ac:dyDescent="0.25">
      <c r="A775" s="362">
        <v>1</v>
      </c>
      <c r="B775" s="364">
        <v>44014</v>
      </c>
      <c r="C775" s="362" t="s">
        <v>80</v>
      </c>
      <c r="D775" s="562">
        <v>232733197</v>
      </c>
      <c r="E775" s="562">
        <v>26515731</v>
      </c>
      <c r="F775" s="562">
        <v>259250000</v>
      </c>
      <c r="G775" s="562">
        <f t="shared" ref="G775:G838" si="18">D775+E775-F775</f>
        <v>-1072</v>
      </c>
      <c r="H775" s="562">
        <v>12043011</v>
      </c>
      <c r="I775" s="562">
        <v>12043012</v>
      </c>
      <c r="J775" s="562">
        <f>H775-I775</f>
        <v>-1</v>
      </c>
    </row>
    <row r="776" spans="1:10" hidden="1" x14ac:dyDescent="0.25">
      <c r="A776" s="362">
        <v>2</v>
      </c>
      <c r="B776" s="364">
        <v>44014</v>
      </c>
      <c r="C776" s="362" t="s">
        <v>83</v>
      </c>
      <c r="D776" s="562">
        <v>201254899</v>
      </c>
      <c r="E776" s="562">
        <v>26964119</v>
      </c>
      <c r="F776" s="562">
        <v>228219000</v>
      </c>
      <c r="G776" s="562">
        <f t="shared" si="18"/>
        <v>18</v>
      </c>
      <c r="H776" s="562">
        <v>4639609</v>
      </c>
      <c r="I776" s="562">
        <v>4639609</v>
      </c>
      <c r="J776" s="562">
        <f t="shared" ref="J776:J789" si="19">H776-I776</f>
        <v>0</v>
      </c>
    </row>
    <row r="777" spans="1:10" hidden="1" x14ac:dyDescent="0.25">
      <c r="A777" s="362">
        <v>3</v>
      </c>
      <c r="B777" s="364">
        <v>44014</v>
      </c>
      <c r="C777" s="362" t="s">
        <v>88</v>
      </c>
      <c r="D777" s="562">
        <v>296489286</v>
      </c>
      <c r="E777" s="562">
        <v>66105795</v>
      </c>
      <c r="F777" s="562">
        <v>362595100</v>
      </c>
      <c r="G777" s="562">
        <f t="shared" si="18"/>
        <v>-19</v>
      </c>
      <c r="H777" s="562">
        <v>3280208</v>
      </c>
      <c r="I777" s="562"/>
      <c r="J777" s="562">
        <f t="shared" si="19"/>
        <v>3280208</v>
      </c>
    </row>
    <row r="778" spans="1:10" hidden="1" x14ac:dyDescent="0.25">
      <c r="A778" s="362">
        <v>4</v>
      </c>
      <c r="B778" s="364">
        <v>44014</v>
      </c>
      <c r="C778" s="362" t="s">
        <v>146</v>
      </c>
      <c r="D778" s="562">
        <v>74099730</v>
      </c>
      <c r="E778" s="562">
        <v>176012298</v>
      </c>
      <c r="F778" s="562">
        <v>250111600</v>
      </c>
      <c r="G778" s="562">
        <f t="shared" si="18"/>
        <v>428</v>
      </c>
      <c r="H778" s="562">
        <v>7697252</v>
      </c>
      <c r="I778" s="562"/>
      <c r="J778" s="562">
        <f t="shared" si="19"/>
        <v>7697252</v>
      </c>
    </row>
    <row r="779" spans="1:10" hidden="1" x14ac:dyDescent="0.25">
      <c r="A779" s="362">
        <v>5</v>
      </c>
      <c r="B779" s="364">
        <v>44014</v>
      </c>
      <c r="C779" s="362" t="s">
        <v>86</v>
      </c>
      <c r="D779" s="562">
        <v>66482865</v>
      </c>
      <c r="E779" s="562">
        <v>88634134</v>
      </c>
      <c r="F779" s="562">
        <v>155117000</v>
      </c>
      <c r="G779" s="562">
        <f t="shared" si="18"/>
        <v>-1</v>
      </c>
      <c r="H779" s="562">
        <v>1307204</v>
      </c>
      <c r="I779" s="562"/>
      <c r="J779" s="562">
        <f t="shared" si="19"/>
        <v>1307204</v>
      </c>
    </row>
    <row r="780" spans="1:10" hidden="1" x14ac:dyDescent="0.25">
      <c r="A780" s="362">
        <v>6</v>
      </c>
      <c r="B780" s="364">
        <v>44014</v>
      </c>
      <c r="C780" s="362" t="s">
        <v>89</v>
      </c>
      <c r="D780" s="562">
        <v>184065968</v>
      </c>
      <c r="E780" s="562">
        <v>5800932</v>
      </c>
      <c r="F780" s="562">
        <v>189866900</v>
      </c>
      <c r="G780" s="562">
        <f t="shared" si="18"/>
        <v>0</v>
      </c>
      <c r="H780" s="562">
        <v>8986497</v>
      </c>
      <c r="I780" s="562">
        <v>8986497</v>
      </c>
      <c r="J780" s="562">
        <f t="shared" si="19"/>
        <v>0</v>
      </c>
    </row>
    <row r="781" spans="1:10" hidden="1" x14ac:dyDescent="0.25">
      <c r="A781" s="362">
        <v>7</v>
      </c>
      <c r="B781" s="364">
        <v>44014</v>
      </c>
      <c r="C781" s="362" t="s">
        <v>4751</v>
      </c>
      <c r="D781" s="562">
        <v>299429850</v>
      </c>
      <c r="E781" s="562">
        <v>16989150</v>
      </c>
      <c r="F781" s="562">
        <v>316419000</v>
      </c>
      <c r="G781" s="562">
        <f t="shared" si="18"/>
        <v>0</v>
      </c>
      <c r="H781" s="562">
        <v>15446424</v>
      </c>
      <c r="I781" s="562"/>
      <c r="J781" s="562">
        <f t="shared" si="19"/>
        <v>15446424</v>
      </c>
    </row>
    <row r="782" spans="1:10" hidden="1" x14ac:dyDescent="0.25">
      <c r="A782" s="362">
        <v>8</v>
      </c>
      <c r="B782" s="364">
        <v>44014</v>
      </c>
      <c r="C782" s="362" t="s">
        <v>84</v>
      </c>
      <c r="D782" s="562">
        <v>285990113</v>
      </c>
      <c r="E782" s="562">
        <v>10075919</v>
      </c>
      <c r="F782" s="562">
        <v>296067700</v>
      </c>
      <c r="G782" s="562">
        <f t="shared" si="18"/>
        <v>-1668</v>
      </c>
      <c r="H782" s="562">
        <v>4632889</v>
      </c>
      <c r="I782" s="562">
        <v>4632889</v>
      </c>
      <c r="J782" s="562">
        <f t="shared" si="19"/>
        <v>0</v>
      </c>
    </row>
    <row r="783" spans="1:10" hidden="1" x14ac:dyDescent="0.25">
      <c r="A783" s="362">
        <v>9</v>
      </c>
      <c r="B783" s="364">
        <v>44014</v>
      </c>
      <c r="C783" s="362" t="s">
        <v>85</v>
      </c>
      <c r="D783" s="562">
        <v>27499800</v>
      </c>
      <c r="E783" s="562"/>
      <c r="F783" s="562">
        <v>27499800</v>
      </c>
      <c r="G783" s="562">
        <f t="shared" si="18"/>
        <v>0</v>
      </c>
      <c r="H783" s="562"/>
      <c r="I783" s="562"/>
      <c r="J783" s="562">
        <f t="shared" si="19"/>
        <v>0</v>
      </c>
    </row>
    <row r="784" spans="1:10" hidden="1" x14ac:dyDescent="0.25">
      <c r="A784" s="362">
        <v>10</v>
      </c>
      <c r="B784" s="364">
        <v>44014</v>
      </c>
      <c r="C784" s="362" t="s">
        <v>81</v>
      </c>
      <c r="D784" s="562">
        <v>71914078</v>
      </c>
      <c r="E784" s="562">
        <v>21871862</v>
      </c>
      <c r="F784" s="562">
        <v>93786000</v>
      </c>
      <c r="G784" s="562">
        <f t="shared" si="18"/>
        <v>-60</v>
      </c>
      <c r="H784" s="562">
        <v>11184140</v>
      </c>
      <c r="I784" s="562"/>
      <c r="J784" s="562">
        <f t="shared" si="19"/>
        <v>11184140</v>
      </c>
    </row>
    <row r="785" spans="1:10" hidden="1" x14ac:dyDescent="0.25">
      <c r="A785" s="362">
        <v>11</v>
      </c>
      <c r="B785" s="364">
        <v>44014</v>
      </c>
      <c r="C785" s="362" t="s">
        <v>79</v>
      </c>
      <c r="D785" s="562">
        <v>98097975</v>
      </c>
      <c r="E785" s="562">
        <v>324640</v>
      </c>
      <c r="F785" s="562">
        <v>98422700</v>
      </c>
      <c r="G785" s="562">
        <f t="shared" si="18"/>
        <v>-85</v>
      </c>
      <c r="H785" s="562">
        <v>3480586</v>
      </c>
      <c r="I785" s="562">
        <v>3480586</v>
      </c>
      <c r="J785" s="562">
        <f t="shared" si="19"/>
        <v>0</v>
      </c>
    </row>
    <row r="786" spans="1:10" hidden="1" x14ac:dyDescent="0.25">
      <c r="A786" s="362">
        <v>12</v>
      </c>
      <c r="B786" s="364">
        <v>44014</v>
      </c>
      <c r="C786" s="362" t="s">
        <v>82</v>
      </c>
      <c r="D786" s="562">
        <v>58361335</v>
      </c>
      <c r="E786" s="562"/>
      <c r="F786" s="562">
        <v>58361400</v>
      </c>
      <c r="G786" s="562">
        <f t="shared" si="18"/>
        <v>-65</v>
      </c>
      <c r="H786" s="562">
        <v>5202527</v>
      </c>
      <c r="I786" s="562">
        <v>5202527</v>
      </c>
      <c r="J786" s="562">
        <f t="shared" si="19"/>
        <v>0</v>
      </c>
    </row>
    <row r="787" spans="1:10" hidden="1" x14ac:dyDescent="0.25">
      <c r="A787" s="362">
        <v>13</v>
      </c>
      <c r="B787" s="364">
        <v>44014</v>
      </c>
      <c r="C787" s="362" t="s">
        <v>78</v>
      </c>
      <c r="D787" s="562">
        <v>62889955</v>
      </c>
      <c r="E787" s="562">
        <v>3300345</v>
      </c>
      <c r="F787" s="562">
        <v>66190300</v>
      </c>
      <c r="G787" s="562">
        <f t="shared" si="18"/>
        <v>0</v>
      </c>
      <c r="H787" s="562">
        <v>8775831</v>
      </c>
      <c r="I787" s="562">
        <v>8775831</v>
      </c>
      <c r="J787" s="562">
        <f t="shared" si="19"/>
        <v>0</v>
      </c>
    </row>
    <row r="788" spans="1:10" hidden="1" x14ac:dyDescent="0.25">
      <c r="A788" s="362">
        <v>14</v>
      </c>
      <c r="B788" s="364">
        <v>44014</v>
      </c>
      <c r="C788" s="362" t="s">
        <v>166</v>
      </c>
      <c r="D788" s="562">
        <v>74840543</v>
      </c>
      <c r="E788" s="562"/>
      <c r="F788" s="562">
        <v>74840500</v>
      </c>
      <c r="G788" s="562">
        <f t="shared" si="18"/>
        <v>43</v>
      </c>
      <c r="H788" s="562"/>
      <c r="I788" s="562"/>
      <c r="J788" s="562">
        <f t="shared" si="19"/>
        <v>0</v>
      </c>
    </row>
    <row r="789" spans="1:10" hidden="1" x14ac:dyDescent="0.25">
      <c r="A789" s="362">
        <v>15</v>
      </c>
      <c r="B789" s="364">
        <v>44014</v>
      </c>
      <c r="C789" s="362" t="s">
        <v>3435</v>
      </c>
      <c r="D789" s="562"/>
      <c r="E789" s="562"/>
      <c r="F789" s="562">
        <v>46362800</v>
      </c>
      <c r="G789" s="562">
        <f t="shared" si="18"/>
        <v>-46362800</v>
      </c>
      <c r="H789" s="562"/>
      <c r="I789" s="562"/>
      <c r="J789" s="562">
        <f t="shared" si="19"/>
        <v>0</v>
      </c>
    </row>
    <row r="790" spans="1:10" hidden="1" x14ac:dyDescent="0.25">
      <c r="A790" s="532"/>
      <c r="B790" s="591"/>
      <c r="C790" s="532"/>
      <c r="D790" s="564"/>
      <c r="E790" s="564"/>
      <c r="F790" s="564"/>
      <c r="G790" s="564">
        <f t="shared" si="18"/>
        <v>0</v>
      </c>
      <c r="H790" s="564"/>
      <c r="I790" s="564"/>
      <c r="J790" s="564"/>
    </row>
    <row r="791" spans="1:10" hidden="1" x14ac:dyDescent="0.25">
      <c r="A791" s="362">
        <v>1</v>
      </c>
      <c r="B791" s="364">
        <v>44015</v>
      </c>
      <c r="C791" s="362" t="s">
        <v>80</v>
      </c>
      <c r="D791" s="562">
        <v>227589169</v>
      </c>
      <c r="E791" s="562">
        <v>30322388</v>
      </c>
      <c r="F791" s="562">
        <v>257912400</v>
      </c>
      <c r="G791" s="562">
        <f t="shared" si="18"/>
        <v>-843</v>
      </c>
      <c r="H791" s="562">
        <v>16391964</v>
      </c>
      <c r="I791" s="562"/>
      <c r="J791" s="562">
        <f>H791-I791</f>
        <v>16391964</v>
      </c>
    </row>
    <row r="792" spans="1:10" hidden="1" x14ac:dyDescent="0.25">
      <c r="A792" s="362">
        <v>2</v>
      </c>
      <c r="B792" s="364">
        <v>44015</v>
      </c>
      <c r="C792" s="362" t="s">
        <v>83</v>
      </c>
      <c r="D792" s="562">
        <v>303253544</v>
      </c>
      <c r="E792" s="562">
        <v>3462443</v>
      </c>
      <c r="F792" s="562">
        <v>306716000</v>
      </c>
      <c r="G792" s="562">
        <f t="shared" si="18"/>
        <v>-13</v>
      </c>
      <c r="H792" s="562">
        <v>737984</v>
      </c>
      <c r="I792" s="562"/>
      <c r="J792" s="562">
        <f t="shared" ref="J792:J805" si="20">H792-I792</f>
        <v>737984</v>
      </c>
    </row>
    <row r="793" spans="1:10" hidden="1" x14ac:dyDescent="0.25">
      <c r="A793" s="362">
        <v>3</v>
      </c>
      <c r="B793" s="364">
        <v>44015</v>
      </c>
      <c r="C793" s="362" t="s">
        <v>88</v>
      </c>
      <c r="D793" s="562">
        <v>134255110</v>
      </c>
      <c r="E793" s="562">
        <v>53918094</v>
      </c>
      <c r="F793" s="562">
        <v>188173300</v>
      </c>
      <c r="G793" s="562">
        <f t="shared" si="18"/>
        <v>-96</v>
      </c>
      <c r="H793" s="562">
        <v>3280648</v>
      </c>
      <c r="I793" s="562">
        <v>3280648</v>
      </c>
      <c r="J793" s="562">
        <f t="shared" si="20"/>
        <v>0</v>
      </c>
    </row>
    <row r="794" spans="1:10" hidden="1" x14ac:dyDescent="0.25">
      <c r="A794" s="362">
        <v>4</v>
      </c>
      <c r="B794" s="364">
        <v>44015</v>
      </c>
      <c r="C794" s="362" t="s">
        <v>146</v>
      </c>
      <c r="D794" s="562">
        <v>55643370</v>
      </c>
      <c r="E794" s="562">
        <v>48482388</v>
      </c>
      <c r="F794" s="562">
        <v>104126200</v>
      </c>
      <c r="G794" s="562">
        <f t="shared" si="18"/>
        <v>-442</v>
      </c>
      <c r="H794" s="562">
        <v>5677637</v>
      </c>
      <c r="I794" s="562">
        <v>5677637</v>
      </c>
      <c r="J794" s="562">
        <f t="shared" si="20"/>
        <v>0</v>
      </c>
    </row>
    <row r="795" spans="1:10" hidden="1" x14ac:dyDescent="0.25">
      <c r="A795" s="362">
        <v>5</v>
      </c>
      <c r="B795" s="364">
        <v>44015</v>
      </c>
      <c r="C795" s="362" t="s">
        <v>86</v>
      </c>
      <c r="D795" s="562">
        <v>76619303</v>
      </c>
      <c r="E795" s="562">
        <v>11918000</v>
      </c>
      <c r="F795" s="562">
        <v>88537400</v>
      </c>
      <c r="G795" s="562">
        <f t="shared" si="18"/>
        <v>-97</v>
      </c>
      <c r="H795" s="562">
        <v>1007204</v>
      </c>
      <c r="I795" s="562">
        <v>1307204</v>
      </c>
      <c r="J795" s="562">
        <f t="shared" si="20"/>
        <v>-300000</v>
      </c>
    </row>
    <row r="796" spans="1:10" hidden="1" x14ac:dyDescent="0.25">
      <c r="A796" s="362">
        <v>6</v>
      </c>
      <c r="B796" s="364">
        <v>44015</v>
      </c>
      <c r="C796" s="362" t="s">
        <v>89</v>
      </c>
      <c r="D796" s="562">
        <v>258218885</v>
      </c>
      <c r="E796" s="562">
        <v>4615515</v>
      </c>
      <c r="F796" s="562">
        <v>262834400</v>
      </c>
      <c r="G796" s="562">
        <f t="shared" si="18"/>
        <v>0</v>
      </c>
      <c r="H796" s="562"/>
      <c r="I796" s="562">
        <v>8948497</v>
      </c>
      <c r="J796" s="562">
        <f t="shared" si="20"/>
        <v>-8948497</v>
      </c>
    </row>
    <row r="797" spans="1:10" hidden="1" x14ac:dyDescent="0.25">
      <c r="A797" s="362">
        <v>7</v>
      </c>
      <c r="B797" s="364">
        <v>44015</v>
      </c>
      <c r="C797" s="362" t="s">
        <v>4751</v>
      </c>
      <c r="D797" s="562">
        <v>127502820</v>
      </c>
      <c r="E797" s="562">
        <v>10293580</v>
      </c>
      <c r="F797" s="562">
        <v>137796400</v>
      </c>
      <c r="G797" s="562">
        <f t="shared" si="18"/>
        <v>0</v>
      </c>
      <c r="H797" s="562">
        <v>11114524</v>
      </c>
      <c r="I797" s="562">
        <v>11603924</v>
      </c>
      <c r="J797" s="562">
        <f t="shared" si="20"/>
        <v>-489400</v>
      </c>
    </row>
    <row r="798" spans="1:10" hidden="1" x14ac:dyDescent="0.25">
      <c r="A798" s="362">
        <v>8</v>
      </c>
      <c r="B798" s="364">
        <v>44015</v>
      </c>
      <c r="C798" s="362" t="s">
        <v>84</v>
      </c>
      <c r="D798" s="562">
        <v>236252100</v>
      </c>
      <c r="E798" s="562">
        <v>10300909</v>
      </c>
      <c r="F798" s="562">
        <v>246552900</v>
      </c>
      <c r="G798" s="562">
        <f t="shared" si="18"/>
        <v>109</v>
      </c>
      <c r="H798" s="562">
        <v>4632889</v>
      </c>
      <c r="I798" s="562"/>
      <c r="J798" s="562">
        <f t="shared" si="20"/>
        <v>4632889</v>
      </c>
    </row>
    <row r="799" spans="1:10" hidden="1" x14ac:dyDescent="0.25">
      <c r="A799" s="362">
        <v>9</v>
      </c>
      <c r="B799" s="364">
        <v>44015</v>
      </c>
      <c r="C799" s="362" t="s">
        <v>85</v>
      </c>
      <c r="D799" s="562">
        <v>24184763</v>
      </c>
      <c r="E799" s="562">
        <v>1050754</v>
      </c>
      <c r="F799" s="562">
        <v>25235600</v>
      </c>
      <c r="G799" s="562">
        <f t="shared" si="18"/>
        <v>-83</v>
      </c>
      <c r="H799" s="562"/>
      <c r="I799" s="562"/>
      <c r="J799" s="562">
        <f t="shared" si="20"/>
        <v>0</v>
      </c>
    </row>
    <row r="800" spans="1:10" hidden="1" x14ac:dyDescent="0.25">
      <c r="A800" s="362">
        <v>10</v>
      </c>
      <c r="B800" s="364">
        <v>44015</v>
      </c>
      <c r="C800" s="362" t="s">
        <v>81</v>
      </c>
      <c r="D800" s="562">
        <v>57075976</v>
      </c>
      <c r="E800" s="562">
        <v>19964642</v>
      </c>
      <c r="F800" s="562">
        <v>77040700</v>
      </c>
      <c r="G800" s="562">
        <f t="shared" si="18"/>
        <v>-82</v>
      </c>
      <c r="H800" s="562">
        <v>4646240</v>
      </c>
      <c r="I800" s="562">
        <v>4646240</v>
      </c>
      <c r="J800" s="562">
        <f t="shared" si="20"/>
        <v>0</v>
      </c>
    </row>
    <row r="801" spans="1:10" hidden="1" x14ac:dyDescent="0.25">
      <c r="A801" s="362">
        <v>11</v>
      </c>
      <c r="B801" s="364">
        <v>44015</v>
      </c>
      <c r="C801" s="362" t="s">
        <v>79</v>
      </c>
      <c r="D801" s="562">
        <v>50138257</v>
      </c>
      <c r="E801" s="562">
        <v>17825781</v>
      </c>
      <c r="F801" s="562">
        <v>67964100</v>
      </c>
      <c r="G801" s="562">
        <f t="shared" si="18"/>
        <v>-62</v>
      </c>
      <c r="H801" s="562">
        <v>3220586</v>
      </c>
      <c r="I801" s="562"/>
      <c r="J801" s="562">
        <f t="shared" si="20"/>
        <v>3220586</v>
      </c>
    </row>
    <row r="802" spans="1:10" hidden="1" x14ac:dyDescent="0.25">
      <c r="A802" s="362">
        <v>12</v>
      </c>
      <c r="B802" s="364">
        <v>44015</v>
      </c>
      <c r="C802" s="362" t="s">
        <v>82</v>
      </c>
      <c r="D802" s="562">
        <v>230103024</v>
      </c>
      <c r="E802" s="562">
        <v>3011600</v>
      </c>
      <c r="F802" s="562">
        <v>233114700</v>
      </c>
      <c r="G802" s="562">
        <f t="shared" si="18"/>
        <v>-76</v>
      </c>
      <c r="H802" s="562">
        <v>5202527</v>
      </c>
      <c r="I802" s="562"/>
      <c r="J802" s="562">
        <f t="shared" si="20"/>
        <v>5202527</v>
      </c>
    </row>
    <row r="803" spans="1:10" hidden="1" x14ac:dyDescent="0.25">
      <c r="A803" s="362">
        <v>13</v>
      </c>
      <c r="B803" s="364">
        <v>44015</v>
      </c>
      <c r="C803" s="362" t="s">
        <v>78</v>
      </c>
      <c r="D803" s="562">
        <v>80884816</v>
      </c>
      <c r="E803" s="562">
        <v>2827884</v>
      </c>
      <c r="F803" s="562">
        <v>83712700</v>
      </c>
      <c r="G803" s="562">
        <f t="shared" si="18"/>
        <v>0</v>
      </c>
      <c r="H803" s="562">
        <v>8775831</v>
      </c>
      <c r="I803" s="562"/>
      <c r="J803" s="562">
        <f t="shared" si="20"/>
        <v>8775831</v>
      </c>
    </row>
    <row r="804" spans="1:10" hidden="1" x14ac:dyDescent="0.25">
      <c r="A804" s="362">
        <v>14</v>
      </c>
      <c r="B804" s="364">
        <v>44015</v>
      </c>
      <c r="C804" s="362" t="s">
        <v>166</v>
      </c>
      <c r="D804" s="562">
        <v>67861955</v>
      </c>
      <c r="E804" s="562"/>
      <c r="F804" s="562">
        <v>67862000</v>
      </c>
      <c r="G804" s="562">
        <f t="shared" si="18"/>
        <v>-45</v>
      </c>
      <c r="H804" s="562"/>
      <c r="I804" s="562"/>
      <c r="J804" s="562">
        <f t="shared" si="20"/>
        <v>0</v>
      </c>
    </row>
    <row r="805" spans="1:10" hidden="1" x14ac:dyDescent="0.25">
      <c r="A805" s="362">
        <v>15</v>
      </c>
      <c r="B805" s="364">
        <v>44015</v>
      </c>
      <c r="C805" s="362" t="s">
        <v>3435</v>
      </c>
      <c r="D805" s="562"/>
      <c r="E805" s="562"/>
      <c r="F805" s="562">
        <v>30065800</v>
      </c>
      <c r="G805" s="562">
        <f t="shared" si="18"/>
        <v>-30065800</v>
      </c>
      <c r="H805" s="562"/>
      <c r="I805" s="562"/>
      <c r="J805" s="562">
        <f t="shared" si="20"/>
        <v>0</v>
      </c>
    </row>
    <row r="806" spans="1:10" hidden="1" x14ac:dyDescent="0.25">
      <c r="A806" s="532"/>
      <c r="B806" s="591"/>
      <c r="C806" s="532"/>
      <c r="D806" s="564"/>
      <c r="E806" s="564"/>
      <c r="F806" s="564"/>
      <c r="G806" s="564">
        <f t="shared" si="18"/>
        <v>0</v>
      </c>
      <c r="H806" s="564"/>
      <c r="I806" s="564"/>
      <c r="J806" s="564"/>
    </row>
    <row r="807" spans="1:10" hidden="1" x14ac:dyDescent="0.25">
      <c r="A807" s="362">
        <v>1</v>
      </c>
      <c r="B807" s="364">
        <v>44016</v>
      </c>
      <c r="C807" s="362" t="s">
        <v>80</v>
      </c>
      <c r="D807" s="562">
        <v>145089810</v>
      </c>
      <c r="E807" s="562"/>
      <c r="F807" s="562">
        <v>145090100</v>
      </c>
      <c r="G807" s="562">
        <f t="shared" si="18"/>
        <v>-290</v>
      </c>
      <c r="H807" s="562">
        <v>12043011</v>
      </c>
      <c r="I807" s="562"/>
      <c r="J807" s="562"/>
    </row>
    <row r="808" spans="1:10" hidden="1" x14ac:dyDescent="0.25">
      <c r="A808" s="362">
        <v>2</v>
      </c>
      <c r="B808" s="364">
        <v>44016</v>
      </c>
      <c r="C808" s="362" t="s">
        <v>83</v>
      </c>
      <c r="D808" s="562">
        <v>262876981</v>
      </c>
      <c r="E808" s="562">
        <v>30910731</v>
      </c>
      <c r="F808" s="562">
        <v>293787800</v>
      </c>
      <c r="G808" s="562">
        <f t="shared" si="18"/>
        <v>-88</v>
      </c>
      <c r="H808" s="562">
        <v>587984</v>
      </c>
      <c r="I808" s="562"/>
      <c r="J808" s="562"/>
    </row>
    <row r="809" spans="1:10" hidden="1" x14ac:dyDescent="0.25">
      <c r="A809" s="362">
        <v>3</v>
      </c>
      <c r="B809" s="364">
        <v>44016</v>
      </c>
      <c r="C809" s="362" t="s">
        <v>88</v>
      </c>
      <c r="D809" s="562">
        <v>135238477</v>
      </c>
      <c r="E809" s="562">
        <v>16212748</v>
      </c>
      <c r="F809" s="562">
        <v>151451500</v>
      </c>
      <c r="G809" s="562">
        <f t="shared" si="18"/>
        <v>-275</v>
      </c>
      <c r="H809" s="562">
        <v>3280608</v>
      </c>
      <c r="I809" s="562"/>
      <c r="J809" s="562"/>
    </row>
    <row r="810" spans="1:10" hidden="1" x14ac:dyDescent="0.25">
      <c r="A810" s="362">
        <v>4</v>
      </c>
      <c r="B810" s="364">
        <v>44016</v>
      </c>
      <c r="C810" s="362" t="s">
        <v>146</v>
      </c>
      <c r="D810" s="562">
        <v>58622011</v>
      </c>
      <c r="E810" s="562">
        <v>49465703</v>
      </c>
      <c r="F810" s="562">
        <v>108087900</v>
      </c>
      <c r="G810" s="562">
        <f t="shared" si="18"/>
        <v>-186</v>
      </c>
      <c r="H810" s="562">
        <v>5038537</v>
      </c>
      <c r="I810" s="562"/>
      <c r="J810" s="562"/>
    </row>
    <row r="811" spans="1:10" hidden="1" x14ac:dyDescent="0.25">
      <c r="A811" s="362">
        <v>5</v>
      </c>
      <c r="B811" s="364">
        <v>44016</v>
      </c>
      <c r="C811" s="362" t="s">
        <v>86</v>
      </c>
      <c r="D811" s="562">
        <v>67078474</v>
      </c>
      <c r="E811" s="562">
        <v>22825700</v>
      </c>
      <c r="F811" s="562">
        <v>89905000</v>
      </c>
      <c r="G811" s="562">
        <f t="shared" si="18"/>
        <v>-826</v>
      </c>
      <c r="H811" s="562">
        <v>1307204</v>
      </c>
      <c r="I811" s="562"/>
      <c r="J811" s="562"/>
    </row>
    <row r="812" spans="1:10" hidden="1" x14ac:dyDescent="0.25">
      <c r="A812" s="362">
        <v>6</v>
      </c>
      <c r="B812" s="364">
        <v>44016</v>
      </c>
      <c r="C812" s="362" t="s">
        <v>89</v>
      </c>
      <c r="D812" s="562">
        <v>105283542</v>
      </c>
      <c r="E812" s="562">
        <v>3352158</v>
      </c>
      <c r="F812" s="562">
        <v>108635700</v>
      </c>
      <c r="G812" s="562">
        <f t="shared" si="18"/>
        <v>0</v>
      </c>
      <c r="H812" s="562">
        <v>8753997</v>
      </c>
      <c r="I812" s="562"/>
      <c r="J812" s="562"/>
    </row>
    <row r="813" spans="1:10" hidden="1" x14ac:dyDescent="0.25">
      <c r="A813" s="362">
        <v>7</v>
      </c>
      <c r="B813" s="364">
        <v>44016</v>
      </c>
      <c r="C813" s="362" t="s">
        <v>4751</v>
      </c>
      <c r="D813" s="562">
        <v>223671383</v>
      </c>
      <c r="E813" s="562">
        <v>11767117</v>
      </c>
      <c r="F813" s="562">
        <v>235438500</v>
      </c>
      <c r="G813" s="562">
        <f t="shared" si="18"/>
        <v>0</v>
      </c>
      <c r="H813" s="562">
        <v>11114524</v>
      </c>
      <c r="I813" s="562"/>
      <c r="J813" s="562"/>
    </row>
    <row r="814" spans="1:10" hidden="1" x14ac:dyDescent="0.25">
      <c r="A814" s="362">
        <v>8</v>
      </c>
      <c r="B814" s="364">
        <v>44016</v>
      </c>
      <c r="C814" s="362" t="s">
        <v>84</v>
      </c>
      <c r="D814" s="562">
        <v>198944472</v>
      </c>
      <c r="E814" s="562">
        <v>7704066</v>
      </c>
      <c r="F814" s="562">
        <v>206648700</v>
      </c>
      <c r="G814" s="562">
        <f t="shared" si="18"/>
        <v>-162</v>
      </c>
      <c r="H814" s="562">
        <v>4632889</v>
      </c>
      <c r="I814" s="562"/>
      <c r="J814" s="562"/>
    </row>
    <row r="815" spans="1:10" hidden="1" x14ac:dyDescent="0.25">
      <c r="A815" s="362">
        <v>9</v>
      </c>
      <c r="B815" s="364">
        <v>44016</v>
      </c>
      <c r="C815" s="362" t="s">
        <v>81</v>
      </c>
      <c r="D815" s="562">
        <v>127018535</v>
      </c>
      <c r="E815" s="562">
        <v>11471150</v>
      </c>
      <c r="F815" s="562">
        <v>138489700</v>
      </c>
      <c r="G815" s="562">
        <f t="shared" si="18"/>
        <v>-15</v>
      </c>
      <c r="H815" s="562">
        <v>3688340</v>
      </c>
      <c r="I815" s="562"/>
      <c r="J815" s="562"/>
    </row>
    <row r="816" spans="1:10" hidden="1" x14ac:dyDescent="0.25">
      <c r="A816" s="362">
        <v>10</v>
      </c>
      <c r="B816" s="364">
        <v>44016</v>
      </c>
      <c r="C816" s="362" t="s">
        <v>79</v>
      </c>
      <c r="D816" s="562">
        <v>25381296</v>
      </c>
      <c r="E816" s="562">
        <v>1428754</v>
      </c>
      <c r="F816" s="562">
        <v>26266300</v>
      </c>
      <c r="G816" s="562">
        <f t="shared" si="18"/>
        <v>543750</v>
      </c>
      <c r="H816" s="562">
        <v>3203086</v>
      </c>
      <c r="I816" s="562"/>
      <c r="J816" s="562"/>
    </row>
    <row r="817" spans="1:10" hidden="1" x14ac:dyDescent="0.25">
      <c r="A817" s="362">
        <v>11</v>
      </c>
      <c r="B817" s="364">
        <v>44016</v>
      </c>
      <c r="C817" s="362" t="s">
        <v>82</v>
      </c>
      <c r="D817" s="562">
        <v>89802112</v>
      </c>
      <c r="E817" s="562"/>
      <c r="F817" s="562">
        <v>89802200</v>
      </c>
      <c r="G817" s="562">
        <f t="shared" si="18"/>
        <v>-88</v>
      </c>
      <c r="H817" s="562">
        <v>5202527</v>
      </c>
      <c r="I817" s="562"/>
      <c r="J817" s="562"/>
    </row>
    <row r="818" spans="1:10" hidden="1" x14ac:dyDescent="0.25">
      <c r="A818" s="362">
        <v>12</v>
      </c>
      <c r="B818" s="364">
        <v>44016</v>
      </c>
      <c r="C818" s="362" t="s">
        <v>78</v>
      </c>
      <c r="D818" s="562">
        <v>83145392</v>
      </c>
      <c r="E818" s="562">
        <v>2401508</v>
      </c>
      <c r="F818" s="562">
        <v>85546900</v>
      </c>
      <c r="G818" s="562">
        <f t="shared" si="18"/>
        <v>0</v>
      </c>
      <c r="H818" s="562">
        <v>7458339</v>
      </c>
      <c r="I818" s="562"/>
      <c r="J818" s="562"/>
    </row>
    <row r="819" spans="1:10" hidden="1" x14ac:dyDescent="0.25">
      <c r="A819" s="362">
        <v>13</v>
      </c>
      <c r="B819" s="364">
        <v>44016</v>
      </c>
      <c r="C819" s="362" t="s">
        <v>85</v>
      </c>
      <c r="D819" s="562">
        <v>15047700</v>
      </c>
      <c r="E819" s="562"/>
      <c r="F819" s="562">
        <v>15047700</v>
      </c>
      <c r="G819" s="562">
        <f t="shared" si="18"/>
        <v>0</v>
      </c>
      <c r="H819" s="562"/>
      <c r="I819" s="562"/>
      <c r="J819" s="562"/>
    </row>
    <row r="820" spans="1:10" hidden="1" x14ac:dyDescent="0.25">
      <c r="A820" s="362">
        <v>14</v>
      </c>
      <c r="B820" s="364">
        <v>44016</v>
      </c>
      <c r="C820" s="362" t="s">
        <v>166</v>
      </c>
      <c r="D820" s="562"/>
      <c r="E820" s="562"/>
      <c r="F820" s="562"/>
      <c r="G820" s="562">
        <f t="shared" si="18"/>
        <v>0</v>
      </c>
      <c r="H820" s="562"/>
      <c r="I820" s="562"/>
      <c r="J820" s="562"/>
    </row>
    <row r="821" spans="1:10" hidden="1" x14ac:dyDescent="0.25">
      <c r="A821" s="362">
        <v>15</v>
      </c>
      <c r="B821" s="364">
        <v>44016</v>
      </c>
      <c r="C821" s="362" t="s">
        <v>3435</v>
      </c>
      <c r="D821" s="562"/>
      <c r="E821" s="562"/>
      <c r="F821" s="562"/>
      <c r="G821" s="562">
        <f t="shared" si="18"/>
        <v>0</v>
      </c>
      <c r="H821" s="562"/>
      <c r="I821" s="562"/>
      <c r="J821" s="562"/>
    </row>
    <row r="822" spans="1:10" hidden="1" x14ac:dyDescent="0.25">
      <c r="A822" s="532"/>
      <c r="B822" s="591"/>
      <c r="C822" s="532"/>
      <c r="D822" s="564"/>
      <c r="E822" s="564"/>
      <c r="F822" s="564"/>
      <c r="G822" s="564">
        <f t="shared" si="18"/>
        <v>0</v>
      </c>
      <c r="H822" s="564"/>
      <c r="I822" s="564"/>
      <c r="J822" s="564"/>
    </row>
    <row r="823" spans="1:10" hidden="1" x14ac:dyDescent="0.25">
      <c r="A823" s="362">
        <v>1</v>
      </c>
      <c r="B823" s="364">
        <v>44018</v>
      </c>
      <c r="C823" s="362" t="s">
        <v>80</v>
      </c>
      <c r="D823" s="562">
        <v>152671633</v>
      </c>
      <c r="E823" s="562"/>
      <c r="F823" s="562">
        <v>152672100</v>
      </c>
      <c r="G823" s="562">
        <f t="shared" si="18"/>
        <v>-467</v>
      </c>
      <c r="H823" s="562">
        <v>38000000</v>
      </c>
      <c r="I823" s="562"/>
      <c r="J823" s="562"/>
    </row>
    <row r="824" spans="1:10" hidden="1" x14ac:dyDescent="0.25">
      <c r="A824" s="362">
        <v>2</v>
      </c>
      <c r="B824" s="364">
        <v>44018</v>
      </c>
      <c r="C824" s="362" t="s">
        <v>83</v>
      </c>
      <c r="D824" s="562">
        <v>284548406</v>
      </c>
      <c r="E824" s="562">
        <v>14802542</v>
      </c>
      <c r="F824" s="562">
        <v>299351000</v>
      </c>
      <c r="G824" s="562">
        <f t="shared" si="18"/>
        <v>-52</v>
      </c>
      <c r="H824" s="562">
        <v>9999414</v>
      </c>
      <c r="I824" s="562"/>
      <c r="J824" s="562"/>
    </row>
    <row r="825" spans="1:10" hidden="1" x14ac:dyDescent="0.25">
      <c r="A825" s="362">
        <v>3</v>
      </c>
      <c r="B825" s="364">
        <v>44018</v>
      </c>
      <c r="C825" s="362" t="s">
        <v>88</v>
      </c>
      <c r="D825" s="562">
        <v>363135213</v>
      </c>
      <c r="E825" s="562">
        <v>3416818</v>
      </c>
      <c r="F825" s="562">
        <v>366552033</v>
      </c>
      <c r="G825" s="562">
        <f t="shared" si="18"/>
        <v>-2</v>
      </c>
      <c r="H825" s="562">
        <v>16103601</v>
      </c>
      <c r="I825" s="562"/>
      <c r="J825" s="562"/>
    </row>
    <row r="826" spans="1:10" hidden="1" x14ac:dyDescent="0.25">
      <c r="A826" s="362">
        <v>4</v>
      </c>
      <c r="B826" s="364">
        <v>44018</v>
      </c>
      <c r="C826" s="362" t="s">
        <v>146</v>
      </c>
      <c r="D826" s="562">
        <v>95718962</v>
      </c>
      <c r="E826" s="562">
        <v>163585735</v>
      </c>
      <c r="F826" s="562">
        <v>259304100</v>
      </c>
      <c r="G826" s="562">
        <f t="shared" si="18"/>
        <v>597</v>
      </c>
      <c r="H826" s="562">
        <v>18387370</v>
      </c>
      <c r="I826" s="562"/>
      <c r="J826" s="562"/>
    </row>
    <row r="827" spans="1:10" hidden="1" x14ac:dyDescent="0.25">
      <c r="A827" s="362">
        <v>5</v>
      </c>
      <c r="B827" s="364">
        <v>44018</v>
      </c>
      <c r="C827" s="362" t="s">
        <v>86</v>
      </c>
      <c r="D827" s="562">
        <v>66759336</v>
      </c>
      <c r="E827" s="562">
        <v>77934021</v>
      </c>
      <c r="F827" s="562">
        <v>144693400</v>
      </c>
      <c r="G827" s="562">
        <f t="shared" si="18"/>
        <v>-43</v>
      </c>
      <c r="H827" s="562">
        <v>7615921</v>
      </c>
      <c r="I827" s="562"/>
      <c r="J827" s="562"/>
    </row>
    <row r="828" spans="1:10" hidden="1" x14ac:dyDescent="0.25">
      <c r="A828" s="362">
        <v>6</v>
      </c>
      <c r="B828" s="364">
        <v>44018</v>
      </c>
      <c r="C828" s="362" t="s">
        <v>89</v>
      </c>
      <c r="D828" s="562">
        <v>173416699</v>
      </c>
      <c r="E828" s="562">
        <v>2918250</v>
      </c>
      <c r="F828" s="562">
        <v>176334900</v>
      </c>
      <c r="G828" s="562">
        <f t="shared" si="18"/>
        <v>49</v>
      </c>
      <c r="H828" s="562">
        <v>8662997</v>
      </c>
      <c r="I828" s="562"/>
      <c r="J828" s="562"/>
    </row>
    <row r="829" spans="1:10" hidden="1" x14ac:dyDescent="0.25">
      <c r="A829" s="362">
        <v>7</v>
      </c>
      <c r="B829" s="364">
        <v>44018</v>
      </c>
      <c r="C829" s="362" t="s">
        <v>4751</v>
      </c>
      <c r="D829" s="562">
        <v>218504760</v>
      </c>
      <c r="E829" s="562">
        <v>9714340</v>
      </c>
      <c r="F829" s="562">
        <v>228219100</v>
      </c>
      <c r="G829" s="562">
        <f t="shared" si="18"/>
        <v>0</v>
      </c>
      <c r="H829" s="562">
        <v>10075622</v>
      </c>
      <c r="I829" s="562"/>
      <c r="J829" s="562"/>
    </row>
    <row r="830" spans="1:10" hidden="1" x14ac:dyDescent="0.25">
      <c r="A830" s="362">
        <v>8</v>
      </c>
      <c r="B830" s="364">
        <v>44018</v>
      </c>
      <c r="C830" s="362" t="s">
        <v>84</v>
      </c>
      <c r="D830" s="562">
        <v>404030229</v>
      </c>
      <c r="E830" s="562">
        <v>10898038</v>
      </c>
      <c r="F830" s="562">
        <v>414928200</v>
      </c>
      <c r="G830" s="562">
        <f t="shared" si="18"/>
        <v>67</v>
      </c>
      <c r="H830" s="562">
        <v>4632889</v>
      </c>
      <c r="I830" s="562"/>
      <c r="J830" s="562"/>
    </row>
    <row r="831" spans="1:10" hidden="1" x14ac:dyDescent="0.25">
      <c r="A831" s="362">
        <v>9</v>
      </c>
      <c r="B831" s="364">
        <v>44018</v>
      </c>
      <c r="C831" s="362" t="s">
        <v>81</v>
      </c>
      <c r="D831" s="562">
        <v>45351758</v>
      </c>
      <c r="E831" s="562">
        <v>11396084</v>
      </c>
      <c r="F831" s="562">
        <v>56747900</v>
      </c>
      <c r="G831" s="562">
        <f t="shared" si="18"/>
        <v>-58</v>
      </c>
      <c r="H831" s="562">
        <v>2799190</v>
      </c>
      <c r="I831" s="562"/>
      <c r="J831" s="562"/>
    </row>
    <row r="832" spans="1:10" hidden="1" x14ac:dyDescent="0.25">
      <c r="A832" s="362">
        <v>10</v>
      </c>
      <c r="B832" s="364">
        <v>44018</v>
      </c>
      <c r="C832" s="362" t="s">
        <v>79</v>
      </c>
      <c r="D832" s="562">
        <v>76641092</v>
      </c>
      <c r="E832" s="562">
        <v>1830984</v>
      </c>
      <c r="F832" s="562">
        <v>78472100</v>
      </c>
      <c r="G832" s="562">
        <f t="shared" si="18"/>
        <v>-24</v>
      </c>
      <c r="H832" s="562">
        <v>2260086</v>
      </c>
      <c r="I832" s="562"/>
      <c r="J832" s="562"/>
    </row>
    <row r="833" spans="1:10" hidden="1" x14ac:dyDescent="0.25">
      <c r="A833" s="362">
        <v>11</v>
      </c>
      <c r="B833" s="364">
        <v>44018</v>
      </c>
      <c r="C833" s="362" t="s">
        <v>82</v>
      </c>
      <c r="D833" s="562">
        <v>54719941</v>
      </c>
      <c r="E833" s="562">
        <v>3901720</v>
      </c>
      <c r="F833" s="562">
        <v>58621700</v>
      </c>
      <c r="G833" s="562">
        <f t="shared" si="18"/>
        <v>-39</v>
      </c>
      <c r="H833" s="562">
        <v>9373091</v>
      </c>
      <c r="I833" s="562"/>
      <c r="J833" s="562"/>
    </row>
    <row r="834" spans="1:10" hidden="1" x14ac:dyDescent="0.25">
      <c r="A834" s="362">
        <v>12</v>
      </c>
      <c r="B834" s="364">
        <v>44018</v>
      </c>
      <c r="C834" s="362" t="s">
        <v>78</v>
      </c>
      <c r="D834" s="562">
        <v>232339217</v>
      </c>
      <c r="E834" s="562">
        <v>23119283</v>
      </c>
      <c r="F834" s="562">
        <v>255458500</v>
      </c>
      <c r="G834" s="562">
        <f t="shared" si="18"/>
        <v>0</v>
      </c>
      <c r="H834" s="562">
        <v>4879779</v>
      </c>
      <c r="I834" s="562"/>
      <c r="J834" s="562"/>
    </row>
    <row r="835" spans="1:10" hidden="1" x14ac:dyDescent="0.25">
      <c r="A835" s="362">
        <v>13</v>
      </c>
      <c r="B835" s="364">
        <v>44018</v>
      </c>
      <c r="C835" s="362" t="s">
        <v>85</v>
      </c>
      <c r="D835" s="562">
        <v>38646200</v>
      </c>
      <c r="E835" s="562"/>
      <c r="F835" s="562">
        <v>38646200</v>
      </c>
      <c r="G835" s="562">
        <f t="shared" si="18"/>
        <v>0</v>
      </c>
      <c r="H835" s="562"/>
      <c r="I835" s="562"/>
      <c r="J835" s="562"/>
    </row>
    <row r="836" spans="1:10" hidden="1" x14ac:dyDescent="0.25">
      <c r="A836" s="362">
        <v>14</v>
      </c>
      <c r="B836" s="364">
        <v>44018</v>
      </c>
      <c r="C836" s="362" t="s">
        <v>166</v>
      </c>
      <c r="D836" s="562">
        <v>109090693</v>
      </c>
      <c r="E836" s="562"/>
      <c r="F836" s="562">
        <v>109018700</v>
      </c>
      <c r="G836" s="562">
        <f t="shared" si="18"/>
        <v>71993</v>
      </c>
      <c r="H836" s="562"/>
      <c r="I836" s="562"/>
      <c r="J836" s="562"/>
    </row>
    <row r="837" spans="1:10" hidden="1" x14ac:dyDescent="0.25">
      <c r="A837" s="362">
        <v>15</v>
      </c>
      <c r="B837" s="364">
        <v>44018</v>
      </c>
      <c r="C837" s="362" t="s">
        <v>3435</v>
      </c>
      <c r="D837" s="562"/>
      <c r="E837" s="562"/>
      <c r="F837" s="562">
        <v>50121300</v>
      </c>
      <c r="G837" s="562">
        <f t="shared" si="18"/>
        <v>-50121300</v>
      </c>
      <c r="H837" s="562"/>
      <c r="I837" s="562"/>
      <c r="J837" s="562"/>
    </row>
    <row r="838" spans="1:10" hidden="1" x14ac:dyDescent="0.25">
      <c r="A838" s="532"/>
      <c r="B838" s="532"/>
      <c r="C838" s="532"/>
      <c r="D838" s="564"/>
      <c r="E838" s="564"/>
      <c r="F838" s="564"/>
      <c r="G838" s="564">
        <f t="shared" si="18"/>
        <v>0</v>
      </c>
      <c r="H838" s="564"/>
      <c r="I838" s="564"/>
      <c r="J838" s="564"/>
    </row>
    <row r="839" spans="1:10" hidden="1" x14ac:dyDescent="0.25">
      <c r="A839" s="362">
        <v>1</v>
      </c>
      <c r="B839" s="364">
        <v>44019</v>
      </c>
      <c r="C839" s="362" t="s">
        <v>80</v>
      </c>
      <c r="D839" s="562">
        <v>264199692</v>
      </c>
      <c r="E839" s="562"/>
      <c r="F839" s="562">
        <v>264199800</v>
      </c>
      <c r="G839" s="562">
        <f t="shared" ref="G839:G902" si="21">D839+E839-F839</f>
        <v>-108</v>
      </c>
      <c r="H839" s="562">
        <v>33793232</v>
      </c>
      <c r="I839" s="562"/>
      <c r="J839" s="562"/>
    </row>
    <row r="840" spans="1:10" hidden="1" x14ac:dyDescent="0.25">
      <c r="A840" s="362">
        <v>2</v>
      </c>
      <c r="B840" s="364">
        <v>44019</v>
      </c>
      <c r="C840" s="362" t="s">
        <v>83</v>
      </c>
      <c r="D840" s="562">
        <v>286158258</v>
      </c>
      <c r="E840" s="562">
        <v>42152247</v>
      </c>
      <c r="F840" s="562">
        <v>328310500</v>
      </c>
      <c r="G840" s="562">
        <f t="shared" si="21"/>
        <v>5</v>
      </c>
      <c r="H840" s="562">
        <v>3812213</v>
      </c>
      <c r="I840" s="562"/>
      <c r="J840" s="562"/>
    </row>
    <row r="841" spans="1:10" hidden="1" x14ac:dyDescent="0.25">
      <c r="A841" s="362">
        <v>3</v>
      </c>
      <c r="B841" s="364">
        <v>44019</v>
      </c>
      <c r="C841" s="362" t="s">
        <v>88</v>
      </c>
      <c r="D841" s="562">
        <v>246450660</v>
      </c>
      <c r="E841" s="562">
        <v>58778616</v>
      </c>
      <c r="F841" s="562">
        <v>305229300</v>
      </c>
      <c r="G841" s="562">
        <f t="shared" si="21"/>
        <v>-24</v>
      </c>
      <c r="H841" s="562">
        <v>13874571</v>
      </c>
      <c r="I841" s="562"/>
      <c r="J841" s="562"/>
    </row>
    <row r="842" spans="1:10" hidden="1" x14ac:dyDescent="0.25">
      <c r="A842" s="362">
        <v>4</v>
      </c>
      <c r="B842" s="364">
        <v>44019</v>
      </c>
      <c r="C842" s="362" t="s">
        <v>146</v>
      </c>
      <c r="D842" s="562">
        <v>150744231</v>
      </c>
      <c r="E842" s="562">
        <v>97654020</v>
      </c>
      <c r="F842" s="562">
        <v>248398300</v>
      </c>
      <c r="G842" s="562">
        <f t="shared" si="21"/>
        <v>-49</v>
      </c>
      <c r="H842" s="562">
        <v>17884619</v>
      </c>
      <c r="I842" s="562"/>
      <c r="J842" s="562"/>
    </row>
    <row r="843" spans="1:10" hidden="1" x14ac:dyDescent="0.25">
      <c r="A843" s="362">
        <v>5</v>
      </c>
      <c r="B843" s="364">
        <v>44019</v>
      </c>
      <c r="C843" s="362" t="s">
        <v>86</v>
      </c>
      <c r="D843" s="562">
        <v>39993663</v>
      </c>
      <c r="E843" s="562">
        <v>33991700</v>
      </c>
      <c r="F843" s="562">
        <v>73985400</v>
      </c>
      <c r="G843" s="562">
        <f t="shared" si="21"/>
        <v>-37</v>
      </c>
      <c r="H843" s="562">
        <v>7415921</v>
      </c>
      <c r="I843" s="562"/>
      <c r="J843" s="562"/>
    </row>
    <row r="844" spans="1:10" hidden="1" x14ac:dyDescent="0.25">
      <c r="A844" s="362">
        <v>6</v>
      </c>
      <c r="B844" s="364">
        <v>44019</v>
      </c>
      <c r="C844" s="362" t="s">
        <v>89</v>
      </c>
      <c r="D844" s="562">
        <v>116496366</v>
      </c>
      <c r="E844" s="562">
        <v>4023134</v>
      </c>
      <c r="F844" s="562">
        <v>120519500</v>
      </c>
      <c r="G844" s="562">
        <f t="shared" si="21"/>
        <v>0</v>
      </c>
      <c r="H844" s="562">
        <v>19676932</v>
      </c>
      <c r="I844" s="562"/>
      <c r="J844" s="562"/>
    </row>
    <row r="845" spans="1:10" hidden="1" x14ac:dyDescent="0.25">
      <c r="A845" s="362">
        <v>7</v>
      </c>
      <c r="B845" s="364">
        <v>44019</v>
      </c>
      <c r="C845" s="362" t="s">
        <v>4751</v>
      </c>
      <c r="D845" s="562">
        <v>197768295</v>
      </c>
      <c r="E845" s="562">
        <v>15450905</v>
      </c>
      <c r="F845" s="562">
        <v>213219200</v>
      </c>
      <c r="G845" s="562">
        <f t="shared" si="21"/>
        <v>0</v>
      </c>
      <c r="H845" s="562">
        <v>27346506</v>
      </c>
      <c r="I845" s="562"/>
      <c r="J845" s="562"/>
    </row>
    <row r="846" spans="1:10" hidden="1" x14ac:dyDescent="0.25">
      <c r="A846" s="362">
        <v>8</v>
      </c>
      <c r="B846" s="364">
        <v>44019</v>
      </c>
      <c r="C846" s="362" t="s">
        <v>84</v>
      </c>
      <c r="D846" s="562">
        <v>208502658</v>
      </c>
      <c r="E846" s="562">
        <v>10087846</v>
      </c>
      <c r="F846" s="562">
        <v>218590500</v>
      </c>
      <c r="G846" s="562">
        <f t="shared" si="21"/>
        <v>4</v>
      </c>
      <c r="H846" s="562">
        <v>23178713</v>
      </c>
      <c r="I846" s="562"/>
      <c r="J846" s="562"/>
    </row>
    <row r="847" spans="1:10" hidden="1" x14ac:dyDescent="0.25">
      <c r="A847" s="362">
        <v>9</v>
      </c>
      <c r="B847" s="364">
        <v>44019</v>
      </c>
      <c r="C847" s="362" t="s">
        <v>81</v>
      </c>
      <c r="D847" s="562">
        <v>145454167</v>
      </c>
      <c r="E847" s="562">
        <v>18479000</v>
      </c>
      <c r="F847" s="562">
        <v>163933200</v>
      </c>
      <c r="G847" s="562">
        <f t="shared" si="21"/>
        <v>-33</v>
      </c>
      <c r="H847" s="562">
        <v>16692078</v>
      </c>
      <c r="I847" s="562"/>
      <c r="J847" s="562"/>
    </row>
    <row r="848" spans="1:10" hidden="1" x14ac:dyDescent="0.25">
      <c r="A848" s="362">
        <v>10</v>
      </c>
      <c r="B848" s="364">
        <v>44019</v>
      </c>
      <c r="C848" s="362" t="s">
        <v>79</v>
      </c>
      <c r="D848" s="562">
        <v>41008875</v>
      </c>
      <c r="E848" s="562">
        <v>106500</v>
      </c>
      <c r="F848" s="562">
        <v>41115600</v>
      </c>
      <c r="G848" s="562">
        <f t="shared" si="21"/>
        <v>-225</v>
      </c>
      <c r="H848" s="562">
        <v>4074666</v>
      </c>
      <c r="I848" s="562"/>
      <c r="J848" s="562"/>
    </row>
    <row r="849" spans="1:10" hidden="1" x14ac:dyDescent="0.25">
      <c r="A849" s="362">
        <v>11</v>
      </c>
      <c r="B849" s="364">
        <v>44019</v>
      </c>
      <c r="C849" s="362" t="s">
        <v>82</v>
      </c>
      <c r="D849" s="562">
        <v>83625786</v>
      </c>
      <c r="E849" s="562">
        <v>1315000</v>
      </c>
      <c r="F849" s="562">
        <v>84940800</v>
      </c>
      <c r="G849" s="562">
        <f t="shared" si="21"/>
        <v>-14</v>
      </c>
      <c r="H849" s="562">
        <v>8959991</v>
      </c>
      <c r="I849" s="562"/>
      <c r="J849" s="562"/>
    </row>
    <row r="850" spans="1:10" hidden="1" x14ac:dyDescent="0.25">
      <c r="A850" s="362">
        <v>12</v>
      </c>
      <c r="B850" s="364">
        <v>44019</v>
      </c>
      <c r="C850" s="362" t="s">
        <v>78</v>
      </c>
      <c r="D850" s="562">
        <v>83076517</v>
      </c>
      <c r="E850" s="562">
        <v>12581783</v>
      </c>
      <c r="F850" s="562">
        <v>95658300</v>
      </c>
      <c r="G850" s="562">
        <f t="shared" si="21"/>
        <v>0</v>
      </c>
      <c r="H850" s="562">
        <v>15279608</v>
      </c>
      <c r="I850" s="562"/>
      <c r="J850" s="562"/>
    </row>
    <row r="851" spans="1:10" hidden="1" x14ac:dyDescent="0.25">
      <c r="A851" s="362">
        <v>13</v>
      </c>
      <c r="B851" s="364">
        <v>44019</v>
      </c>
      <c r="C851" s="362" t="s">
        <v>85</v>
      </c>
      <c r="D851" s="562">
        <v>22674600</v>
      </c>
      <c r="E851" s="562"/>
      <c r="F851" s="562">
        <v>22674600</v>
      </c>
      <c r="G851" s="562">
        <f t="shared" si="21"/>
        <v>0</v>
      </c>
      <c r="H851" s="562"/>
      <c r="I851" s="562"/>
      <c r="J851" s="562"/>
    </row>
    <row r="852" spans="1:10" hidden="1" x14ac:dyDescent="0.25">
      <c r="A852" s="362">
        <v>14</v>
      </c>
      <c r="B852" s="364">
        <v>44019</v>
      </c>
      <c r="C852" s="362" t="s">
        <v>166</v>
      </c>
      <c r="D852" s="562">
        <v>222058978</v>
      </c>
      <c r="E852" s="562"/>
      <c r="F852" s="562">
        <v>222059000</v>
      </c>
      <c r="G852" s="562">
        <f t="shared" si="21"/>
        <v>-22</v>
      </c>
      <c r="H852" s="562"/>
      <c r="I852" s="562"/>
      <c r="J852" s="562"/>
    </row>
    <row r="853" spans="1:10" hidden="1" x14ac:dyDescent="0.25">
      <c r="A853" s="362">
        <v>15</v>
      </c>
      <c r="B853" s="364">
        <v>44019</v>
      </c>
      <c r="C853" s="362" t="s">
        <v>3435</v>
      </c>
      <c r="D853" s="562"/>
      <c r="E853" s="562"/>
      <c r="F853" s="562">
        <v>58296800</v>
      </c>
      <c r="G853" s="562">
        <f t="shared" si="21"/>
        <v>-58296800</v>
      </c>
      <c r="H853" s="562"/>
      <c r="I853" s="562"/>
      <c r="J853" s="562"/>
    </row>
    <row r="854" spans="1:10" hidden="1" x14ac:dyDescent="0.25">
      <c r="A854" s="532"/>
      <c r="B854" s="591"/>
      <c r="C854" s="532"/>
      <c r="D854" s="564"/>
      <c r="E854" s="564"/>
      <c r="F854" s="564"/>
      <c r="G854" s="564">
        <f t="shared" si="21"/>
        <v>0</v>
      </c>
      <c r="H854" s="564"/>
      <c r="I854" s="564"/>
      <c r="J854" s="564"/>
    </row>
    <row r="855" spans="1:10" hidden="1" x14ac:dyDescent="0.25">
      <c r="A855" s="362">
        <v>1</v>
      </c>
      <c r="B855" s="364">
        <v>44020</v>
      </c>
      <c r="C855" s="362" t="s">
        <v>80</v>
      </c>
      <c r="D855" s="562">
        <v>335779842</v>
      </c>
      <c r="E855" s="562"/>
      <c r="F855" s="562">
        <v>335779800</v>
      </c>
      <c r="G855" s="562">
        <f t="shared" si="21"/>
        <v>42</v>
      </c>
      <c r="H855" s="562">
        <v>27696153</v>
      </c>
      <c r="I855" s="562"/>
      <c r="J855" s="562"/>
    </row>
    <row r="856" spans="1:10" hidden="1" x14ac:dyDescent="0.25">
      <c r="A856" s="362">
        <v>2</v>
      </c>
      <c r="B856" s="364">
        <v>44020</v>
      </c>
      <c r="C856" s="362" t="s">
        <v>83</v>
      </c>
      <c r="D856" s="562">
        <v>446061137</v>
      </c>
      <c r="E856" s="562">
        <v>49323075</v>
      </c>
      <c r="F856" s="562">
        <v>495384200</v>
      </c>
      <c r="G856" s="562">
        <f t="shared" si="21"/>
        <v>12</v>
      </c>
      <c r="H856" s="562">
        <v>9999414</v>
      </c>
      <c r="I856" s="562"/>
      <c r="J856" s="562"/>
    </row>
    <row r="857" spans="1:10" hidden="1" x14ac:dyDescent="0.25">
      <c r="A857" s="362">
        <v>3</v>
      </c>
      <c r="B857" s="364">
        <v>44020</v>
      </c>
      <c r="C857" s="362" t="s">
        <v>88</v>
      </c>
      <c r="D857" s="562">
        <v>129721373</v>
      </c>
      <c r="E857" s="562">
        <v>11050963</v>
      </c>
      <c r="F857" s="562">
        <v>140772400</v>
      </c>
      <c r="G857" s="562">
        <f t="shared" si="21"/>
        <v>-64</v>
      </c>
      <c r="H857" s="562">
        <v>13874571</v>
      </c>
      <c r="I857" s="562"/>
      <c r="J857" s="562"/>
    </row>
    <row r="858" spans="1:10" hidden="1" x14ac:dyDescent="0.25">
      <c r="A858" s="362">
        <v>4</v>
      </c>
      <c r="B858" s="364">
        <v>44020</v>
      </c>
      <c r="C858" s="362" t="s">
        <v>146</v>
      </c>
      <c r="D858" s="562">
        <v>75440760</v>
      </c>
      <c r="E858" s="562">
        <v>41360187</v>
      </c>
      <c r="F858" s="562">
        <v>116801200</v>
      </c>
      <c r="G858" s="562">
        <f t="shared" si="21"/>
        <v>-253</v>
      </c>
      <c r="H858" s="562">
        <v>17884619</v>
      </c>
      <c r="I858" s="562"/>
      <c r="J858" s="562"/>
    </row>
    <row r="859" spans="1:10" hidden="1" x14ac:dyDescent="0.25">
      <c r="A859" s="362">
        <v>5</v>
      </c>
      <c r="B859" s="364">
        <v>44020</v>
      </c>
      <c r="C859" s="362" t="s">
        <v>86</v>
      </c>
      <c r="D859" s="562">
        <v>82103985</v>
      </c>
      <c r="E859" s="562">
        <v>23471810</v>
      </c>
      <c r="F859" s="562">
        <v>105575500</v>
      </c>
      <c r="G859" s="562">
        <f t="shared" si="21"/>
        <v>295</v>
      </c>
      <c r="H859" s="562">
        <v>6270487</v>
      </c>
      <c r="I859" s="562"/>
      <c r="J859" s="562"/>
    </row>
    <row r="860" spans="1:10" hidden="1" x14ac:dyDescent="0.25">
      <c r="A860" s="362">
        <v>6</v>
      </c>
      <c r="B860" s="364">
        <v>44020</v>
      </c>
      <c r="C860" s="362" t="s">
        <v>89</v>
      </c>
      <c r="D860" s="562">
        <v>123588891</v>
      </c>
      <c r="E860" s="562">
        <v>5580109</v>
      </c>
      <c r="F860" s="562">
        <v>129169000</v>
      </c>
      <c r="G860" s="562">
        <f t="shared" si="21"/>
        <v>0</v>
      </c>
      <c r="H860" s="562">
        <v>14628450</v>
      </c>
      <c r="I860" s="562"/>
      <c r="J860" s="562"/>
    </row>
    <row r="861" spans="1:10" hidden="1" x14ac:dyDescent="0.25">
      <c r="A861" s="362">
        <v>7</v>
      </c>
      <c r="B861" s="364">
        <v>44020</v>
      </c>
      <c r="C861" s="362" t="s">
        <v>4751</v>
      </c>
      <c r="D861" s="562">
        <v>122056813</v>
      </c>
      <c r="E861" s="562">
        <v>2973487</v>
      </c>
      <c r="F861" s="562">
        <v>125030300</v>
      </c>
      <c r="G861" s="562">
        <f t="shared" si="21"/>
        <v>0</v>
      </c>
      <c r="H861" s="562">
        <v>21840180</v>
      </c>
      <c r="I861" s="562"/>
      <c r="J861" s="562"/>
    </row>
    <row r="862" spans="1:10" hidden="1" x14ac:dyDescent="0.25">
      <c r="A862" s="362">
        <v>8</v>
      </c>
      <c r="B862" s="364">
        <v>44020</v>
      </c>
      <c r="C862" s="362" t="s">
        <v>84</v>
      </c>
      <c r="D862" s="562">
        <v>457276353</v>
      </c>
      <c r="E862" s="562">
        <v>9986361</v>
      </c>
      <c r="F862" s="562">
        <v>467262900</v>
      </c>
      <c r="G862" s="562">
        <f t="shared" si="21"/>
        <v>-186</v>
      </c>
      <c r="H862" s="562">
        <v>23178713</v>
      </c>
      <c r="I862" s="562"/>
      <c r="J862" s="562"/>
    </row>
    <row r="863" spans="1:10" hidden="1" x14ac:dyDescent="0.25">
      <c r="A863" s="362">
        <v>9</v>
      </c>
      <c r="B863" s="364">
        <v>44020</v>
      </c>
      <c r="C863" s="362" t="s">
        <v>81</v>
      </c>
      <c r="D863" s="562">
        <v>70121722</v>
      </c>
      <c r="E863" s="562">
        <v>16814783</v>
      </c>
      <c r="F863" s="562">
        <v>86936600</v>
      </c>
      <c r="G863" s="562">
        <f t="shared" si="21"/>
        <v>-95</v>
      </c>
      <c r="H863" s="562">
        <v>13735678</v>
      </c>
      <c r="I863" s="562"/>
      <c r="J863" s="562"/>
    </row>
    <row r="864" spans="1:10" hidden="1" x14ac:dyDescent="0.25">
      <c r="A864" s="362">
        <v>10</v>
      </c>
      <c r="B864" s="364">
        <v>44020</v>
      </c>
      <c r="C864" s="362" t="s">
        <v>79</v>
      </c>
      <c r="D864" s="562">
        <v>77852804</v>
      </c>
      <c r="E864" s="562">
        <v>10348252</v>
      </c>
      <c r="F864" s="562">
        <v>88201100</v>
      </c>
      <c r="G864" s="562">
        <f t="shared" si="21"/>
        <v>-44</v>
      </c>
      <c r="H864" s="562">
        <v>4074666</v>
      </c>
      <c r="I864" s="562"/>
      <c r="J864" s="562"/>
    </row>
    <row r="865" spans="1:10" hidden="1" x14ac:dyDescent="0.25">
      <c r="A865" s="362">
        <v>11</v>
      </c>
      <c r="B865" s="364">
        <v>44020</v>
      </c>
      <c r="C865" s="362" t="s">
        <v>82</v>
      </c>
      <c r="D865" s="562">
        <v>128926756</v>
      </c>
      <c r="E865" s="562"/>
      <c r="F865" s="562">
        <v>128926800</v>
      </c>
      <c r="G865" s="562">
        <f t="shared" si="21"/>
        <v>-44</v>
      </c>
      <c r="H865" s="562">
        <v>7379668</v>
      </c>
      <c r="I865" s="562"/>
      <c r="J865" s="562"/>
    </row>
    <row r="866" spans="1:10" hidden="1" x14ac:dyDescent="0.25">
      <c r="A866" s="362">
        <v>12</v>
      </c>
      <c r="B866" s="364">
        <v>44020</v>
      </c>
      <c r="C866" s="362" t="s">
        <v>78</v>
      </c>
      <c r="D866" s="562">
        <v>67850436</v>
      </c>
      <c r="E866" s="562">
        <v>1556564</v>
      </c>
      <c r="F866" s="562">
        <v>69407000</v>
      </c>
      <c r="G866" s="562">
        <f t="shared" si="21"/>
        <v>0</v>
      </c>
      <c r="H866" s="562">
        <v>14833808</v>
      </c>
      <c r="I866" s="562"/>
      <c r="J866" s="562"/>
    </row>
    <row r="867" spans="1:10" hidden="1" x14ac:dyDescent="0.25">
      <c r="A867" s="362">
        <v>13</v>
      </c>
      <c r="B867" s="364">
        <v>44020</v>
      </c>
      <c r="C867" s="362" t="s">
        <v>85</v>
      </c>
      <c r="D867" s="562">
        <v>34930600</v>
      </c>
      <c r="E867" s="562"/>
      <c r="F867" s="562">
        <v>34930600</v>
      </c>
      <c r="G867" s="562">
        <f t="shared" si="21"/>
        <v>0</v>
      </c>
      <c r="H867" s="562"/>
      <c r="I867" s="562"/>
      <c r="J867" s="562"/>
    </row>
    <row r="868" spans="1:10" hidden="1" x14ac:dyDescent="0.25">
      <c r="A868" s="362">
        <v>14</v>
      </c>
      <c r="B868" s="364">
        <v>44020</v>
      </c>
      <c r="C868" s="362" t="s">
        <v>166</v>
      </c>
      <c r="D868" s="562">
        <v>42917147</v>
      </c>
      <c r="E868" s="562"/>
      <c r="F868" s="562">
        <v>42917200</v>
      </c>
      <c r="G868" s="562">
        <f t="shared" si="21"/>
        <v>-53</v>
      </c>
      <c r="H868" s="562"/>
      <c r="I868" s="562"/>
      <c r="J868" s="562"/>
    </row>
    <row r="869" spans="1:10" hidden="1" x14ac:dyDescent="0.25">
      <c r="A869" s="362">
        <v>15</v>
      </c>
      <c r="B869" s="364">
        <v>44020</v>
      </c>
      <c r="C869" s="362" t="s">
        <v>3435</v>
      </c>
      <c r="D869" s="562"/>
      <c r="E869" s="562"/>
      <c r="F869" s="562">
        <v>60463800</v>
      </c>
      <c r="G869" s="562">
        <f t="shared" si="21"/>
        <v>-60463800</v>
      </c>
      <c r="H869" s="562"/>
      <c r="I869" s="562"/>
      <c r="J869" s="562"/>
    </row>
    <row r="870" spans="1:10" hidden="1" x14ac:dyDescent="0.25">
      <c r="A870" s="532"/>
      <c r="B870" s="591"/>
      <c r="C870" s="532"/>
      <c r="D870" s="532"/>
      <c r="E870" s="532"/>
      <c r="F870" s="532"/>
      <c r="G870" s="564">
        <f t="shared" si="21"/>
        <v>0</v>
      </c>
      <c r="H870" s="532"/>
      <c r="I870" s="532"/>
      <c r="J870" s="532"/>
    </row>
    <row r="871" spans="1:10" hidden="1" x14ac:dyDescent="0.25">
      <c r="A871" s="362">
        <v>1</v>
      </c>
      <c r="B871" s="364">
        <v>44021</v>
      </c>
      <c r="C871" s="362" t="s">
        <v>80</v>
      </c>
      <c r="D871" s="562">
        <v>272290442</v>
      </c>
      <c r="E871" s="562">
        <v>5408271</v>
      </c>
      <c r="F871" s="562">
        <v>277699500</v>
      </c>
      <c r="G871" s="562">
        <f t="shared" si="21"/>
        <v>-787</v>
      </c>
      <c r="H871" s="562">
        <v>4936644</v>
      </c>
      <c r="I871" s="562">
        <v>4936644</v>
      </c>
      <c r="J871" s="562">
        <f>H871-I871</f>
        <v>0</v>
      </c>
    </row>
    <row r="872" spans="1:10" hidden="1" x14ac:dyDescent="0.25">
      <c r="A872" s="362">
        <v>2</v>
      </c>
      <c r="B872" s="364">
        <v>44021</v>
      </c>
      <c r="C872" s="362" t="s">
        <v>83</v>
      </c>
      <c r="D872" s="562">
        <v>180252426</v>
      </c>
      <c r="E872" s="562">
        <v>5038446</v>
      </c>
      <c r="F872" s="562">
        <v>185290873</v>
      </c>
      <c r="G872" s="562">
        <f t="shared" si="21"/>
        <v>-1</v>
      </c>
      <c r="H872" s="562">
        <v>2254913</v>
      </c>
      <c r="I872" s="562">
        <v>2254913</v>
      </c>
      <c r="J872" s="562">
        <f t="shared" ref="J872:J901" si="22">H872-I872</f>
        <v>0</v>
      </c>
    </row>
    <row r="873" spans="1:10" hidden="1" x14ac:dyDescent="0.25">
      <c r="A873" s="362">
        <v>3</v>
      </c>
      <c r="B873" s="364">
        <v>44021</v>
      </c>
      <c r="C873" s="362" t="s">
        <v>88</v>
      </c>
      <c r="D873" s="562">
        <v>306833405</v>
      </c>
      <c r="E873" s="562">
        <v>29992265</v>
      </c>
      <c r="F873" s="562">
        <v>336825800</v>
      </c>
      <c r="G873" s="562">
        <f t="shared" si="21"/>
        <v>-130</v>
      </c>
      <c r="H873" s="562">
        <v>4851865</v>
      </c>
      <c r="I873" s="562"/>
      <c r="J873" s="562">
        <f t="shared" si="22"/>
        <v>4851865</v>
      </c>
    </row>
    <row r="874" spans="1:10" hidden="1" x14ac:dyDescent="0.25">
      <c r="A874" s="362">
        <v>4</v>
      </c>
      <c r="B874" s="364">
        <v>44021</v>
      </c>
      <c r="C874" s="362" t="s">
        <v>146</v>
      </c>
      <c r="D874" s="562">
        <v>77644221</v>
      </c>
      <c r="E874" s="562">
        <v>345411160</v>
      </c>
      <c r="F874" s="562">
        <v>423054400</v>
      </c>
      <c r="G874" s="562">
        <f t="shared" si="21"/>
        <v>981</v>
      </c>
      <c r="H874" s="562">
        <v>10097227</v>
      </c>
      <c r="I874" s="562"/>
      <c r="J874" s="562">
        <f t="shared" si="22"/>
        <v>10097227</v>
      </c>
    </row>
    <row r="875" spans="1:10" hidden="1" x14ac:dyDescent="0.25">
      <c r="A875" s="362">
        <v>5</v>
      </c>
      <c r="B875" s="364">
        <v>44021</v>
      </c>
      <c r="C875" s="362" t="s">
        <v>86</v>
      </c>
      <c r="D875" s="562">
        <v>73691227</v>
      </c>
      <c r="E875" s="562">
        <v>39936288</v>
      </c>
      <c r="F875" s="562">
        <v>113627600</v>
      </c>
      <c r="G875" s="562">
        <f t="shared" si="21"/>
        <v>-85</v>
      </c>
      <c r="H875" s="562">
        <v>3068835</v>
      </c>
      <c r="I875" s="562"/>
      <c r="J875" s="562">
        <f t="shared" si="22"/>
        <v>3068835</v>
      </c>
    </row>
    <row r="876" spans="1:10" hidden="1" x14ac:dyDescent="0.25">
      <c r="A876" s="362">
        <v>6</v>
      </c>
      <c r="B876" s="364">
        <v>44021</v>
      </c>
      <c r="C876" s="362" t="s">
        <v>89</v>
      </c>
      <c r="D876" s="562">
        <v>150063973</v>
      </c>
      <c r="E876" s="562">
        <v>2823027</v>
      </c>
      <c r="F876" s="562">
        <v>152887000</v>
      </c>
      <c r="G876" s="562">
        <f t="shared" si="21"/>
        <v>0</v>
      </c>
      <c r="H876" s="562">
        <v>10438450</v>
      </c>
      <c r="I876" s="562"/>
      <c r="J876" s="562">
        <f t="shared" si="22"/>
        <v>10438450</v>
      </c>
    </row>
    <row r="877" spans="1:10" hidden="1" x14ac:dyDescent="0.25">
      <c r="A877" s="362">
        <v>7</v>
      </c>
      <c r="B877" s="364">
        <v>44021</v>
      </c>
      <c r="C877" s="362" t="s">
        <v>4751</v>
      </c>
      <c r="D877" s="562">
        <v>358863998</v>
      </c>
      <c r="E877" s="562">
        <v>13236502</v>
      </c>
      <c r="F877" s="562">
        <v>372100500</v>
      </c>
      <c r="G877" s="562">
        <f t="shared" si="21"/>
        <v>0</v>
      </c>
      <c r="H877" s="562">
        <v>13427809</v>
      </c>
      <c r="I877" s="562"/>
      <c r="J877" s="562">
        <f t="shared" si="22"/>
        <v>13427809</v>
      </c>
    </row>
    <row r="878" spans="1:10" hidden="1" x14ac:dyDescent="0.25">
      <c r="A878" s="362">
        <v>8</v>
      </c>
      <c r="B878" s="364">
        <v>44021</v>
      </c>
      <c r="C878" s="362" t="s">
        <v>84</v>
      </c>
      <c r="D878" s="562">
        <v>147410663</v>
      </c>
      <c r="E878" s="562">
        <v>10590321</v>
      </c>
      <c r="F878" s="562">
        <v>158001000</v>
      </c>
      <c r="G878" s="562">
        <f t="shared" si="21"/>
        <v>-16</v>
      </c>
      <c r="H878" s="562">
        <v>4335719</v>
      </c>
      <c r="I878" s="562">
        <v>4335719</v>
      </c>
      <c r="J878" s="562">
        <f t="shared" si="22"/>
        <v>0</v>
      </c>
    </row>
    <row r="879" spans="1:10" hidden="1" x14ac:dyDescent="0.25">
      <c r="A879" s="362">
        <v>9</v>
      </c>
      <c r="B879" s="364">
        <v>44021</v>
      </c>
      <c r="C879" s="362" t="s">
        <v>81</v>
      </c>
      <c r="D879" s="562">
        <v>99743263</v>
      </c>
      <c r="E879" s="562">
        <v>22348583</v>
      </c>
      <c r="F879" s="562">
        <v>122091900</v>
      </c>
      <c r="G879" s="562">
        <f t="shared" si="21"/>
        <v>-54</v>
      </c>
      <c r="H879" s="562">
        <v>9405435</v>
      </c>
      <c r="I879" s="562"/>
      <c r="J879" s="562">
        <f t="shared" si="22"/>
        <v>9405435</v>
      </c>
    </row>
    <row r="880" spans="1:10" hidden="1" x14ac:dyDescent="0.25">
      <c r="A880" s="362">
        <v>10</v>
      </c>
      <c r="B880" s="364">
        <v>44021</v>
      </c>
      <c r="C880" s="362" t="s">
        <v>79</v>
      </c>
      <c r="D880" s="562">
        <v>54634161</v>
      </c>
      <c r="E880" s="562">
        <v>2409888</v>
      </c>
      <c r="F880" s="562">
        <v>57044100</v>
      </c>
      <c r="G880" s="562">
        <f t="shared" si="21"/>
        <v>-51</v>
      </c>
      <c r="H880" s="562">
        <v>2785716</v>
      </c>
      <c r="I880" s="562">
        <v>2785716</v>
      </c>
      <c r="J880" s="562">
        <f t="shared" si="22"/>
        <v>0</v>
      </c>
    </row>
    <row r="881" spans="1:10" hidden="1" x14ac:dyDescent="0.25">
      <c r="A881" s="362">
        <v>11</v>
      </c>
      <c r="B881" s="364">
        <v>44021</v>
      </c>
      <c r="C881" s="362" t="s">
        <v>82</v>
      </c>
      <c r="D881" s="562">
        <v>78427514</v>
      </c>
      <c r="E881" s="562">
        <v>1998340</v>
      </c>
      <c r="F881" s="562">
        <v>80425900</v>
      </c>
      <c r="G881" s="562">
        <f t="shared" si="21"/>
        <v>-46</v>
      </c>
      <c r="H881" s="562">
        <v>4748168</v>
      </c>
      <c r="I881" s="562">
        <v>4748168</v>
      </c>
      <c r="J881" s="562">
        <f t="shared" si="22"/>
        <v>0</v>
      </c>
    </row>
    <row r="882" spans="1:10" hidden="1" x14ac:dyDescent="0.25">
      <c r="A882" s="362">
        <v>12</v>
      </c>
      <c r="B882" s="364">
        <v>44021</v>
      </c>
      <c r="C882" s="362" t="s">
        <v>78</v>
      </c>
      <c r="D882" s="562">
        <v>90481561</v>
      </c>
      <c r="E882" s="562">
        <v>1704739</v>
      </c>
      <c r="F882" s="562">
        <v>92186300</v>
      </c>
      <c r="G882" s="562">
        <f t="shared" si="21"/>
        <v>0</v>
      </c>
      <c r="H882" s="562">
        <v>10282185</v>
      </c>
      <c r="I882" s="562">
        <v>10282185</v>
      </c>
      <c r="J882" s="562">
        <f t="shared" si="22"/>
        <v>0</v>
      </c>
    </row>
    <row r="883" spans="1:10" hidden="1" x14ac:dyDescent="0.25">
      <c r="A883" s="362">
        <v>13</v>
      </c>
      <c r="B883" s="364">
        <v>44021</v>
      </c>
      <c r="C883" s="362" t="s">
        <v>85</v>
      </c>
      <c r="D883" s="562">
        <v>11879700</v>
      </c>
      <c r="E883" s="562"/>
      <c r="F883" s="562">
        <v>11879700</v>
      </c>
      <c r="G883" s="562">
        <f t="shared" si="21"/>
        <v>0</v>
      </c>
      <c r="H883" s="562"/>
      <c r="I883" s="562"/>
      <c r="J883" s="562">
        <f t="shared" si="22"/>
        <v>0</v>
      </c>
    </row>
    <row r="884" spans="1:10" hidden="1" x14ac:dyDescent="0.25">
      <c r="A884" s="362">
        <v>14</v>
      </c>
      <c r="B884" s="364">
        <v>44021</v>
      </c>
      <c r="C884" s="362" t="s">
        <v>166</v>
      </c>
      <c r="D884" s="562">
        <v>70778923</v>
      </c>
      <c r="E884" s="562"/>
      <c r="F884" s="562">
        <v>70779000</v>
      </c>
      <c r="G884" s="562">
        <f t="shared" si="21"/>
        <v>-77</v>
      </c>
      <c r="H884" s="562"/>
      <c r="I884" s="562"/>
      <c r="J884" s="562">
        <f t="shared" si="22"/>
        <v>0</v>
      </c>
    </row>
    <row r="885" spans="1:10" hidden="1" x14ac:dyDescent="0.25">
      <c r="A885" s="362">
        <v>15</v>
      </c>
      <c r="B885" s="364">
        <v>44021</v>
      </c>
      <c r="C885" s="362" t="s">
        <v>3435</v>
      </c>
      <c r="D885" s="562"/>
      <c r="E885" s="562"/>
      <c r="F885" s="562">
        <v>44909100</v>
      </c>
      <c r="G885" s="562">
        <f t="shared" si="21"/>
        <v>-44909100</v>
      </c>
      <c r="H885" s="562"/>
      <c r="I885" s="562"/>
      <c r="J885" s="562">
        <f t="shared" si="22"/>
        <v>0</v>
      </c>
    </row>
    <row r="886" spans="1:10" hidden="1" x14ac:dyDescent="0.25">
      <c r="A886" s="532"/>
      <c r="B886" s="532"/>
      <c r="C886" s="532"/>
      <c r="D886" s="564"/>
      <c r="E886" s="564"/>
      <c r="F886" s="564"/>
      <c r="G886" s="564">
        <f t="shared" si="21"/>
        <v>0</v>
      </c>
      <c r="H886" s="564"/>
      <c r="I886" s="564"/>
      <c r="J886" s="564">
        <f t="shared" si="22"/>
        <v>0</v>
      </c>
    </row>
    <row r="887" spans="1:10" hidden="1" x14ac:dyDescent="0.25">
      <c r="A887" s="362">
        <v>1</v>
      </c>
      <c r="B887" s="364">
        <v>44022</v>
      </c>
      <c r="C887" s="362" t="s">
        <v>80</v>
      </c>
      <c r="D887" s="562">
        <v>232732130</v>
      </c>
      <c r="E887" s="562"/>
      <c r="F887" s="562">
        <v>232732200</v>
      </c>
      <c r="G887" s="562">
        <f t="shared" si="21"/>
        <v>-70</v>
      </c>
      <c r="H887" s="562">
        <v>4936644</v>
      </c>
      <c r="I887" s="562"/>
      <c r="J887" s="562">
        <f t="shared" si="22"/>
        <v>4936644</v>
      </c>
    </row>
    <row r="888" spans="1:10" hidden="1" x14ac:dyDescent="0.25">
      <c r="A888" s="362">
        <v>2</v>
      </c>
      <c r="B888" s="364">
        <v>44022</v>
      </c>
      <c r="C888" s="362" t="s">
        <v>83</v>
      </c>
      <c r="D888" s="562">
        <v>124581758</v>
      </c>
      <c r="E888" s="562">
        <v>4115313</v>
      </c>
      <c r="F888" s="562">
        <v>128697100</v>
      </c>
      <c r="G888" s="562">
        <f t="shared" si="21"/>
        <v>-29</v>
      </c>
      <c r="H888" s="562">
        <v>826913</v>
      </c>
      <c r="I888" s="562"/>
      <c r="J888" s="562">
        <f t="shared" si="22"/>
        <v>826913</v>
      </c>
    </row>
    <row r="889" spans="1:10" hidden="1" x14ac:dyDescent="0.25">
      <c r="A889" s="362">
        <v>3</v>
      </c>
      <c r="B889" s="364">
        <v>44022</v>
      </c>
      <c r="C889" s="362" t="s">
        <v>88</v>
      </c>
      <c r="D889" s="562">
        <v>117645398</v>
      </c>
      <c r="E889" s="562">
        <v>34223134</v>
      </c>
      <c r="F889" s="562">
        <v>151868600</v>
      </c>
      <c r="G889" s="562">
        <f t="shared" si="21"/>
        <v>-68</v>
      </c>
      <c r="H889" s="562">
        <v>4851865</v>
      </c>
      <c r="I889" s="562">
        <v>4851865</v>
      </c>
      <c r="J889" s="562">
        <f t="shared" si="22"/>
        <v>0</v>
      </c>
    </row>
    <row r="890" spans="1:10" hidden="1" x14ac:dyDescent="0.25">
      <c r="A890" s="362">
        <v>4</v>
      </c>
      <c r="B890" s="364">
        <v>44022</v>
      </c>
      <c r="C890" s="362" t="s">
        <v>146</v>
      </c>
      <c r="D890" s="562">
        <v>46613409</v>
      </c>
      <c r="E890" s="562">
        <v>43394049</v>
      </c>
      <c r="F890" s="562">
        <v>90007800</v>
      </c>
      <c r="G890" s="562">
        <f t="shared" si="21"/>
        <v>-342</v>
      </c>
      <c r="H890" s="562">
        <v>4235327</v>
      </c>
      <c r="I890" s="562">
        <v>4235327</v>
      </c>
      <c r="J890" s="562">
        <f t="shared" si="22"/>
        <v>0</v>
      </c>
    </row>
    <row r="891" spans="1:10" hidden="1" x14ac:dyDescent="0.25">
      <c r="A891" s="362">
        <v>5</v>
      </c>
      <c r="B891" s="364">
        <v>44022</v>
      </c>
      <c r="C891" s="362" t="s">
        <v>86</v>
      </c>
      <c r="D891" s="562">
        <v>25794210</v>
      </c>
      <c r="E891" s="562">
        <v>135012699</v>
      </c>
      <c r="F891" s="562">
        <v>160807000</v>
      </c>
      <c r="G891" s="562">
        <f t="shared" si="21"/>
        <v>-91</v>
      </c>
      <c r="H891" s="562">
        <v>2540335</v>
      </c>
      <c r="I891" s="562">
        <v>3068835</v>
      </c>
      <c r="J891" s="562">
        <f t="shared" si="22"/>
        <v>-528500</v>
      </c>
    </row>
    <row r="892" spans="1:10" hidden="1" x14ac:dyDescent="0.25">
      <c r="A892" s="362">
        <v>6</v>
      </c>
      <c r="B892" s="364">
        <v>44022</v>
      </c>
      <c r="C892" s="362" t="s">
        <v>89</v>
      </c>
      <c r="D892" s="562">
        <v>232072531</v>
      </c>
      <c r="E892" s="562">
        <v>1421069</v>
      </c>
      <c r="F892" s="562">
        <v>233493600</v>
      </c>
      <c r="G892" s="562">
        <f t="shared" si="21"/>
        <v>0</v>
      </c>
      <c r="H892" s="562">
        <v>8874031</v>
      </c>
      <c r="I892" s="562">
        <v>8874031</v>
      </c>
      <c r="J892" s="562">
        <f t="shared" si="22"/>
        <v>0</v>
      </c>
    </row>
    <row r="893" spans="1:10" hidden="1" x14ac:dyDescent="0.25">
      <c r="A893" s="362">
        <v>7</v>
      </c>
      <c r="B893" s="364">
        <v>44022</v>
      </c>
      <c r="C893" s="362" t="s">
        <v>4751</v>
      </c>
      <c r="D893" s="562">
        <v>173123887</v>
      </c>
      <c r="E893" s="562">
        <v>7817113</v>
      </c>
      <c r="F893" s="562">
        <v>180941000</v>
      </c>
      <c r="G893" s="562">
        <f t="shared" si="21"/>
        <v>0</v>
      </c>
      <c r="H893" s="562">
        <v>12702804</v>
      </c>
      <c r="I893" s="562">
        <v>13427809</v>
      </c>
      <c r="J893" s="562">
        <f t="shared" si="22"/>
        <v>-725005</v>
      </c>
    </row>
    <row r="894" spans="1:10" hidden="1" x14ac:dyDescent="0.25">
      <c r="A894" s="362">
        <v>8</v>
      </c>
      <c r="B894" s="364">
        <v>44022</v>
      </c>
      <c r="C894" s="362" t="s">
        <v>84</v>
      </c>
      <c r="D894" s="562">
        <v>158349647</v>
      </c>
      <c r="E894" s="562">
        <v>9937433</v>
      </c>
      <c r="F894" s="562">
        <v>168287200</v>
      </c>
      <c r="G894" s="562">
        <f t="shared" si="21"/>
        <v>-120</v>
      </c>
      <c r="H894" s="562">
        <v>4335719</v>
      </c>
      <c r="I894" s="562"/>
      <c r="J894" s="562">
        <f t="shared" si="22"/>
        <v>4335719</v>
      </c>
    </row>
    <row r="895" spans="1:10" hidden="1" x14ac:dyDescent="0.25">
      <c r="A895" s="362">
        <v>9</v>
      </c>
      <c r="B895" s="364">
        <v>44022</v>
      </c>
      <c r="C895" s="362" t="s">
        <v>81</v>
      </c>
      <c r="D895" s="562">
        <v>87924266</v>
      </c>
      <c r="E895" s="562">
        <v>22372756</v>
      </c>
      <c r="F895" s="562">
        <v>110297000</v>
      </c>
      <c r="G895" s="562">
        <f t="shared" si="21"/>
        <v>22</v>
      </c>
      <c r="H895" s="562">
        <v>7083935</v>
      </c>
      <c r="I895" s="562">
        <v>7083935</v>
      </c>
      <c r="J895" s="562">
        <f t="shared" si="22"/>
        <v>0</v>
      </c>
    </row>
    <row r="896" spans="1:10" hidden="1" x14ac:dyDescent="0.25">
      <c r="A896" s="362">
        <v>10</v>
      </c>
      <c r="B896" s="364">
        <v>44022</v>
      </c>
      <c r="C896" s="362" t="s">
        <v>79</v>
      </c>
      <c r="D896" s="562">
        <v>55123314</v>
      </c>
      <c r="E896" s="562">
        <v>825479</v>
      </c>
      <c r="F896" s="562">
        <v>55948800</v>
      </c>
      <c r="G896" s="562">
        <f t="shared" si="21"/>
        <v>-7</v>
      </c>
      <c r="H896" s="562">
        <v>2783716</v>
      </c>
      <c r="I896" s="562"/>
      <c r="J896" s="562">
        <f t="shared" si="22"/>
        <v>2783716</v>
      </c>
    </row>
    <row r="897" spans="1:10" hidden="1" x14ac:dyDescent="0.25">
      <c r="A897" s="362">
        <v>11</v>
      </c>
      <c r="B897" s="364">
        <v>44022</v>
      </c>
      <c r="C897" s="362" t="s">
        <v>82</v>
      </c>
      <c r="D897" s="562">
        <v>59870041</v>
      </c>
      <c r="E897" s="562"/>
      <c r="F897" s="562">
        <v>59871000</v>
      </c>
      <c r="G897" s="562">
        <f t="shared" si="21"/>
        <v>-959</v>
      </c>
      <c r="H897" s="562">
        <v>4748168</v>
      </c>
      <c r="I897" s="562"/>
      <c r="J897" s="562">
        <f t="shared" si="22"/>
        <v>4748168</v>
      </c>
    </row>
    <row r="898" spans="1:10" hidden="1" x14ac:dyDescent="0.25">
      <c r="A898" s="362">
        <v>12</v>
      </c>
      <c r="B898" s="364">
        <v>44022</v>
      </c>
      <c r="C898" s="362" t="s">
        <v>78</v>
      </c>
      <c r="D898" s="562">
        <v>89917241</v>
      </c>
      <c r="E898" s="562">
        <v>2489559</v>
      </c>
      <c r="F898" s="562">
        <v>92406800</v>
      </c>
      <c r="G898" s="562">
        <f t="shared" si="21"/>
        <v>0</v>
      </c>
      <c r="H898" s="562">
        <v>8813558</v>
      </c>
      <c r="I898" s="562"/>
      <c r="J898" s="562">
        <f t="shared" si="22"/>
        <v>8813558</v>
      </c>
    </row>
    <row r="899" spans="1:10" hidden="1" x14ac:dyDescent="0.25">
      <c r="A899" s="362">
        <v>13</v>
      </c>
      <c r="B899" s="364">
        <v>44022</v>
      </c>
      <c r="C899" s="362" t="s">
        <v>85</v>
      </c>
      <c r="D899" s="562">
        <v>7927000</v>
      </c>
      <c r="E899" s="562"/>
      <c r="F899" s="562">
        <v>7927000</v>
      </c>
      <c r="G899" s="562">
        <f t="shared" si="21"/>
        <v>0</v>
      </c>
      <c r="H899" s="562"/>
      <c r="I899" s="562"/>
      <c r="J899" s="562">
        <f t="shared" si="22"/>
        <v>0</v>
      </c>
    </row>
    <row r="900" spans="1:10" hidden="1" x14ac:dyDescent="0.25">
      <c r="A900" s="362">
        <v>14</v>
      </c>
      <c r="B900" s="364">
        <v>44022</v>
      </c>
      <c r="C900" s="362" t="s">
        <v>166</v>
      </c>
      <c r="D900" s="562">
        <v>32408436</v>
      </c>
      <c r="E900" s="562"/>
      <c r="F900" s="562">
        <v>32408500</v>
      </c>
      <c r="G900" s="562">
        <f t="shared" si="21"/>
        <v>-64</v>
      </c>
      <c r="H900" s="562"/>
      <c r="I900" s="562"/>
      <c r="J900" s="562">
        <f t="shared" si="22"/>
        <v>0</v>
      </c>
    </row>
    <row r="901" spans="1:10" hidden="1" x14ac:dyDescent="0.25">
      <c r="A901" s="362">
        <v>15</v>
      </c>
      <c r="B901" s="364">
        <v>44022</v>
      </c>
      <c r="C901" s="362" t="s">
        <v>3435</v>
      </c>
      <c r="D901" s="562"/>
      <c r="E901" s="562"/>
      <c r="F901" s="562">
        <v>75059000</v>
      </c>
      <c r="G901" s="562">
        <f t="shared" si="21"/>
        <v>-75059000</v>
      </c>
      <c r="H901" s="562"/>
      <c r="I901" s="562"/>
      <c r="J901" s="562">
        <f t="shared" si="22"/>
        <v>0</v>
      </c>
    </row>
    <row r="902" spans="1:10" hidden="1" x14ac:dyDescent="0.25">
      <c r="A902" s="532"/>
      <c r="B902" s="591"/>
      <c r="C902" s="532"/>
      <c r="D902" s="564"/>
      <c r="E902" s="564"/>
      <c r="F902" s="564"/>
      <c r="G902" s="564">
        <f t="shared" si="21"/>
        <v>0</v>
      </c>
      <c r="H902" s="564"/>
      <c r="I902" s="564"/>
      <c r="J902" s="564"/>
    </row>
    <row r="903" spans="1:10" hidden="1" x14ac:dyDescent="0.25">
      <c r="A903" s="362">
        <v>1</v>
      </c>
      <c r="B903" s="364">
        <v>44023</v>
      </c>
      <c r="C903" s="362" t="s">
        <v>80</v>
      </c>
      <c r="D903" s="562">
        <v>205727050</v>
      </c>
      <c r="E903" s="562"/>
      <c r="F903" s="562">
        <v>205727000</v>
      </c>
      <c r="G903" s="562">
        <f t="shared" ref="G903:G966" si="23">D903+E903-F903</f>
        <v>50</v>
      </c>
      <c r="H903" s="562">
        <v>4936644</v>
      </c>
      <c r="I903" s="562"/>
      <c r="J903" s="562"/>
    </row>
    <row r="904" spans="1:10" hidden="1" x14ac:dyDescent="0.25">
      <c r="A904" s="362">
        <v>2</v>
      </c>
      <c r="B904" s="364">
        <v>44023</v>
      </c>
      <c r="C904" s="362" t="s">
        <v>83</v>
      </c>
      <c r="D904" s="562">
        <v>296400436</v>
      </c>
      <c r="E904" s="562">
        <v>52105164</v>
      </c>
      <c r="F904" s="562">
        <v>348505600</v>
      </c>
      <c r="G904" s="562">
        <f t="shared" si="23"/>
        <v>0</v>
      </c>
      <c r="H904" s="562">
        <v>551913</v>
      </c>
      <c r="I904" s="562"/>
      <c r="J904" s="562"/>
    </row>
    <row r="905" spans="1:10" hidden="1" x14ac:dyDescent="0.25">
      <c r="A905" s="362">
        <v>3</v>
      </c>
      <c r="B905" s="364">
        <v>44023</v>
      </c>
      <c r="C905" s="362" t="s">
        <v>88</v>
      </c>
      <c r="D905" s="562">
        <v>217039983</v>
      </c>
      <c r="E905" s="562">
        <v>5502347</v>
      </c>
      <c r="F905" s="562">
        <v>222542400</v>
      </c>
      <c r="G905" s="562">
        <f t="shared" si="23"/>
        <v>-70</v>
      </c>
      <c r="H905" s="562">
        <v>4851865</v>
      </c>
      <c r="I905" s="562"/>
      <c r="J905" s="562"/>
    </row>
    <row r="906" spans="1:10" hidden="1" x14ac:dyDescent="0.25">
      <c r="A906" s="362">
        <v>4</v>
      </c>
      <c r="B906" s="364">
        <v>44023</v>
      </c>
      <c r="C906" s="362" t="s">
        <v>146</v>
      </c>
      <c r="D906" s="562">
        <v>83391325</v>
      </c>
      <c r="E906" s="562">
        <v>93680570</v>
      </c>
      <c r="F906" s="562">
        <v>177071700</v>
      </c>
      <c r="G906" s="562">
        <f t="shared" si="23"/>
        <v>195</v>
      </c>
      <c r="H906" s="562">
        <v>3578127</v>
      </c>
      <c r="I906" s="562"/>
      <c r="J906" s="562"/>
    </row>
    <row r="907" spans="1:10" hidden="1" x14ac:dyDescent="0.25">
      <c r="A907" s="362">
        <v>5</v>
      </c>
      <c r="B907" s="364">
        <v>44023</v>
      </c>
      <c r="C907" s="362" t="s">
        <v>86</v>
      </c>
      <c r="D907" s="562">
        <v>36186098</v>
      </c>
      <c r="E907" s="562">
        <v>34985962</v>
      </c>
      <c r="F907" s="562">
        <v>71172000</v>
      </c>
      <c r="G907" s="562">
        <f t="shared" si="23"/>
        <v>60</v>
      </c>
      <c r="H907" s="562">
        <v>2540335</v>
      </c>
      <c r="I907" s="562"/>
      <c r="J907" s="562"/>
    </row>
    <row r="908" spans="1:10" hidden="1" x14ac:dyDescent="0.25">
      <c r="A908" s="362">
        <v>6</v>
      </c>
      <c r="B908" s="364">
        <v>44023</v>
      </c>
      <c r="C908" s="362" t="s">
        <v>89</v>
      </c>
      <c r="D908" s="562">
        <v>110131999</v>
      </c>
      <c r="E908" s="562">
        <v>4547772</v>
      </c>
      <c r="F908" s="562">
        <v>114679800</v>
      </c>
      <c r="G908" s="562">
        <f t="shared" si="23"/>
        <v>-29</v>
      </c>
      <c r="H908" s="562">
        <v>8792031</v>
      </c>
      <c r="I908" s="562"/>
      <c r="J908" s="562"/>
    </row>
    <row r="909" spans="1:10" hidden="1" x14ac:dyDescent="0.25">
      <c r="A909" s="362">
        <v>7</v>
      </c>
      <c r="B909" s="364">
        <v>44023</v>
      </c>
      <c r="C909" s="362" t="s">
        <v>4751</v>
      </c>
      <c r="D909" s="562">
        <v>249866556</v>
      </c>
      <c r="E909" s="562">
        <v>16750044</v>
      </c>
      <c r="F909" s="562">
        <v>266616600</v>
      </c>
      <c r="G909" s="562">
        <f t="shared" si="23"/>
        <v>0</v>
      </c>
      <c r="H909" s="562">
        <v>12702809</v>
      </c>
      <c r="I909" s="562"/>
      <c r="J909" s="562"/>
    </row>
    <row r="910" spans="1:10" hidden="1" x14ac:dyDescent="0.25">
      <c r="A910" s="362">
        <v>8</v>
      </c>
      <c r="B910" s="364">
        <v>44023</v>
      </c>
      <c r="C910" s="362" t="s">
        <v>84</v>
      </c>
      <c r="D910" s="562">
        <v>210831895</v>
      </c>
      <c r="E910" s="562">
        <v>21014609</v>
      </c>
      <c r="F910" s="562">
        <v>231847100</v>
      </c>
      <c r="G910" s="562">
        <f t="shared" si="23"/>
        <v>-596</v>
      </c>
      <c r="H910" s="562">
        <v>4335719</v>
      </c>
      <c r="I910" s="562"/>
      <c r="J910" s="562"/>
    </row>
    <row r="911" spans="1:10" hidden="1" x14ac:dyDescent="0.25">
      <c r="A911" s="362">
        <v>9</v>
      </c>
      <c r="B911" s="364">
        <v>44023</v>
      </c>
      <c r="C911" s="362" t="s">
        <v>81</v>
      </c>
      <c r="D911" s="562">
        <v>93127484</v>
      </c>
      <c r="E911" s="562">
        <v>4858723</v>
      </c>
      <c r="F911" s="562">
        <v>97986300</v>
      </c>
      <c r="G911" s="562">
        <f t="shared" si="23"/>
        <v>-93</v>
      </c>
      <c r="H911" s="562">
        <v>6496165</v>
      </c>
      <c r="I911" s="562"/>
      <c r="J911" s="562"/>
    </row>
    <row r="912" spans="1:10" hidden="1" x14ac:dyDescent="0.25">
      <c r="A912" s="362">
        <v>10</v>
      </c>
      <c r="B912" s="364">
        <v>44023</v>
      </c>
      <c r="C912" s="362" t="s">
        <v>79</v>
      </c>
      <c r="D912" s="562">
        <v>30128035</v>
      </c>
      <c r="E912" s="562">
        <v>1004738</v>
      </c>
      <c r="F912" s="562">
        <v>31132900</v>
      </c>
      <c r="G912" s="562">
        <f t="shared" si="23"/>
        <v>-127</v>
      </c>
      <c r="H912" s="562">
        <v>2762716</v>
      </c>
      <c r="I912" s="562"/>
      <c r="J912" s="562"/>
    </row>
    <row r="913" spans="1:10" hidden="1" x14ac:dyDescent="0.25">
      <c r="A913" s="362">
        <v>11</v>
      </c>
      <c r="B913" s="364">
        <v>44023</v>
      </c>
      <c r="C913" s="362" t="s">
        <v>82</v>
      </c>
      <c r="D913" s="562">
        <v>142460059</v>
      </c>
      <c r="E913" s="562">
        <v>2826700</v>
      </c>
      <c r="F913" s="562">
        <v>145286800</v>
      </c>
      <c r="G913" s="562">
        <f t="shared" si="23"/>
        <v>-41</v>
      </c>
      <c r="H913" s="562">
        <v>3815668</v>
      </c>
      <c r="I913" s="562"/>
      <c r="J913" s="562"/>
    </row>
    <row r="914" spans="1:10" hidden="1" x14ac:dyDescent="0.25">
      <c r="A914" s="362">
        <v>12</v>
      </c>
      <c r="B914" s="364">
        <v>44023</v>
      </c>
      <c r="C914" s="362" t="s">
        <v>78</v>
      </c>
      <c r="D914" s="562">
        <v>89220794</v>
      </c>
      <c r="E914" s="562">
        <v>2757306</v>
      </c>
      <c r="F914" s="562">
        <v>91978100</v>
      </c>
      <c r="G914" s="562">
        <f t="shared" si="23"/>
        <v>0</v>
      </c>
      <c r="H914" s="562">
        <v>8496008</v>
      </c>
      <c r="I914" s="562"/>
      <c r="J914" s="562"/>
    </row>
    <row r="915" spans="1:10" hidden="1" x14ac:dyDescent="0.25">
      <c r="A915" s="362">
        <v>13</v>
      </c>
      <c r="B915" s="364">
        <v>44023</v>
      </c>
      <c r="C915" s="362" t="s">
        <v>85</v>
      </c>
      <c r="D915" s="562">
        <v>11782500</v>
      </c>
      <c r="E915" s="562"/>
      <c r="F915" s="562">
        <v>11782500</v>
      </c>
      <c r="G915" s="562">
        <f t="shared" si="23"/>
        <v>0</v>
      </c>
      <c r="H915" s="562"/>
      <c r="I915" s="562"/>
      <c r="J915" s="562"/>
    </row>
    <row r="916" spans="1:10" hidden="1" x14ac:dyDescent="0.25">
      <c r="A916" s="362">
        <v>14</v>
      </c>
      <c r="B916" s="364">
        <v>44023</v>
      </c>
      <c r="C916" s="362" t="s">
        <v>166</v>
      </c>
      <c r="D916" s="562"/>
      <c r="E916" s="562"/>
      <c r="F916" s="562"/>
      <c r="G916" s="562">
        <f t="shared" si="23"/>
        <v>0</v>
      </c>
      <c r="H916" s="562"/>
      <c r="I916" s="562"/>
      <c r="J916" s="562"/>
    </row>
    <row r="917" spans="1:10" hidden="1" x14ac:dyDescent="0.25">
      <c r="A917" s="362">
        <v>15</v>
      </c>
      <c r="B917" s="364">
        <v>44023</v>
      </c>
      <c r="C917" s="362" t="s">
        <v>3435</v>
      </c>
      <c r="D917" s="562"/>
      <c r="E917" s="562"/>
      <c r="F917" s="562"/>
      <c r="G917" s="562">
        <f t="shared" si="23"/>
        <v>0</v>
      </c>
      <c r="H917" s="562"/>
      <c r="I917" s="562"/>
      <c r="J917" s="562"/>
    </row>
    <row r="918" spans="1:10" hidden="1" x14ac:dyDescent="0.25">
      <c r="A918" s="532"/>
      <c r="B918" s="532"/>
      <c r="C918" s="532"/>
      <c r="D918" s="564"/>
      <c r="E918" s="564"/>
      <c r="F918" s="564"/>
      <c r="G918" s="564">
        <f t="shared" si="23"/>
        <v>0</v>
      </c>
      <c r="H918" s="564"/>
      <c r="I918" s="564"/>
      <c r="J918" s="564"/>
    </row>
    <row r="919" spans="1:10" hidden="1" x14ac:dyDescent="0.25">
      <c r="A919" s="362">
        <v>1</v>
      </c>
      <c r="B919" s="364">
        <v>44025</v>
      </c>
      <c r="C919" s="362" t="s">
        <v>80</v>
      </c>
      <c r="D919" s="562">
        <v>227848313</v>
      </c>
      <c r="E919" s="562"/>
      <c r="F919" s="562">
        <v>227848300</v>
      </c>
      <c r="G919" s="562">
        <f t="shared" si="23"/>
        <v>13</v>
      </c>
      <c r="H919" s="562">
        <v>4936644</v>
      </c>
      <c r="I919" s="562"/>
      <c r="J919" s="562"/>
    </row>
    <row r="920" spans="1:10" hidden="1" x14ac:dyDescent="0.25">
      <c r="A920" s="362">
        <v>2</v>
      </c>
      <c r="B920" s="364">
        <v>44025</v>
      </c>
      <c r="C920" s="362" t="s">
        <v>83</v>
      </c>
      <c r="D920" s="562">
        <v>527312615</v>
      </c>
      <c r="E920" s="562">
        <v>11373947</v>
      </c>
      <c r="F920" s="562">
        <f>192686600+346000000</f>
        <v>538686600</v>
      </c>
      <c r="G920" s="562">
        <f t="shared" si="23"/>
        <v>-38</v>
      </c>
      <c r="H920" s="562">
        <v>13002337</v>
      </c>
      <c r="I920" s="562"/>
      <c r="J920" s="562"/>
    </row>
    <row r="921" spans="1:10" hidden="1" x14ac:dyDescent="0.25">
      <c r="A921" s="362">
        <v>3</v>
      </c>
      <c r="B921" s="364">
        <v>44025</v>
      </c>
      <c r="C921" s="362" t="s">
        <v>88</v>
      </c>
      <c r="D921" s="562">
        <v>228791550</v>
      </c>
      <c r="E921" s="562">
        <v>24871646</v>
      </c>
      <c r="F921" s="562">
        <v>253666300</v>
      </c>
      <c r="G921" s="562">
        <f t="shared" si="23"/>
        <v>-3104</v>
      </c>
      <c r="H921" s="562">
        <v>17801751</v>
      </c>
      <c r="I921" s="562"/>
      <c r="J921" s="562"/>
    </row>
    <row r="922" spans="1:10" hidden="1" x14ac:dyDescent="0.25">
      <c r="A922" s="362">
        <v>4</v>
      </c>
      <c r="B922" s="364">
        <v>44025</v>
      </c>
      <c r="C922" s="362" t="s">
        <v>146</v>
      </c>
      <c r="D922" s="562">
        <v>58763601</v>
      </c>
      <c r="E922" s="562">
        <v>76018484</v>
      </c>
      <c r="F922" s="562">
        <v>134782200</v>
      </c>
      <c r="G922" s="562">
        <f t="shared" si="23"/>
        <v>-115</v>
      </c>
      <c r="H922" s="562">
        <v>3578127</v>
      </c>
      <c r="I922" s="562"/>
      <c r="J922" s="562"/>
    </row>
    <row r="923" spans="1:10" hidden="1" x14ac:dyDescent="0.25">
      <c r="A923" s="362">
        <v>5</v>
      </c>
      <c r="B923" s="364">
        <v>44025</v>
      </c>
      <c r="C923" s="362" t="s">
        <v>86</v>
      </c>
      <c r="D923" s="562">
        <v>48808476</v>
      </c>
      <c r="E923" s="562">
        <v>74382587</v>
      </c>
      <c r="F923" s="562">
        <v>123191000</v>
      </c>
      <c r="G923" s="562">
        <f t="shared" si="23"/>
        <v>63</v>
      </c>
      <c r="H923" s="562">
        <v>9974221</v>
      </c>
      <c r="I923" s="562"/>
      <c r="J923" s="562"/>
    </row>
    <row r="924" spans="1:10" hidden="1" x14ac:dyDescent="0.25">
      <c r="A924" s="362">
        <v>6</v>
      </c>
      <c r="B924" s="364">
        <v>44025</v>
      </c>
      <c r="C924" s="362" t="s">
        <v>89</v>
      </c>
      <c r="D924" s="562">
        <v>91657400</v>
      </c>
      <c r="E924" s="562">
        <v>1193200</v>
      </c>
      <c r="F924" s="562">
        <v>92850600</v>
      </c>
      <c r="G924" s="562">
        <f t="shared" si="23"/>
        <v>0</v>
      </c>
      <c r="H924" s="562">
        <v>8002531</v>
      </c>
      <c r="I924" s="562"/>
      <c r="J924" s="562"/>
    </row>
    <row r="925" spans="1:10" hidden="1" x14ac:dyDescent="0.25">
      <c r="A925" s="362">
        <v>7</v>
      </c>
      <c r="B925" s="364">
        <v>44025</v>
      </c>
      <c r="C925" s="362" t="s">
        <v>4751</v>
      </c>
      <c r="D925" s="562">
        <v>157633775</v>
      </c>
      <c r="E925" s="562">
        <v>20693225</v>
      </c>
      <c r="F925" s="562">
        <v>178327000</v>
      </c>
      <c r="G925" s="562">
        <f t="shared" si="23"/>
        <v>0</v>
      </c>
      <c r="H925" s="562">
        <v>12234309</v>
      </c>
      <c r="I925" s="562"/>
      <c r="J925" s="562"/>
    </row>
    <row r="926" spans="1:10" hidden="1" x14ac:dyDescent="0.25">
      <c r="A926" s="362">
        <v>8</v>
      </c>
      <c r="B926" s="364">
        <v>44025</v>
      </c>
      <c r="C926" s="362" t="s">
        <v>84</v>
      </c>
      <c r="D926" s="562">
        <v>356096425</v>
      </c>
      <c r="E926" s="562">
        <v>11226252</v>
      </c>
      <c r="F926" s="562">
        <v>367322700</v>
      </c>
      <c r="G926" s="562">
        <f t="shared" si="23"/>
        <v>-23</v>
      </c>
      <c r="H926" s="562">
        <v>4335719</v>
      </c>
      <c r="I926" s="562"/>
      <c r="J926" s="562"/>
    </row>
    <row r="927" spans="1:10" hidden="1" x14ac:dyDescent="0.25">
      <c r="A927" s="362">
        <v>9</v>
      </c>
      <c r="B927" s="364">
        <v>44025</v>
      </c>
      <c r="C927" s="362" t="s">
        <v>81</v>
      </c>
      <c r="D927" s="562">
        <v>200543064</v>
      </c>
      <c r="E927" s="562">
        <v>12779665</v>
      </c>
      <c r="F927" s="562">
        <v>213322800</v>
      </c>
      <c r="G927" s="562">
        <f t="shared" si="23"/>
        <v>-71</v>
      </c>
      <c r="H927" s="562">
        <v>5826185</v>
      </c>
      <c r="I927" s="562"/>
      <c r="J927" s="562"/>
    </row>
    <row r="928" spans="1:10" hidden="1" x14ac:dyDescent="0.25">
      <c r="A928" s="362">
        <v>10</v>
      </c>
      <c r="B928" s="364">
        <v>44025</v>
      </c>
      <c r="C928" s="362" t="s">
        <v>79</v>
      </c>
      <c r="D928" s="562">
        <v>36321146</v>
      </c>
      <c r="E928" s="562">
        <v>1500226</v>
      </c>
      <c r="F928" s="562">
        <v>37821400</v>
      </c>
      <c r="G928" s="562">
        <f t="shared" si="23"/>
        <v>-28</v>
      </c>
      <c r="H928" s="562">
        <v>2107716</v>
      </c>
      <c r="I928" s="562"/>
      <c r="J928" s="562"/>
    </row>
    <row r="929" spans="1:10" hidden="1" x14ac:dyDescent="0.25">
      <c r="A929" s="362">
        <v>11</v>
      </c>
      <c r="B929" s="364">
        <v>44025</v>
      </c>
      <c r="C929" s="362" t="s">
        <v>82</v>
      </c>
      <c r="D929" s="562">
        <v>29335078</v>
      </c>
      <c r="E929" s="562">
        <v>457700</v>
      </c>
      <c r="F929" s="562">
        <v>29792800</v>
      </c>
      <c r="G929" s="562">
        <f t="shared" si="23"/>
        <v>-22</v>
      </c>
      <c r="H929" s="562">
        <v>3815668</v>
      </c>
      <c r="I929" s="562"/>
      <c r="J929" s="562"/>
    </row>
    <row r="930" spans="1:10" hidden="1" x14ac:dyDescent="0.25">
      <c r="A930" s="362">
        <v>12</v>
      </c>
      <c r="B930" s="364">
        <v>44025</v>
      </c>
      <c r="C930" s="362" t="s">
        <v>78</v>
      </c>
      <c r="D930" s="562">
        <v>51242212</v>
      </c>
      <c r="E930" s="562">
        <v>4093288</v>
      </c>
      <c r="F930" s="562">
        <v>55335500</v>
      </c>
      <c r="G930" s="562">
        <f t="shared" si="23"/>
        <v>0</v>
      </c>
      <c r="H930" s="562">
        <v>7710108</v>
      </c>
      <c r="I930" s="562"/>
      <c r="J930" s="562"/>
    </row>
    <row r="931" spans="1:10" hidden="1" x14ac:dyDescent="0.25">
      <c r="A931" s="362">
        <v>13</v>
      </c>
      <c r="B931" s="364">
        <v>44025</v>
      </c>
      <c r="C931" s="362" t="s">
        <v>85</v>
      </c>
      <c r="D931" s="562">
        <v>27069900</v>
      </c>
      <c r="E931" s="562"/>
      <c r="F931" s="562">
        <v>27069900</v>
      </c>
      <c r="G931" s="562">
        <f t="shared" si="23"/>
        <v>0</v>
      </c>
      <c r="H931" s="562"/>
      <c r="I931" s="562"/>
      <c r="J931" s="562"/>
    </row>
    <row r="932" spans="1:10" hidden="1" x14ac:dyDescent="0.25">
      <c r="A932" s="362">
        <v>14</v>
      </c>
      <c r="B932" s="364">
        <v>44025</v>
      </c>
      <c r="C932" s="362" t="s">
        <v>166</v>
      </c>
      <c r="D932" s="562">
        <v>42742057</v>
      </c>
      <c r="E932" s="562"/>
      <c r="F932" s="562">
        <v>42742000</v>
      </c>
      <c r="G932" s="562">
        <f t="shared" si="23"/>
        <v>57</v>
      </c>
      <c r="H932" s="562"/>
      <c r="I932" s="562"/>
      <c r="J932" s="562"/>
    </row>
    <row r="933" spans="1:10" hidden="1" x14ac:dyDescent="0.25">
      <c r="A933" s="362">
        <v>15</v>
      </c>
      <c r="B933" s="364">
        <v>44025</v>
      </c>
      <c r="C933" s="362" t="s">
        <v>3435</v>
      </c>
      <c r="D933" s="562"/>
      <c r="E933" s="562"/>
      <c r="F933" s="562">
        <v>22885400</v>
      </c>
      <c r="G933" s="562">
        <f t="shared" si="23"/>
        <v>-22885400</v>
      </c>
      <c r="H933" s="562"/>
      <c r="I933" s="562"/>
      <c r="J933" s="562"/>
    </row>
    <row r="934" spans="1:10" hidden="1" x14ac:dyDescent="0.25">
      <c r="A934" s="532"/>
      <c r="B934" s="591"/>
      <c r="C934" s="532"/>
      <c r="D934" s="532"/>
      <c r="E934" s="532"/>
      <c r="F934" s="532"/>
      <c r="G934" s="564">
        <f t="shared" si="23"/>
        <v>0</v>
      </c>
      <c r="H934" s="532"/>
      <c r="I934" s="532"/>
      <c r="J934" s="532"/>
    </row>
    <row r="935" spans="1:10" hidden="1" x14ac:dyDescent="0.25">
      <c r="A935" s="362">
        <v>1</v>
      </c>
      <c r="B935" s="364">
        <v>44026</v>
      </c>
      <c r="C935" s="362" t="s">
        <v>80</v>
      </c>
      <c r="D935" s="562">
        <v>191186572</v>
      </c>
      <c r="E935" s="562"/>
      <c r="F935" s="562">
        <v>191186600</v>
      </c>
      <c r="G935" s="562">
        <f t="shared" si="23"/>
        <v>-28</v>
      </c>
      <c r="H935" s="562">
        <v>33937082</v>
      </c>
      <c r="I935" s="562"/>
      <c r="J935" s="562"/>
    </row>
    <row r="936" spans="1:10" hidden="1" x14ac:dyDescent="0.25">
      <c r="A936" s="362">
        <v>2</v>
      </c>
      <c r="B936" s="364">
        <v>44026</v>
      </c>
      <c r="C936" s="362" t="s">
        <v>83</v>
      </c>
      <c r="D936" s="562">
        <v>282088502</v>
      </c>
      <c r="E936" s="562">
        <v>14187291</v>
      </c>
      <c r="F936" s="562">
        <v>296275800</v>
      </c>
      <c r="G936" s="562">
        <f t="shared" si="23"/>
        <v>-7</v>
      </c>
      <c r="H936" s="562">
        <v>7904901</v>
      </c>
      <c r="I936" s="562"/>
      <c r="J936" s="562"/>
    </row>
    <row r="937" spans="1:10" hidden="1" x14ac:dyDescent="0.25">
      <c r="A937" s="362">
        <v>3</v>
      </c>
      <c r="B937" s="364">
        <v>44026</v>
      </c>
      <c r="C937" s="362" t="s">
        <v>88</v>
      </c>
      <c r="D937" s="562">
        <v>237555438</v>
      </c>
      <c r="E937" s="562">
        <v>4872813</v>
      </c>
      <c r="F937" s="562">
        <v>242428300</v>
      </c>
      <c r="G937" s="562">
        <f t="shared" si="23"/>
        <v>-49</v>
      </c>
      <c r="H937" s="562">
        <v>14303641</v>
      </c>
      <c r="I937" s="562"/>
      <c r="J937" s="562"/>
    </row>
    <row r="938" spans="1:10" hidden="1" x14ac:dyDescent="0.25">
      <c r="A938" s="362">
        <v>4</v>
      </c>
      <c r="B938" s="364">
        <v>44026</v>
      </c>
      <c r="C938" s="362" t="s">
        <v>146</v>
      </c>
      <c r="D938" s="562">
        <v>174180701</v>
      </c>
      <c r="E938" s="562">
        <v>151151853</v>
      </c>
      <c r="F938" s="562">
        <v>325333000</v>
      </c>
      <c r="G938" s="562">
        <f t="shared" si="23"/>
        <v>-446</v>
      </c>
      <c r="H938" s="562">
        <v>18792270</v>
      </c>
      <c r="I938" s="562"/>
      <c r="J938" s="562"/>
    </row>
    <row r="939" spans="1:10" hidden="1" x14ac:dyDescent="0.25">
      <c r="A939" s="362">
        <v>5</v>
      </c>
      <c r="B939" s="364">
        <v>44026</v>
      </c>
      <c r="C939" s="362" t="s">
        <v>86</v>
      </c>
      <c r="D939" s="562">
        <v>59186259</v>
      </c>
      <c r="E939" s="562">
        <v>14170160</v>
      </c>
      <c r="F939" s="562">
        <v>73356400</v>
      </c>
      <c r="G939" s="562">
        <f t="shared" si="23"/>
        <v>19</v>
      </c>
      <c r="H939" s="562">
        <v>7353733</v>
      </c>
      <c r="I939" s="562"/>
      <c r="J939" s="562"/>
    </row>
    <row r="940" spans="1:10" hidden="1" x14ac:dyDescent="0.25">
      <c r="A940" s="362">
        <v>6</v>
      </c>
      <c r="B940" s="364">
        <v>44026</v>
      </c>
      <c r="C940" s="362" t="s">
        <v>89</v>
      </c>
      <c r="D940" s="562">
        <v>120408553</v>
      </c>
      <c r="E940" s="562">
        <v>5608747</v>
      </c>
      <c r="F940" s="562">
        <v>126017300</v>
      </c>
      <c r="G940" s="562">
        <f t="shared" si="23"/>
        <v>0</v>
      </c>
      <c r="H940" s="562">
        <v>17118107</v>
      </c>
      <c r="I940" s="562"/>
      <c r="J940" s="562"/>
    </row>
    <row r="941" spans="1:10" hidden="1" x14ac:dyDescent="0.25">
      <c r="A941" s="362">
        <v>7</v>
      </c>
      <c r="B941" s="364">
        <v>44026</v>
      </c>
      <c r="C941" s="362" t="s">
        <v>4751</v>
      </c>
      <c r="D941" s="562">
        <v>140468835</v>
      </c>
      <c r="E941" s="562">
        <v>15177965</v>
      </c>
      <c r="F941" s="562">
        <v>155646800</v>
      </c>
      <c r="G941" s="562">
        <f t="shared" si="23"/>
        <v>0</v>
      </c>
      <c r="H941" s="562">
        <v>12095659</v>
      </c>
      <c r="I941" s="562"/>
      <c r="J941" s="562"/>
    </row>
    <row r="942" spans="1:10" hidden="1" x14ac:dyDescent="0.25">
      <c r="A942" s="362">
        <v>8</v>
      </c>
      <c r="B942" s="364">
        <v>44026</v>
      </c>
      <c r="C942" s="362" t="s">
        <v>84</v>
      </c>
      <c r="D942" s="562">
        <v>161757340</v>
      </c>
      <c r="E942" s="562">
        <v>18923444</v>
      </c>
      <c r="F942" s="562">
        <v>180680800</v>
      </c>
      <c r="G942" s="562">
        <f t="shared" si="23"/>
        <v>-16</v>
      </c>
      <c r="H942" s="562">
        <v>25551115</v>
      </c>
      <c r="I942" s="562"/>
      <c r="J942" s="562"/>
    </row>
    <row r="943" spans="1:10" hidden="1" x14ac:dyDescent="0.25">
      <c r="A943" s="362">
        <v>9</v>
      </c>
      <c r="B943" s="364">
        <v>44026</v>
      </c>
      <c r="C943" s="362" t="s">
        <v>81</v>
      </c>
      <c r="D943" s="562">
        <v>87192089</v>
      </c>
      <c r="E943" s="562">
        <v>17069186</v>
      </c>
      <c r="F943" s="562">
        <v>104261300</v>
      </c>
      <c r="G943" s="562">
        <f t="shared" si="23"/>
        <v>-25</v>
      </c>
      <c r="H943" s="562">
        <v>17752178</v>
      </c>
      <c r="I943" s="562"/>
      <c r="J943" s="562"/>
    </row>
    <row r="944" spans="1:10" hidden="1" x14ac:dyDescent="0.25">
      <c r="A944" s="362">
        <v>10</v>
      </c>
      <c r="B944" s="364">
        <v>44026</v>
      </c>
      <c r="C944" s="362" t="s">
        <v>79</v>
      </c>
      <c r="D944" s="562">
        <v>63523426</v>
      </c>
      <c r="E944" s="562">
        <v>453100</v>
      </c>
      <c r="F944" s="562">
        <v>63976600</v>
      </c>
      <c r="G944" s="562">
        <f t="shared" si="23"/>
        <v>-74</v>
      </c>
      <c r="H944" s="562">
        <v>4758796</v>
      </c>
      <c r="I944" s="562"/>
      <c r="J944" s="562"/>
    </row>
    <row r="945" spans="1:10" hidden="1" x14ac:dyDescent="0.25">
      <c r="A945" s="362">
        <v>11</v>
      </c>
      <c r="B945" s="364">
        <v>44026</v>
      </c>
      <c r="C945" s="362" t="s">
        <v>82</v>
      </c>
      <c r="D945" s="562">
        <v>38293319</v>
      </c>
      <c r="E945" s="562">
        <v>4587568</v>
      </c>
      <c r="F945" s="562">
        <v>42880900</v>
      </c>
      <c r="G945" s="562">
        <f t="shared" si="23"/>
        <v>-13</v>
      </c>
      <c r="H945" s="562">
        <v>8559191</v>
      </c>
      <c r="I945" s="562"/>
      <c r="J945" s="562"/>
    </row>
    <row r="946" spans="1:10" hidden="1" x14ac:dyDescent="0.25">
      <c r="A946" s="362">
        <v>12</v>
      </c>
      <c r="B946" s="364">
        <v>44026</v>
      </c>
      <c r="C946" s="362" t="s">
        <v>78</v>
      </c>
      <c r="D946" s="562">
        <v>146767058</v>
      </c>
      <c r="E946" s="562">
        <v>3259042</v>
      </c>
      <c r="F946" s="562">
        <v>150026100</v>
      </c>
      <c r="G946" s="562">
        <f t="shared" si="23"/>
        <v>0</v>
      </c>
      <c r="H946" s="562">
        <v>15535444</v>
      </c>
      <c r="I946" s="562"/>
      <c r="J946" s="562"/>
    </row>
    <row r="947" spans="1:10" hidden="1" x14ac:dyDescent="0.25">
      <c r="A947" s="362">
        <v>13</v>
      </c>
      <c r="B947" s="364">
        <v>44026</v>
      </c>
      <c r="C947" s="362" t="s">
        <v>85</v>
      </c>
      <c r="D947" s="562">
        <v>31276600</v>
      </c>
      <c r="E947" s="562"/>
      <c r="F947" s="562">
        <v>31276600</v>
      </c>
      <c r="G947" s="562">
        <f t="shared" si="23"/>
        <v>0</v>
      </c>
      <c r="H947" s="562"/>
      <c r="I947" s="562"/>
      <c r="J947" s="562"/>
    </row>
    <row r="948" spans="1:10" hidden="1" x14ac:dyDescent="0.25">
      <c r="A948" s="362">
        <v>14</v>
      </c>
      <c r="B948" s="364">
        <v>44026</v>
      </c>
      <c r="C948" s="362" t="s">
        <v>166</v>
      </c>
      <c r="D948" s="562">
        <v>80161959</v>
      </c>
      <c r="E948" s="562"/>
      <c r="F948" s="562">
        <v>80162000</v>
      </c>
      <c r="G948" s="562">
        <f t="shared" si="23"/>
        <v>-41</v>
      </c>
      <c r="H948" s="562"/>
      <c r="I948" s="562"/>
      <c r="J948" s="562"/>
    </row>
    <row r="949" spans="1:10" hidden="1" x14ac:dyDescent="0.25">
      <c r="A949" s="362">
        <v>15</v>
      </c>
      <c r="B949" s="364">
        <v>44026</v>
      </c>
      <c r="C949" s="362" t="s">
        <v>3435</v>
      </c>
      <c r="D949" s="562"/>
      <c r="E949" s="562"/>
      <c r="F949" s="562">
        <v>34793200</v>
      </c>
      <c r="G949" s="562">
        <f t="shared" si="23"/>
        <v>-34793200</v>
      </c>
      <c r="H949" s="562"/>
      <c r="I949" s="562"/>
      <c r="J949" s="562"/>
    </row>
    <row r="950" spans="1:10" hidden="1" x14ac:dyDescent="0.25">
      <c r="A950" s="532"/>
      <c r="B950" s="591"/>
      <c r="C950" s="532"/>
      <c r="D950" s="564"/>
      <c r="E950" s="564"/>
      <c r="F950" s="564"/>
      <c r="G950" s="564">
        <f t="shared" si="23"/>
        <v>0</v>
      </c>
      <c r="H950" s="564"/>
      <c r="I950" s="564"/>
      <c r="J950" s="564"/>
    </row>
    <row r="951" spans="1:10" hidden="1" x14ac:dyDescent="0.25">
      <c r="A951" s="362">
        <v>1</v>
      </c>
      <c r="B951" s="364">
        <v>44027</v>
      </c>
      <c r="C951" s="362" t="s">
        <v>80</v>
      </c>
      <c r="D951" s="562">
        <v>298182979</v>
      </c>
      <c r="E951" s="562">
        <v>56437629</v>
      </c>
      <c r="F951" s="562">
        <v>354630700</v>
      </c>
      <c r="G951" s="562">
        <f t="shared" si="23"/>
        <v>-10092</v>
      </c>
      <c r="H951" s="562">
        <v>33937081</v>
      </c>
      <c r="I951" s="562"/>
      <c r="J951" s="562"/>
    </row>
    <row r="952" spans="1:10" hidden="1" x14ac:dyDescent="0.25">
      <c r="A952" s="362">
        <v>2</v>
      </c>
      <c r="B952" s="364">
        <v>44027</v>
      </c>
      <c r="C952" s="362" t="s">
        <v>83</v>
      </c>
      <c r="D952" s="562">
        <v>317372979</v>
      </c>
      <c r="E952" s="562">
        <v>9858241</v>
      </c>
      <c r="F952" s="562">
        <v>327231300</v>
      </c>
      <c r="G952" s="562">
        <f t="shared" si="23"/>
        <v>-80</v>
      </c>
      <c r="H952" s="562">
        <v>7174466</v>
      </c>
      <c r="I952" s="562"/>
      <c r="J952" s="562"/>
    </row>
    <row r="953" spans="1:10" hidden="1" x14ac:dyDescent="0.25">
      <c r="A953" s="362">
        <v>3</v>
      </c>
      <c r="B953" s="364">
        <v>44027</v>
      </c>
      <c r="C953" s="362" t="s">
        <v>88</v>
      </c>
      <c r="D953" s="562">
        <v>201862755</v>
      </c>
      <c r="E953" s="562">
        <v>5556162</v>
      </c>
      <c r="F953" s="562">
        <v>207419000</v>
      </c>
      <c r="G953" s="562">
        <f t="shared" si="23"/>
        <v>-83</v>
      </c>
      <c r="H953" s="562">
        <v>12229938</v>
      </c>
      <c r="I953" s="562"/>
      <c r="J953" s="562"/>
    </row>
    <row r="954" spans="1:10" hidden="1" x14ac:dyDescent="0.25">
      <c r="A954" s="362">
        <v>4</v>
      </c>
      <c r="B954" s="364">
        <v>44027</v>
      </c>
      <c r="C954" s="362" t="s">
        <v>146</v>
      </c>
      <c r="D954" s="562">
        <v>54635208</v>
      </c>
      <c r="E954" s="562">
        <v>46956626</v>
      </c>
      <c r="F954" s="562">
        <v>101591700</v>
      </c>
      <c r="G954" s="562">
        <f t="shared" si="23"/>
        <v>134</v>
      </c>
      <c r="H954" s="562">
        <v>16390670</v>
      </c>
      <c r="I954" s="562"/>
      <c r="J954" s="562"/>
    </row>
    <row r="955" spans="1:10" hidden="1" x14ac:dyDescent="0.25">
      <c r="A955" s="362">
        <v>5</v>
      </c>
      <c r="B955" s="364">
        <v>44027</v>
      </c>
      <c r="C955" s="362" t="s">
        <v>86</v>
      </c>
      <c r="D955" s="562">
        <v>69688035</v>
      </c>
      <c r="E955" s="562">
        <v>5485178</v>
      </c>
      <c r="F955" s="562">
        <v>75173800</v>
      </c>
      <c r="G955" s="562">
        <f t="shared" si="23"/>
        <v>-587</v>
      </c>
      <c r="H955" s="562">
        <v>7353733</v>
      </c>
      <c r="I955" s="562"/>
      <c r="J955" s="562"/>
    </row>
    <row r="956" spans="1:10" hidden="1" x14ac:dyDescent="0.25">
      <c r="A956" s="362">
        <v>6</v>
      </c>
      <c r="B956" s="364">
        <v>44027</v>
      </c>
      <c r="C956" s="362" t="s">
        <v>89</v>
      </c>
      <c r="D956" s="562">
        <v>92124600</v>
      </c>
      <c r="E956" s="562">
        <v>4389000</v>
      </c>
      <c r="F956" s="562">
        <v>96513600</v>
      </c>
      <c r="G956" s="562">
        <f t="shared" si="23"/>
        <v>0</v>
      </c>
      <c r="H956" s="562">
        <v>17118107</v>
      </c>
      <c r="I956" s="562"/>
      <c r="J956" s="562"/>
    </row>
    <row r="957" spans="1:10" hidden="1" x14ac:dyDescent="0.25">
      <c r="A957" s="362">
        <v>7</v>
      </c>
      <c r="B957" s="364">
        <v>44027</v>
      </c>
      <c r="C957" s="362" t="s">
        <v>4751</v>
      </c>
      <c r="D957" s="562">
        <v>218776996</v>
      </c>
      <c r="E957" s="562">
        <v>8480204</v>
      </c>
      <c r="F957" s="562">
        <v>227257200</v>
      </c>
      <c r="G957" s="562">
        <f t="shared" si="23"/>
        <v>0</v>
      </c>
      <c r="H957" s="562">
        <v>27820758</v>
      </c>
      <c r="I957" s="562"/>
      <c r="J957" s="562"/>
    </row>
    <row r="958" spans="1:10" hidden="1" x14ac:dyDescent="0.25">
      <c r="A958" s="362">
        <v>8</v>
      </c>
      <c r="B958" s="364">
        <v>44027</v>
      </c>
      <c r="C958" s="362" t="s">
        <v>84</v>
      </c>
      <c r="D958" s="562">
        <v>239399799</v>
      </c>
      <c r="E958" s="562">
        <v>11969566</v>
      </c>
      <c r="F958" s="562">
        <v>251369200</v>
      </c>
      <c r="G958" s="562">
        <f t="shared" si="23"/>
        <v>165</v>
      </c>
      <c r="H958" s="562">
        <v>25551115</v>
      </c>
      <c r="I958" s="562"/>
      <c r="J958" s="562"/>
    </row>
    <row r="959" spans="1:10" hidden="1" x14ac:dyDescent="0.25">
      <c r="A959" s="362">
        <v>9</v>
      </c>
      <c r="B959" s="364">
        <v>44027</v>
      </c>
      <c r="C959" s="362" t="s">
        <v>81</v>
      </c>
      <c r="D959" s="562">
        <v>88026988</v>
      </c>
      <c r="E959" s="562">
        <v>11044436</v>
      </c>
      <c r="F959" s="562">
        <v>99071400</v>
      </c>
      <c r="G959" s="562">
        <f t="shared" si="23"/>
        <v>24</v>
      </c>
      <c r="H959" s="562">
        <v>16024578</v>
      </c>
      <c r="I959" s="562"/>
      <c r="J959" s="562"/>
    </row>
    <row r="960" spans="1:10" hidden="1" x14ac:dyDescent="0.25">
      <c r="A960" s="362">
        <v>10</v>
      </c>
      <c r="B960" s="364">
        <v>44027</v>
      </c>
      <c r="C960" s="362" t="s">
        <v>79</v>
      </c>
      <c r="D960" s="562">
        <v>64982388</v>
      </c>
      <c r="E960" s="562">
        <v>1437230</v>
      </c>
      <c r="F960" s="562">
        <v>66419700</v>
      </c>
      <c r="G960" s="562">
        <f t="shared" si="23"/>
        <v>-82</v>
      </c>
      <c r="H960" s="562">
        <v>4683296</v>
      </c>
      <c r="I960" s="562"/>
      <c r="J960" s="562"/>
    </row>
    <row r="961" spans="1:10" hidden="1" x14ac:dyDescent="0.25">
      <c r="A961" s="362">
        <v>11</v>
      </c>
      <c r="B961" s="364">
        <v>44027</v>
      </c>
      <c r="C961" s="362" t="s">
        <v>82</v>
      </c>
      <c r="D961" s="562">
        <v>119625289</v>
      </c>
      <c r="E961" s="562">
        <v>420300</v>
      </c>
      <c r="F961" s="562">
        <v>120045700</v>
      </c>
      <c r="G961" s="562">
        <f t="shared" si="23"/>
        <v>-111</v>
      </c>
      <c r="H961" s="562">
        <v>8390191</v>
      </c>
      <c r="I961" s="562"/>
      <c r="J961" s="562"/>
    </row>
    <row r="962" spans="1:10" hidden="1" x14ac:dyDescent="0.25">
      <c r="A962" s="362">
        <v>12</v>
      </c>
      <c r="B962" s="364">
        <v>44027</v>
      </c>
      <c r="C962" s="362" t="s">
        <v>78</v>
      </c>
      <c r="D962" s="562">
        <v>78377082</v>
      </c>
      <c r="E962" s="562">
        <v>4995118</v>
      </c>
      <c r="F962" s="562">
        <v>83372200</v>
      </c>
      <c r="G962" s="562">
        <f t="shared" si="23"/>
        <v>0</v>
      </c>
      <c r="H962" s="562">
        <v>14582394</v>
      </c>
      <c r="I962" s="562"/>
      <c r="J962" s="562"/>
    </row>
    <row r="963" spans="1:10" hidden="1" x14ac:dyDescent="0.25">
      <c r="A963" s="362">
        <v>13</v>
      </c>
      <c r="B963" s="364">
        <v>44027</v>
      </c>
      <c r="C963" s="362" t="s">
        <v>85</v>
      </c>
      <c r="D963" s="562">
        <v>31301700</v>
      </c>
      <c r="E963" s="562"/>
      <c r="F963" s="562">
        <v>31301700</v>
      </c>
      <c r="G963" s="562">
        <f t="shared" si="23"/>
        <v>0</v>
      </c>
      <c r="H963" s="562"/>
      <c r="I963" s="562"/>
      <c r="J963" s="562"/>
    </row>
    <row r="964" spans="1:10" hidden="1" x14ac:dyDescent="0.25">
      <c r="A964" s="362">
        <v>14</v>
      </c>
      <c r="B964" s="364">
        <v>44027</v>
      </c>
      <c r="C964" s="362" t="s">
        <v>166</v>
      </c>
      <c r="D964" s="562">
        <v>50260197</v>
      </c>
      <c r="E964" s="562"/>
      <c r="F964" s="562">
        <v>50260200</v>
      </c>
      <c r="G964" s="562">
        <f t="shared" si="23"/>
        <v>-3</v>
      </c>
      <c r="H964" s="562"/>
      <c r="I964" s="562"/>
      <c r="J964" s="562"/>
    </row>
    <row r="965" spans="1:10" hidden="1" x14ac:dyDescent="0.25">
      <c r="A965" s="362">
        <v>15</v>
      </c>
      <c r="B965" s="364">
        <v>44027</v>
      </c>
      <c r="C965" s="362" t="s">
        <v>3435</v>
      </c>
      <c r="D965" s="562"/>
      <c r="E965" s="562"/>
      <c r="F965" s="562">
        <v>47586100</v>
      </c>
      <c r="G965" s="562">
        <f t="shared" si="23"/>
        <v>-47586100</v>
      </c>
      <c r="H965" s="562"/>
      <c r="I965" s="562"/>
      <c r="J965" s="562"/>
    </row>
    <row r="966" spans="1:10" hidden="1" x14ac:dyDescent="0.25">
      <c r="A966" s="532"/>
      <c r="B966" s="532"/>
      <c r="C966" s="532"/>
      <c r="D966" s="564"/>
      <c r="E966" s="564"/>
      <c r="F966" s="564"/>
      <c r="G966" s="564">
        <f t="shared" si="23"/>
        <v>0</v>
      </c>
      <c r="H966" s="564"/>
      <c r="I966" s="564"/>
      <c r="J966" s="564"/>
    </row>
    <row r="967" spans="1:10" hidden="1" x14ac:dyDescent="0.25">
      <c r="A967" s="362">
        <v>1</v>
      </c>
      <c r="B967" s="364">
        <v>44028</v>
      </c>
      <c r="C967" s="362" t="s">
        <v>80</v>
      </c>
      <c r="D967" s="562">
        <v>243446692</v>
      </c>
      <c r="E967" s="562">
        <v>56157067</v>
      </c>
      <c r="F967" s="562">
        <v>299603800</v>
      </c>
      <c r="G967" s="562">
        <f t="shared" ref="G967:G1030" si="24">D967+E967-F967</f>
        <v>-41</v>
      </c>
      <c r="H967" s="562">
        <v>17351897</v>
      </c>
      <c r="I967" s="562">
        <v>17351897</v>
      </c>
      <c r="J967" s="562">
        <f>H967-I967</f>
        <v>0</v>
      </c>
    </row>
    <row r="968" spans="1:10" hidden="1" x14ac:dyDescent="0.25">
      <c r="A968" s="362">
        <v>2</v>
      </c>
      <c r="B968" s="364">
        <v>44028</v>
      </c>
      <c r="C968" s="362" t="s">
        <v>83</v>
      </c>
      <c r="D968" s="562">
        <v>209008882</v>
      </c>
      <c r="E968" s="562">
        <v>48879900</v>
      </c>
      <c r="F968" s="562">
        <v>257888800</v>
      </c>
      <c r="G968" s="562">
        <f t="shared" si="24"/>
        <v>-18</v>
      </c>
      <c r="H968" s="562">
        <v>5275766</v>
      </c>
      <c r="I968" s="562">
        <v>7173466</v>
      </c>
      <c r="J968" s="562">
        <f t="shared" ref="J968:J997" si="25">H968-I968</f>
        <v>-1897700</v>
      </c>
    </row>
    <row r="969" spans="1:10" hidden="1" x14ac:dyDescent="0.25">
      <c r="A969" s="362">
        <v>3</v>
      </c>
      <c r="B969" s="364">
        <v>44028</v>
      </c>
      <c r="C969" s="362" t="s">
        <v>88</v>
      </c>
      <c r="D969" s="562">
        <v>266504861</v>
      </c>
      <c r="E969" s="562">
        <v>18063561</v>
      </c>
      <c r="F969" s="562">
        <v>284568500</v>
      </c>
      <c r="G969" s="562">
        <f t="shared" si="24"/>
        <v>-78</v>
      </c>
      <c r="H969" s="562">
        <v>5020388</v>
      </c>
      <c r="I969" s="562">
        <v>5020388</v>
      </c>
      <c r="J969" s="562">
        <f t="shared" si="25"/>
        <v>0</v>
      </c>
    </row>
    <row r="970" spans="1:10" hidden="1" x14ac:dyDescent="0.25">
      <c r="A970" s="362">
        <v>4</v>
      </c>
      <c r="B970" s="364">
        <v>44028</v>
      </c>
      <c r="C970" s="362" t="s">
        <v>146</v>
      </c>
      <c r="D970" s="562">
        <v>42713807</v>
      </c>
      <c r="E970" s="562">
        <v>144120192</v>
      </c>
      <c r="F970" s="562">
        <v>186834400</v>
      </c>
      <c r="G970" s="562">
        <f t="shared" si="24"/>
        <v>-401</v>
      </c>
      <c r="H970" s="562">
        <v>9181546</v>
      </c>
      <c r="I970" s="562"/>
      <c r="J970" s="562">
        <f t="shared" si="25"/>
        <v>9181546</v>
      </c>
    </row>
    <row r="971" spans="1:10" hidden="1" x14ac:dyDescent="0.25">
      <c r="A971" s="362">
        <v>5</v>
      </c>
      <c r="B971" s="364">
        <v>44028</v>
      </c>
      <c r="C971" s="362" t="s">
        <v>86</v>
      </c>
      <c r="D971" s="562">
        <v>74514357</v>
      </c>
      <c r="E971" s="562">
        <v>47902500</v>
      </c>
      <c r="F971" s="562">
        <v>122417200</v>
      </c>
      <c r="G971" s="562">
        <f t="shared" si="24"/>
        <v>-343</v>
      </c>
      <c r="H971" s="562">
        <v>3036346</v>
      </c>
      <c r="I971" s="562"/>
      <c r="J971" s="562">
        <f t="shared" si="25"/>
        <v>3036346</v>
      </c>
    </row>
    <row r="972" spans="1:10" hidden="1" x14ac:dyDescent="0.25">
      <c r="A972" s="362">
        <v>6</v>
      </c>
      <c r="B972" s="364">
        <v>44028</v>
      </c>
      <c r="C972" s="362" t="s">
        <v>89</v>
      </c>
      <c r="D972" s="562">
        <v>124697857</v>
      </c>
      <c r="E972" s="562">
        <v>3878143</v>
      </c>
      <c r="F972" s="562">
        <v>128576000</v>
      </c>
      <c r="G972" s="562">
        <f t="shared" si="24"/>
        <v>0</v>
      </c>
      <c r="H972" s="562">
        <v>10700144</v>
      </c>
      <c r="I972" s="562">
        <v>10700144</v>
      </c>
      <c r="J972" s="562">
        <f t="shared" si="25"/>
        <v>0</v>
      </c>
    </row>
    <row r="973" spans="1:10" hidden="1" x14ac:dyDescent="0.25">
      <c r="A973" s="362">
        <v>7</v>
      </c>
      <c r="B973" s="364">
        <v>44028</v>
      </c>
      <c r="C973" s="362" t="s">
        <v>4751</v>
      </c>
      <c r="D973" s="562">
        <v>190607403</v>
      </c>
      <c r="E973" s="562">
        <v>12594897</v>
      </c>
      <c r="F973" s="562">
        <v>203202300</v>
      </c>
      <c r="G973" s="562">
        <f t="shared" si="24"/>
        <v>0</v>
      </c>
      <c r="H973" s="562">
        <v>14431489</v>
      </c>
      <c r="I973" s="562"/>
      <c r="J973" s="562">
        <f t="shared" si="25"/>
        <v>14431489</v>
      </c>
    </row>
    <row r="974" spans="1:10" hidden="1" x14ac:dyDescent="0.25">
      <c r="A974" s="362">
        <v>8</v>
      </c>
      <c r="B974" s="364">
        <v>44028</v>
      </c>
      <c r="C974" s="362" t="s">
        <v>84</v>
      </c>
      <c r="D974" s="562">
        <v>216077941</v>
      </c>
      <c r="E974" s="562">
        <v>11474322</v>
      </c>
      <c r="F974" s="562">
        <v>227552400</v>
      </c>
      <c r="G974" s="562">
        <f t="shared" si="24"/>
        <v>-137</v>
      </c>
      <c r="H974" s="562">
        <v>3968091</v>
      </c>
      <c r="I974" s="562"/>
      <c r="J974" s="562">
        <f t="shared" si="25"/>
        <v>3968091</v>
      </c>
    </row>
    <row r="975" spans="1:10" hidden="1" x14ac:dyDescent="0.25">
      <c r="A975" s="362">
        <v>9</v>
      </c>
      <c r="B975" s="364">
        <v>44028</v>
      </c>
      <c r="C975" s="362" t="s">
        <v>81</v>
      </c>
      <c r="D975" s="562">
        <v>42622927</v>
      </c>
      <c r="E975" s="562">
        <v>9184968</v>
      </c>
      <c r="F975" s="562">
        <v>51807900</v>
      </c>
      <c r="G975" s="562">
        <f t="shared" si="24"/>
        <v>-5</v>
      </c>
      <c r="H975" s="562">
        <v>11937035</v>
      </c>
      <c r="I975" s="562"/>
      <c r="J975" s="562">
        <f t="shared" si="25"/>
        <v>11937035</v>
      </c>
    </row>
    <row r="976" spans="1:10" hidden="1" x14ac:dyDescent="0.25">
      <c r="A976" s="362">
        <v>10</v>
      </c>
      <c r="B976" s="364">
        <v>44028</v>
      </c>
      <c r="C976" s="362" t="s">
        <v>79</v>
      </c>
      <c r="D976" s="562">
        <v>60369338</v>
      </c>
      <c r="E976" s="562">
        <v>640050</v>
      </c>
      <c r="F976" s="562">
        <v>61009400</v>
      </c>
      <c r="G976" s="562">
        <f t="shared" si="24"/>
        <v>-12</v>
      </c>
      <c r="H976" s="562">
        <v>3119705</v>
      </c>
      <c r="I976" s="562">
        <v>3119705</v>
      </c>
      <c r="J976" s="562">
        <f t="shared" si="25"/>
        <v>0</v>
      </c>
    </row>
    <row r="977" spans="1:10" hidden="1" x14ac:dyDescent="0.25">
      <c r="A977" s="362">
        <v>11</v>
      </c>
      <c r="B977" s="364">
        <v>44028</v>
      </c>
      <c r="C977" s="362" t="s">
        <v>82</v>
      </c>
      <c r="D977" s="562">
        <v>110226236</v>
      </c>
      <c r="E977" s="562"/>
      <c r="F977" s="562">
        <v>110226300</v>
      </c>
      <c r="G977" s="562">
        <f t="shared" si="24"/>
        <v>-64</v>
      </c>
      <c r="H977" s="562">
        <v>3406391</v>
      </c>
      <c r="I977" s="562">
        <v>3406391</v>
      </c>
      <c r="J977" s="562">
        <f t="shared" si="25"/>
        <v>0</v>
      </c>
    </row>
    <row r="978" spans="1:10" hidden="1" x14ac:dyDescent="0.25">
      <c r="A978" s="362">
        <v>12</v>
      </c>
      <c r="B978" s="364">
        <v>44028</v>
      </c>
      <c r="C978" s="362" t="s">
        <v>78</v>
      </c>
      <c r="D978" s="562">
        <v>69555838</v>
      </c>
      <c r="E978" s="562">
        <v>2501962</v>
      </c>
      <c r="F978" s="562">
        <v>72057800</v>
      </c>
      <c r="G978" s="562">
        <f t="shared" si="24"/>
        <v>0</v>
      </c>
      <c r="H978" s="562">
        <v>10769790</v>
      </c>
      <c r="I978" s="562">
        <v>10769790</v>
      </c>
      <c r="J978" s="562">
        <f t="shared" si="25"/>
        <v>0</v>
      </c>
    </row>
    <row r="979" spans="1:10" hidden="1" x14ac:dyDescent="0.25">
      <c r="A979" s="362">
        <v>13</v>
      </c>
      <c r="B979" s="364">
        <v>44028</v>
      </c>
      <c r="C979" s="362" t="s">
        <v>85</v>
      </c>
      <c r="D979" s="562">
        <v>29270200</v>
      </c>
      <c r="E979" s="562"/>
      <c r="F979" s="562">
        <v>29270200</v>
      </c>
      <c r="G979" s="562">
        <f t="shared" si="24"/>
        <v>0</v>
      </c>
      <c r="H979" s="562"/>
      <c r="I979" s="562"/>
      <c r="J979" s="562">
        <f t="shared" si="25"/>
        <v>0</v>
      </c>
    </row>
    <row r="980" spans="1:10" hidden="1" x14ac:dyDescent="0.25">
      <c r="A980" s="362">
        <v>14</v>
      </c>
      <c r="B980" s="364">
        <v>44028</v>
      </c>
      <c r="C980" s="362" t="s">
        <v>166</v>
      </c>
      <c r="D980" s="562">
        <v>45230846</v>
      </c>
      <c r="E980" s="562"/>
      <c r="F980" s="562">
        <v>45230900</v>
      </c>
      <c r="G980" s="562">
        <f t="shared" si="24"/>
        <v>-54</v>
      </c>
      <c r="H980" s="562"/>
      <c r="I980" s="562"/>
      <c r="J980" s="562">
        <f t="shared" si="25"/>
        <v>0</v>
      </c>
    </row>
    <row r="981" spans="1:10" hidden="1" x14ac:dyDescent="0.25">
      <c r="A981" s="362">
        <v>15</v>
      </c>
      <c r="B981" s="364">
        <v>44028</v>
      </c>
      <c r="C981" s="362" t="s">
        <v>3435</v>
      </c>
      <c r="D981" s="562"/>
      <c r="E981" s="562"/>
      <c r="F981" s="562">
        <v>37712000</v>
      </c>
      <c r="G981" s="562">
        <f t="shared" si="24"/>
        <v>-37712000</v>
      </c>
      <c r="H981" s="562"/>
      <c r="I981" s="562"/>
      <c r="J981" s="562">
        <f t="shared" si="25"/>
        <v>0</v>
      </c>
    </row>
    <row r="982" spans="1:10" hidden="1" x14ac:dyDescent="0.25">
      <c r="A982" s="532"/>
      <c r="B982" s="591"/>
      <c r="C982" s="532"/>
      <c r="D982" s="564"/>
      <c r="E982" s="564"/>
      <c r="F982" s="564"/>
      <c r="G982" s="564">
        <f t="shared" si="24"/>
        <v>0</v>
      </c>
      <c r="H982" s="564"/>
      <c r="I982" s="564"/>
      <c r="J982" s="564">
        <f t="shared" si="25"/>
        <v>0</v>
      </c>
    </row>
    <row r="983" spans="1:10" hidden="1" x14ac:dyDescent="0.25">
      <c r="A983" s="362">
        <v>1</v>
      </c>
      <c r="B983" s="364">
        <v>44029</v>
      </c>
      <c r="C983" s="362" t="s">
        <v>80</v>
      </c>
      <c r="D983" s="562">
        <v>162263817</v>
      </c>
      <c r="E983" s="562">
        <v>72664363</v>
      </c>
      <c r="F983" s="562">
        <v>234928400</v>
      </c>
      <c r="G983" s="562">
        <f t="shared" si="24"/>
        <v>-220</v>
      </c>
      <c r="H983" s="562">
        <v>17351897</v>
      </c>
      <c r="I983" s="562"/>
      <c r="J983" s="562">
        <f t="shared" si="25"/>
        <v>17351897</v>
      </c>
    </row>
    <row r="984" spans="1:10" hidden="1" x14ac:dyDescent="0.25">
      <c r="A984" s="362">
        <v>2</v>
      </c>
      <c r="B984" s="364">
        <v>44029</v>
      </c>
      <c r="C984" s="362" t="s">
        <v>83</v>
      </c>
      <c r="D984" s="562">
        <v>287732014</v>
      </c>
      <c r="E984" s="562">
        <v>6099134</v>
      </c>
      <c r="F984" s="562">
        <v>293831300</v>
      </c>
      <c r="G984" s="562">
        <f t="shared" si="24"/>
        <v>-152</v>
      </c>
      <c r="H984" s="562">
        <v>3890266</v>
      </c>
      <c r="I984" s="562"/>
      <c r="J984" s="562">
        <f t="shared" si="25"/>
        <v>3890266</v>
      </c>
    </row>
    <row r="985" spans="1:10" hidden="1" x14ac:dyDescent="0.25">
      <c r="A985" s="362">
        <v>3</v>
      </c>
      <c r="B985" s="364">
        <v>44029</v>
      </c>
      <c r="C985" s="362" t="s">
        <v>88</v>
      </c>
      <c r="D985" s="562">
        <v>223950434</v>
      </c>
      <c r="E985" s="562">
        <v>2848933</v>
      </c>
      <c r="F985" s="562">
        <v>226799400</v>
      </c>
      <c r="G985" s="562">
        <f t="shared" si="24"/>
        <v>-33</v>
      </c>
      <c r="H985" s="562">
        <v>5020388</v>
      </c>
      <c r="I985" s="562"/>
      <c r="J985" s="562">
        <f t="shared" si="25"/>
        <v>5020388</v>
      </c>
    </row>
    <row r="986" spans="1:10" hidden="1" x14ac:dyDescent="0.25">
      <c r="A986" s="362">
        <v>4</v>
      </c>
      <c r="B986" s="364">
        <v>44029</v>
      </c>
      <c r="C986" s="362" t="s">
        <v>146</v>
      </c>
      <c r="D986" s="562">
        <v>149447047</v>
      </c>
      <c r="E986" s="562">
        <v>92520706</v>
      </c>
      <c r="F986" s="562">
        <v>241967900</v>
      </c>
      <c r="G986" s="562">
        <f t="shared" si="24"/>
        <v>-147</v>
      </c>
      <c r="H986" s="562">
        <v>3573314</v>
      </c>
      <c r="I986" s="562">
        <v>3573314</v>
      </c>
      <c r="J986" s="562">
        <f t="shared" si="25"/>
        <v>0</v>
      </c>
    </row>
    <row r="987" spans="1:10" hidden="1" x14ac:dyDescent="0.25">
      <c r="A987" s="362">
        <v>5</v>
      </c>
      <c r="B987" s="364">
        <v>44029</v>
      </c>
      <c r="C987" s="362" t="s">
        <v>86</v>
      </c>
      <c r="D987" s="562">
        <v>60395142</v>
      </c>
      <c r="E987" s="562">
        <v>8155249</v>
      </c>
      <c r="F987" s="562">
        <v>68550800</v>
      </c>
      <c r="G987" s="562">
        <f t="shared" si="24"/>
        <v>-409</v>
      </c>
      <c r="H987" s="562">
        <v>3036346</v>
      </c>
      <c r="I987" s="562">
        <v>3036346</v>
      </c>
      <c r="J987" s="562">
        <f t="shared" si="25"/>
        <v>0</v>
      </c>
    </row>
    <row r="988" spans="1:10" hidden="1" x14ac:dyDescent="0.25">
      <c r="A988" s="362">
        <v>6</v>
      </c>
      <c r="B988" s="364">
        <v>44029</v>
      </c>
      <c r="C988" s="362" t="s">
        <v>89</v>
      </c>
      <c r="D988" s="562">
        <v>182270950</v>
      </c>
      <c r="E988" s="562">
        <v>2258250</v>
      </c>
      <c r="F988" s="562">
        <v>184529200</v>
      </c>
      <c r="G988" s="562">
        <f t="shared" si="24"/>
        <v>0</v>
      </c>
      <c r="H988" s="562">
        <v>9770644</v>
      </c>
      <c r="I988" s="562"/>
      <c r="J988" s="562">
        <f t="shared" si="25"/>
        <v>9770644</v>
      </c>
    </row>
    <row r="989" spans="1:10" hidden="1" x14ac:dyDescent="0.25">
      <c r="A989" s="362">
        <v>7</v>
      </c>
      <c r="B989" s="364">
        <v>44029</v>
      </c>
      <c r="C989" s="362" t="s">
        <v>4751</v>
      </c>
      <c r="D989" s="562">
        <v>126830320</v>
      </c>
      <c r="E989" s="562">
        <v>6238780</v>
      </c>
      <c r="F989" s="562">
        <v>133069100</v>
      </c>
      <c r="G989" s="562">
        <f t="shared" si="24"/>
        <v>0</v>
      </c>
      <c r="H989" s="562">
        <v>14091489</v>
      </c>
      <c r="I989" s="562">
        <v>14431489</v>
      </c>
      <c r="J989" s="562">
        <f t="shared" si="25"/>
        <v>-340000</v>
      </c>
    </row>
    <row r="990" spans="1:10" hidden="1" x14ac:dyDescent="0.25">
      <c r="A990" s="362">
        <v>8</v>
      </c>
      <c r="B990" s="364">
        <v>44029</v>
      </c>
      <c r="C990" s="362" t="s">
        <v>84</v>
      </c>
      <c r="D990" s="562">
        <v>200019493</v>
      </c>
      <c r="E990" s="562">
        <v>15553908</v>
      </c>
      <c r="F990" s="562">
        <v>215573400</v>
      </c>
      <c r="G990" s="562">
        <f t="shared" si="24"/>
        <v>1</v>
      </c>
      <c r="H990" s="562">
        <v>3968091</v>
      </c>
      <c r="I990" s="562">
        <v>3968091</v>
      </c>
      <c r="J990" s="562">
        <f t="shared" si="25"/>
        <v>0</v>
      </c>
    </row>
    <row r="991" spans="1:10" hidden="1" x14ac:dyDescent="0.25">
      <c r="A991" s="362">
        <v>9</v>
      </c>
      <c r="B991" s="364">
        <v>44029</v>
      </c>
      <c r="C991" s="362" t="s">
        <v>81</v>
      </c>
      <c r="D991" s="562">
        <v>65380690</v>
      </c>
      <c r="E991" s="562">
        <v>11277198</v>
      </c>
      <c r="F991" s="562">
        <v>75193600</v>
      </c>
      <c r="G991" s="562">
        <f t="shared" si="24"/>
        <v>1464288</v>
      </c>
      <c r="H991" s="562">
        <v>7212035</v>
      </c>
      <c r="I991" s="562">
        <v>7212035</v>
      </c>
      <c r="J991" s="562">
        <f t="shared" si="25"/>
        <v>0</v>
      </c>
    </row>
    <row r="992" spans="1:10" hidden="1" x14ac:dyDescent="0.25">
      <c r="A992" s="362">
        <v>10</v>
      </c>
      <c r="B992" s="364">
        <v>44029</v>
      </c>
      <c r="C992" s="362" t="s">
        <v>79</v>
      </c>
      <c r="D992" s="562">
        <v>44807858</v>
      </c>
      <c r="E992" s="562">
        <v>877903</v>
      </c>
      <c r="F992" s="562">
        <v>45685800</v>
      </c>
      <c r="G992" s="562">
        <f t="shared" si="24"/>
        <v>-39</v>
      </c>
      <c r="H992" s="562">
        <v>3117705</v>
      </c>
      <c r="I992" s="562"/>
      <c r="J992" s="562">
        <f t="shared" si="25"/>
        <v>3117705</v>
      </c>
    </row>
    <row r="993" spans="1:10" hidden="1" x14ac:dyDescent="0.25">
      <c r="A993" s="362">
        <v>11</v>
      </c>
      <c r="B993" s="364">
        <v>44029</v>
      </c>
      <c r="C993" s="362" t="s">
        <v>82</v>
      </c>
      <c r="D993" s="562">
        <v>49976382</v>
      </c>
      <c r="E993" s="562"/>
      <c r="F993" s="562">
        <v>49976400</v>
      </c>
      <c r="G993" s="562">
        <f t="shared" si="24"/>
        <v>-18</v>
      </c>
      <c r="H993" s="562">
        <v>3406391</v>
      </c>
      <c r="I993" s="562"/>
      <c r="J993" s="562">
        <f t="shared" si="25"/>
        <v>3406391</v>
      </c>
    </row>
    <row r="994" spans="1:10" hidden="1" x14ac:dyDescent="0.25">
      <c r="A994" s="362">
        <v>12</v>
      </c>
      <c r="B994" s="364">
        <v>44029</v>
      </c>
      <c r="C994" s="362" t="s">
        <v>78</v>
      </c>
      <c r="D994" s="562">
        <v>64827191</v>
      </c>
      <c r="E994" s="562">
        <v>9460309</v>
      </c>
      <c r="F994" s="562">
        <v>74287500</v>
      </c>
      <c r="G994" s="562">
        <f t="shared" si="24"/>
        <v>0</v>
      </c>
      <c r="H994" s="562">
        <v>10006790</v>
      </c>
      <c r="I994" s="562"/>
      <c r="J994" s="562">
        <f t="shared" si="25"/>
        <v>10006790</v>
      </c>
    </row>
    <row r="995" spans="1:10" hidden="1" x14ac:dyDescent="0.25">
      <c r="A995" s="362">
        <v>13</v>
      </c>
      <c r="B995" s="364">
        <v>44029</v>
      </c>
      <c r="C995" s="362" t="s">
        <v>85</v>
      </c>
      <c r="D995" s="562">
        <v>23002200</v>
      </c>
      <c r="E995" s="562"/>
      <c r="F995" s="562">
        <v>2302200</v>
      </c>
      <c r="G995" s="562">
        <f t="shared" si="24"/>
        <v>20700000</v>
      </c>
      <c r="H995" s="562"/>
      <c r="I995" s="562"/>
      <c r="J995" s="562">
        <f t="shared" si="25"/>
        <v>0</v>
      </c>
    </row>
    <row r="996" spans="1:10" hidden="1" x14ac:dyDescent="0.25">
      <c r="A996" s="362">
        <v>14</v>
      </c>
      <c r="B996" s="364">
        <v>44029</v>
      </c>
      <c r="C996" s="362" t="s">
        <v>166</v>
      </c>
      <c r="D996" s="562">
        <v>91418200</v>
      </c>
      <c r="E996" s="562"/>
      <c r="F996" s="562">
        <v>91418200</v>
      </c>
      <c r="G996" s="562">
        <f t="shared" si="24"/>
        <v>0</v>
      </c>
      <c r="H996" s="562"/>
      <c r="I996" s="562"/>
      <c r="J996" s="562">
        <f t="shared" si="25"/>
        <v>0</v>
      </c>
    </row>
    <row r="997" spans="1:10" hidden="1" x14ac:dyDescent="0.25">
      <c r="A997" s="362">
        <v>15</v>
      </c>
      <c r="B997" s="364">
        <v>44029</v>
      </c>
      <c r="C997" s="362" t="s">
        <v>3435</v>
      </c>
      <c r="D997" s="562"/>
      <c r="E997" s="562"/>
      <c r="F997" s="562">
        <v>19033300</v>
      </c>
      <c r="G997" s="562">
        <f t="shared" si="24"/>
        <v>-19033300</v>
      </c>
      <c r="H997" s="562"/>
      <c r="I997" s="562"/>
      <c r="J997" s="562">
        <f t="shared" si="25"/>
        <v>0</v>
      </c>
    </row>
    <row r="998" spans="1:10" hidden="1" x14ac:dyDescent="0.25">
      <c r="A998" s="532"/>
      <c r="B998" s="591"/>
      <c r="C998" s="532"/>
      <c r="D998" s="564"/>
      <c r="E998" s="564"/>
      <c r="F998" s="564"/>
      <c r="G998" s="564">
        <f t="shared" si="24"/>
        <v>0</v>
      </c>
      <c r="H998" s="564"/>
      <c r="I998" s="564"/>
      <c r="J998" s="564"/>
    </row>
    <row r="999" spans="1:10" hidden="1" x14ac:dyDescent="0.25">
      <c r="A999" s="362">
        <v>1</v>
      </c>
      <c r="B999" s="364">
        <v>44030</v>
      </c>
      <c r="C999" s="362" t="s">
        <v>80</v>
      </c>
      <c r="D999" s="562">
        <v>196857614</v>
      </c>
      <c r="E999" s="562">
        <v>2385598</v>
      </c>
      <c r="F999" s="562">
        <v>199242400</v>
      </c>
      <c r="G999" s="562">
        <f t="shared" si="24"/>
        <v>812</v>
      </c>
      <c r="H999" s="562">
        <v>17351897</v>
      </c>
      <c r="I999" s="562"/>
      <c r="J999" s="562"/>
    </row>
    <row r="1000" spans="1:10" hidden="1" x14ac:dyDescent="0.25">
      <c r="A1000" s="362">
        <v>2</v>
      </c>
      <c r="B1000" s="364">
        <v>44030</v>
      </c>
      <c r="C1000" s="362" t="s">
        <v>83</v>
      </c>
      <c r="D1000" s="562">
        <v>255925957</v>
      </c>
      <c r="E1000" s="562">
        <v>10502750</v>
      </c>
      <c r="F1000" s="562">
        <v>266428700</v>
      </c>
      <c r="G1000" s="562">
        <f t="shared" si="24"/>
        <v>7</v>
      </c>
      <c r="H1000" s="562">
        <v>2959516</v>
      </c>
      <c r="I1000" s="562"/>
      <c r="J1000" s="562"/>
    </row>
    <row r="1001" spans="1:10" hidden="1" x14ac:dyDescent="0.25">
      <c r="A1001" s="362">
        <v>3</v>
      </c>
      <c r="B1001" s="364">
        <v>44030</v>
      </c>
      <c r="C1001" s="362" t="s">
        <v>88</v>
      </c>
      <c r="D1001" s="562">
        <v>114309761</v>
      </c>
      <c r="E1001" s="562">
        <v>224575919</v>
      </c>
      <c r="F1001" s="562">
        <v>338885700</v>
      </c>
      <c r="G1001" s="562">
        <f t="shared" si="24"/>
        <v>-20</v>
      </c>
      <c r="H1001" s="562">
        <v>5020388</v>
      </c>
      <c r="I1001" s="562"/>
      <c r="J1001" s="562"/>
    </row>
    <row r="1002" spans="1:10" hidden="1" x14ac:dyDescent="0.25">
      <c r="A1002" s="362">
        <v>4</v>
      </c>
      <c r="B1002" s="364">
        <v>44030</v>
      </c>
      <c r="C1002" s="362" t="s">
        <v>146</v>
      </c>
      <c r="D1002" s="562">
        <v>63853218</v>
      </c>
      <c r="E1002" s="562">
        <v>37094783</v>
      </c>
      <c r="F1002" s="562">
        <v>100948400</v>
      </c>
      <c r="G1002" s="562">
        <f t="shared" si="24"/>
        <v>-399</v>
      </c>
      <c r="H1002" s="562">
        <v>577614</v>
      </c>
      <c r="I1002" s="562"/>
      <c r="J1002" s="562"/>
    </row>
    <row r="1003" spans="1:10" hidden="1" x14ac:dyDescent="0.25">
      <c r="A1003" s="362">
        <v>5</v>
      </c>
      <c r="B1003" s="364">
        <v>44030</v>
      </c>
      <c r="C1003" s="362" t="s">
        <v>86</v>
      </c>
      <c r="D1003" s="562">
        <v>40177418</v>
      </c>
      <c r="E1003" s="562">
        <v>38634247</v>
      </c>
      <c r="F1003" s="562">
        <v>78811700</v>
      </c>
      <c r="G1003" s="562">
        <f t="shared" si="24"/>
        <v>-35</v>
      </c>
      <c r="H1003" s="562">
        <v>2396346</v>
      </c>
      <c r="I1003" s="562"/>
      <c r="J1003" s="562"/>
    </row>
    <row r="1004" spans="1:10" hidden="1" x14ac:dyDescent="0.25">
      <c r="A1004" s="362">
        <v>6</v>
      </c>
      <c r="B1004" s="364">
        <v>44030</v>
      </c>
      <c r="C1004" s="362" t="s">
        <v>89</v>
      </c>
      <c r="D1004" s="562">
        <v>117205100</v>
      </c>
      <c r="E1004" s="562">
        <v>1405500</v>
      </c>
      <c r="F1004" s="562">
        <v>118610600</v>
      </c>
      <c r="G1004" s="562">
        <f t="shared" si="24"/>
        <v>0</v>
      </c>
      <c r="H1004" s="562">
        <v>9770644</v>
      </c>
      <c r="I1004" s="562"/>
      <c r="J1004" s="562"/>
    </row>
    <row r="1005" spans="1:10" hidden="1" x14ac:dyDescent="0.25">
      <c r="A1005" s="362">
        <v>7</v>
      </c>
      <c r="B1005" s="364">
        <v>44030</v>
      </c>
      <c r="C1005" s="362" t="s">
        <v>4751</v>
      </c>
      <c r="D1005" s="562">
        <v>219583050</v>
      </c>
      <c r="E1005" s="562">
        <v>7893250</v>
      </c>
      <c r="F1005" s="562">
        <v>227476300</v>
      </c>
      <c r="G1005" s="562">
        <f t="shared" si="24"/>
        <v>0</v>
      </c>
      <c r="H1005" s="562">
        <v>13913489</v>
      </c>
      <c r="I1005" s="562"/>
      <c r="J1005" s="562"/>
    </row>
    <row r="1006" spans="1:10" hidden="1" x14ac:dyDescent="0.25">
      <c r="A1006" s="362">
        <v>8</v>
      </c>
      <c r="B1006" s="364">
        <v>44030</v>
      </c>
      <c r="C1006" s="362" t="s">
        <v>84</v>
      </c>
      <c r="D1006" s="562">
        <v>153311434</v>
      </c>
      <c r="E1006" s="562">
        <v>9350959</v>
      </c>
      <c r="F1006" s="562">
        <v>162662700</v>
      </c>
      <c r="G1006" s="562">
        <f t="shared" si="24"/>
        <v>-307</v>
      </c>
      <c r="H1006" s="562">
        <v>3968091</v>
      </c>
      <c r="I1006" s="562"/>
      <c r="J1006" s="562"/>
    </row>
    <row r="1007" spans="1:10" hidden="1" x14ac:dyDescent="0.25">
      <c r="A1007" s="362">
        <v>9</v>
      </c>
      <c r="B1007" s="364">
        <v>44030</v>
      </c>
      <c r="C1007" s="362" t="s">
        <v>81</v>
      </c>
      <c r="D1007" s="562">
        <v>224985993</v>
      </c>
      <c r="E1007" s="562">
        <v>13545148</v>
      </c>
      <c r="F1007" s="562">
        <v>238531200</v>
      </c>
      <c r="G1007" s="562">
        <f t="shared" si="24"/>
        <v>-59</v>
      </c>
      <c r="H1007" s="562">
        <v>5004035</v>
      </c>
      <c r="I1007" s="562"/>
      <c r="J1007" s="562"/>
    </row>
    <row r="1008" spans="1:10" hidden="1" x14ac:dyDescent="0.25">
      <c r="A1008" s="362">
        <v>10</v>
      </c>
      <c r="B1008" s="364">
        <v>44030</v>
      </c>
      <c r="C1008" s="362" t="s">
        <v>79</v>
      </c>
      <c r="D1008" s="562">
        <v>32003285</v>
      </c>
      <c r="E1008" s="562">
        <v>1084912</v>
      </c>
      <c r="F1008" s="562">
        <v>33088200</v>
      </c>
      <c r="G1008" s="562">
        <f t="shared" si="24"/>
        <v>-3</v>
      </c>
      <c r="H1008" s="562">
        <v>2921205</v>
      </c>
      <c r="I1008" s="562"/>
      <c r="J1008" s="562"/>
    </row>
    <row r="1009" spans="1:10" hidden="1" x14ac:dyDescent="0.25">
      <c r="A1009" s="362">
        <v>11</v>
      </c>
      <c r="B1009" s="364">
        <v>44030</v>
      </c>
      <c r="C1009" s="362" t="s">
        <v>82</v>
      </c>
      <c r="D1009" s="562">
        <v>198394639</v>
      </c>
      <c r="E1009" s="562">
        <v>2914200</v>
      </c>
      <c r="F1009" s="562">
        <v>201308900</v>
      </c>
      <c r="G1009" s="562">
        <f t="shared" si="24"/>
        <v>-61</v>
      </c>
      <c r="H1009" s="562">
        <v>2539391</v>
      </c>
      <c r="I1009" s="562"/>
      <c r="J1009" s="562"/>
    </row>
    <row r="1010" spans="1:10" hidden="1" x14ac:dyDescent="0.25">
      <c r="A1010" s="362">
        <v>12</v>
      </c>
      <c r="B1010" s="364">
        <v>44030</v>
      </c>
      <c r="C1010" s="362" t="s">
        <v>78</v>
      </c>
      <c r="D1010" s="562">
        <v>93428041</v>
      </c>
      <c r="E1010" s="562">
        <v>15049059</v>
      </c>
      <c r="F1010" s="562">
        <v>108477100</v>
      </c>
      <c r="G1010" s="562">
        <f t="shared" si="24"/>
        <v>0</v>
      </c>
      <c r="H1010" s="562">
        <v>9632590</v>
      </c>
      <c r="I1010" s="562"/>
      <c r="J1010" s="562"/>
    </row>
    <row r="1011" spans="1:10" hidden="1" x14ac:dyDescent="0.25">
      <c r="A1011" s="362">
        <v>13</v>
      </c>
      <c r="B1011" s="364">
        <v>44030</v>
      </c>
      <c r="C1011" s="362" t="s">
        <v>85</v>
      </c>
      <c r="D1011" s="562">
        <v>16345100</v>
      </c>
      <c r="E1011" s="562"/>
      <c r="F1011" s="562">
        <v>16345100</v>
      </c>
      <c r="G1011" s="562">
        <f t="shared" si="24"/>
        <v>0</v>
      </c>
      <c r="H1011" s="562"/>
      <c r="I1011" s="562"/>
      <c r="J1011" s="562"/>
    </row>
    <row r="1012" spans="1:10" hidden="1" x14ac:dyDescent="0.25">
      <c r="A1012" s="362">
        <v>14</v>
      </c>
      <c r="B1012" s="364">
        <v>44030</v>
      </c>
      <c r="C1012" s="362" t="s">
        <v>166</v>
      </c>
      <c r="D1012" s="562"/>
      <c r="E1012" s="562"/>
      <c r="F1012" s="562"/>
      <c r="G1012" s="562">
        <f t="shared" si="24"/>
        <v>0</v>
      </c>
      <c r="H1012" s="562"/>
      <c r="I1012" s="562"/>
      <c r="J1012" s="562"/>
    </row>
    <row r="1013" spans="1:10" hidden="1" x14ac:dyDescent="0.25">
      <c r="A1013" s="362">
        <v>15</v>
      </c>
      <c r="B1013" s="364">
        <v>44030</v>
      </c>
      <c r="C1013" s="362" t="s">
        <v>3435</v>
      </c>
      <c r="D1013" s="562"/>
      <c r="E1013" s="562"/>
      <c r="F1013" s="562"/>
      <c r="G1013" s="562">
        <f t="shared" si="24"/>
        <v>0</v>
      </c>
      <c r="H1013" s="562"/>
      <c r="I1013" s="562"/>
      <c r="J1013" s="562"/>
    </row>
    <row r="1014" spans="1:10" hidden="1" x14ac:dyDescent="0.25">
      <c r="A1014" s="532"/>
      <c r="B1014" s="532"/>
      <c r="C1014" s="532"/>
      <c r="D1014" s="564"/>
      <c r="E1014" s="564"/>
      <c r="F1014" s="564"/>
      <c r="G1014" s="562">
        <f t="shared" si="24"/>
        <v>0</v>
      </c>
      <c r="H1014" s="564"/>
      <c r="I1014" s="564"/>
      <c r="J1014" s="564"/>
    </row>
    <row r="1015" spans="1:10" hidden="1" x14ac:dyDescent="0.25">
      <c r="A1015" s="362">
        <v>1</v>
      </c>
      <c r="B1015" s="364">
        <v>44032</v>
      </c>
      <c r="C1015" s="362" t="s">
        <v>80</v>
      </c>
      <c r="D1015" s="562">
        <v>158707152</v>
      </c>
      <c r="E1015" s="562">
        <v>18815734</v>
      </c>
      <c r="F1015" s="562">
        <v>177522900</v>
      </c>
      <c r="G1015" s="562">
        <f t="shared" si="24"/>
        <v>-14</v>
      </c>
      <c r="H1015" s="562">
        <v>17351897</v>
      </c>
      <c r="I1015" s="562"/>
      <c r="J1015" s="562"/>
    </row>
    <row r="1016" spans="1:10" hidden="1" x14ac:dyDescent="0.25">
      <c r="A1016" s="362">
        <v>2</v>
      </c>
      <c r="B1016" s="364">
        <v>44032</v>
      </c>
      <c r="C1016" s="362" t="s">
        <v>83</v>
      </c>
      <c r="D1016" s="562">
        <v>300042744</v>
      </c>
      <c r="E1016" s="562">
        <v>26562398</v>
      </c>
      <c r="F1016" s="562">
        <v>326605200</v>
      </c>
      <c r="G1016" s="562">
        <f t="shared" si="24"/>
        <v>-58</v>
      </c>
      <c r="H1016" s="562">
        <v>7577859</v>
      </c>
      <c r="I1016" s="562"/>
      <c r="J1016" s="562"/>
    </row>
    <row r="1017" spans="1:10" hidden="1" x14ac:dyDescent="0.25">
      <c r="A1017" s="362">
        <v>3</v>
      </c>
      <c r="B1017" s="364">
        <v>44032</v>
      </c>
      <c r="C1017" s="362" t="s">
        <v>88</v>
      </c>
      <c r="D1017" s="562">
        <v>316470466</v>
      </c>
      <c r="E1017" s="562">
        <v>4794558</v>
      </c>
      <c r="F1017" s="562">
        <v>321265100</v>
      </c>
      <c r="G1017" s="562">
        <f t="shared" si="24"/>
        <v>-76</v>
      </c>
      <c r="H1017" s="562">
        <v>14501751</v>
      </c>
      <c r="I1017" s="562"/>
      <c r="J1017" s="562"/>
    </row>
    <row r="1018" spans="1:10" hidden="1" x14ac:dyDescent="0.25">
      <c r="A1018" s="362">
        <v>4</v>
      </c>
      <c r="B1018" s="364">
        <v>44032</v>
      </c>
      <c r="C1018" s="362" t="s">
        <v>146</v>
      </c>
      <c r="D1018" s="562">
        <v>111177257</v>
      </c>
      <c r="E1018" s="562">
        <v>10411815</v>
      </c>
      <c r="F1018" s="562">
        <v>121589100</v>
      </c>
      <c r="G1018" s="562">
        <f t="shared" si="24"/>
        <v>-28</v>
      </c>
      <c r="H1018" s="562">
        <v>13984820</v>
      </c>
      <c r="I1018" s="562"/>
      <c r="J1018" s="562"/>
    </row>
    <row r="1019" spans="1:10" hidden="1" x14ac:dyDescent="0.25">
      <c r="A1019" s="362">
        <v>5</v>
      </c>
      <c r="B1019" s="364">
        <v>44032</v>
      </c>
      <c r="C1019" s="362" t="s">
        <v>86</v>
      </c>
      <c r="D1019" s="562">
        <v>46944796</v>
      </c>
      <c r="E1019" s="562">
        <v>149027660</v>
      </c>
      <c r="F1019" s="562">
        <v>195972400</v>
      </c>
      <c r="G1019" s="562">
        <f t="shared" si="24"/>
        <v>56</v>
      </c>
      <c r="H1019" s="562">
        <v>7242721</v>
      </c>
      <c r="I1019" s="562"/>
      <c r="J1019" s="562"/>
    </row>
    <row r="1020" spans="1:10" hidden="1" x14ac:dyDescent="0.25">
      <c r="A1020" s="362">
        <v>6</v>
      </c>
      <c r="B1020" s="364">
        <v>44032</v>
      </c>
      <c r="C1020" s="362" t="s">
        <v>89</v>
      </c>
      <c r="D1020" s="562">
        <v>128331229</v>
      </c>
      <c r="E1020" s="562">
        <v>33448771</v>
      </c>
      <c r="F1020" s="562">
        <v>162780000</v>
      </c>
      <c r="G1020" s="562">
        <f t="shared" si="24"/>
        <v>-1000000</v>
      </c>
      <c r="H1020" s="562">
        <v>8416848</v>
      </c>
      <c r="I1020" s="562"/>
      <c r="J1020" s="562"/>
    </row>
    <row r="1021" spans="1:10" hidden="1" x14ac:dyDescent="0.25">
      <c r="A1021" s="362">
        <v>7</v>
      </c>
      <c r="B1021" s="364">
        <v>44032</v>
      </c>
      <c r="C1021" s="362" t="s">
        <v>4751</v>
      </c>
      <c r="D1021" s="562">
        <v>154098450</v>
      </c>
      <c r="E1021" s="562">
        <v>4749050</v>
      </c>
      <c r="F1021" s="562">
        <v>158847500</v>
      </c>
      <c r="G1021" s="562">
        <f t="shared" si="24"/>
        <v>0</v>
      </c>
      <c r="H1021" s="562">
        <v>13690589</v>
      </c>
      <c r="I1021" s="562"/>
      <c r="J1021" s="562"/>
    </row>
    <row r="1022" spans="1:10" hidden="1" x14ac:dyDescent="0.25">
      <c r="A1022" s="362">
        <v>8</v>
      </c>
      <c r="B1022" s="364">
        <v>44032</v>
      </c>
      <c r="C1022" s="362" t="s">
        <v>84</v>
      </c>
      <c r="D1022" s="562">
        <v>346182243</v>
      </c>
      <c r="E1022" s="562">
        <v>17567585</v>
      </c>
      <c r="F1022" s="562">
        <v>363749800</v>
      </c>
      <c r="G1022" s="562">
        <f t="shared" si="24"/>
        <v>28</v>
      </c>
      <c r="H1022" s="562">
        <v>3968091</v>
      </c>
      <c r="I1022" s="562"/>
      <c r="J1022" s="562"/>
    </row>
    <row r="1023" spans="1:10" hidden="1" x14ac:dyDescent="0.25">
      <c r="A1023" s="362">
        <v>9</v>
      </c>
      <c r="B1023" s="364">
        <v>44032</v>
      </c>
      <c r="C1023" s="362" t="s">
        <v>81</v>
      </c>
      <c r="D1023" s="562">
        <v>41050418</v>
      </c>
      <c r="E1023" s="562">
        <v>31098980</v>
      </c>
      <c r="F1023" s="562">
        <v>72149400</v>
      </c>
      <c r="G1023" s="562">
        <f t="shared" si="24"/>
        <v>-2</v>
      </c>
      <c r="H1023" s="562">
        <v>4784535</v>
      </c>
      <c r="I1023" s="562"/>
      <c r="J1023" s="562"/>
    </row>
    <row r="1024" spans="1:10" hidden="1" x14ac:dyDescent="0.25">
      <c r="A1024" s="362">
        <v>10</v>
      </c>
      <c r="B1024" s="364">
        <v>44032</v>
      </c>
      <c r="C1024" s="362" t="s">
        <v>79</v>
      </c>
      <c r="D1024" s="562">
        <v>91205260</v>
      </c>
      <c r="E1024" s="562">
        <v>394984</v>
      </c>
      <c r="F1024" s="562">
        <v>92537800</v>
      </c>
      <c r="G1024" s="562">
        <f t="shared" si="24"/>
        <v>-937556</v>
      </c>
      <c r="H1024" s="562">
        <v>2403705</v>
      </c>
      <c r="I1024" s="562"/>
      <c r="J1024" s="562"/>
    </row>
    <row r="1025" spans="1:10" hidden="1" x14ac:dyDescent="0.25">
      <c r="A1025" s="362">
        <v>11</v>
      </c>
      <c r="B1025" s="364">
        <v>44032</v>
      </c>
      <c r="C1025" s="362" t="s">
        <v>82</v>
      </c>
      <c r="D1025" s="562">
        <v>99440296</v>
      </c>
      <c r="E1025" s="562">
        <v>4860300</v>
      </c>
      <c r="F1025" s="562">
        <v>104300600</v>
      </c>
      <c r="G1025" s="562">
        <f t="shared" si="24"/>
        <v>-4</v>
      </c>
      <c r="H1025" s="562">
        <v>2347591</v>
      </c>
      <c r="I1025" s="562"/>
      <c r="J1025" s="562"/>
    </row>
    <row r="1026" spans="1:10" hidden="1" x14ac:dyDescent="0.25">
      <c r="A1026" s="362">
        <v>12</v>
      </c>
      <c r="B1026" s="364">
        <v>44032</v>
      </c>
      <c r="C1026" s="362" t="s">
        <v>78</v>
      </c>
      <c r="D1026" s="562">
        <v>84728149</v>
      </c>
      <c r="E1026" s="562">
        <v>2831551</v>
      </c>
      <c r="F1026" s="562">
        <v>87599700</v>
      </c>
      <c r="G1026" s="562">
        <f t="shared" si="24"/>
        <v>-40000</v>
      </c>
      <c r="H1026" s="562">
        <v>9632590</v>
      </c>
      <c r="I1026" s="562"/>
      <c r="J1026" s="562"/>
    </row>
    <row r="1027" spans="1:10" hidden="1" x14ac:dyDescent="0.25">
      <c r="A1027" s="362">
        <v>13</v>
      </c>
      <c r="B1027" s="364">
        <v>44032</v>
      </c>
      <c r="C1027" s="362" t="s">
        <v>85</v>
      </c>
      <c r="D1027" s="562">
        <v>48618900</v>
      </c>
      <c r="E1027" s="562"/>
      <c r="F1027" s="562">
        <v>48618900</v>
      </c>
      <c r="G1027" s="562">
        <f t="shared" si="24"/>
        <v>0</v>
      </c>
      <c r="H1027" s="562"/>
      <c r="I1027" s="562"/>
      <c r="J1027" s="562"/>
    </row>
    <row r="1028" spans="1:10" hidden="1" x14ac:dyDescent="0.25">
      <c r="A1028" s="362">
        <v>14</v>
      </c>
      <c r="B1028" s="364">
        <v>44032</v>
      </c>
      <c r="C1028" s="362" t="s">
        <v>166</v>
      </c>
      <c r="D1028" s="562">
        <v>67135868</v>
      </c>
      <c r="E1028" s="562"/>
      <c r="F1028" s="562">
        <v>67135800</v>
      </c>
      <c r="G1028" s="562">
        <f t="shared" si="24"/>
        <v>68</v>
      </c>
      <c r="H1028" s="562"/>
      <c r="I1028" s="562"/>
      <c r="J1028" s="562"/>
    </row>
    <row r="1029" spans="1:10" hidden="1" x14ac:dyDescent="0.25">
      <c r="A1029" s="362">
        <v>15</v>
      </c>
      <c r="B1029" s="364">
        <v>44032</v>
      </c>
      <c r="C1029" s="362" t="s">
        <v>3435</v>
      </c>
      <c r="D1029" s="362"/>
      <c r="E1029" s="362"/>
      <c r="F1029" s="562">
        <v>34318500</v>
      </c>
      <c r="G1029" s="562">
        <f t="shared" si="24"/>
        <v>-34318500</v>
      </c>
      <c r="H1029" s="362"/>
      <c r="I1029" s="362"/>
      <c r="J1029" s="362"/>
    </row>
    <row r="1030" spans="1:10" hidden="1" x14ac:dyDescent="0.25">
      <c r="A1030" s="532"/>
      <c r="B1030" s="591"/>
      <c r="C1030" s="532"/>
      <c r="D1030" s="532"/>
      <c r="E1030" s="532"/>
      <c r="F1030" s="532"/>
      <c r="G1030" s="562">
        <f t="shared" si="24"/>
        <v>0</v>
      </c>
      <c r="H1030" s="532"/>
      <c r="I1030" s="532"/>
      <c r="J1030" s="532"/>
    </row>
    <row r="1031" spans="1:10" hidden="1" x14ac:dyDescent="0.25">
      <c r="A1031" s="362">
        <v>1</v>
      </c>
      <c r="B1031" s="364">
        <v>44033</v>
      </c>
      <c r="C1031" s="362" t="s">
        <v>80</v>
      </c>
      <c r="D1031" s="562">
        <v>242233839</v>
      </c>
      <c r="E1031" s="562">
        <v>8180000</v>
      </c>
      <c r="F1031" s="562">
        <v>250414000</v>
      </c>
      <c r="G1031" s="562">
        <f t="shared" ref="G1031:G1094" si="26">D1031+E1031-F1031</f>
        <v>-161</v>
      </c>
      <c r="H1031" s="562">
        <v>16934132</v>
      </c>
      <c r="I1031" s="562"/>
      <c r="J1031" s="562"/>
    </row>
    <row r="1032" spans="1:10" hidden="1" x14ac:dyDescent="0.25">
      <c r="A1032" s="362">
        <v>2</v>
      </c>
      <c r="B1032" s="364">
        <v>44033</v>
      </c>
      <c r="C1032" s="362" t="s">
        <v>83</v>
      </c>
      <c r="D1032" s="562">
        <v>437008672</v>
      </c>
      <c r="E1032" s="562">
        <v>20880392</v>
      </c>
      <c r="F1032" s="562">
        <v>457889100</v>
      </c>
      <c r="G1032" s="562">
        <f t="shared" si="26"/>
        <v>-36</v>
      </c>
      <c r="H1032" s="562">
        <v>4453434</v>
      </c>
      <c r="I1032" s="562"/>
      <c r="J1032" s="562"/>
    </row>
    <row r="1033" spans="1:10" hidden="1" x14ac:dyDescent="0.25">
      <c r="A1033" s="362">
        <v>3</v>
      </c>
      <c r="B1033" s="364">
        <v>44033</v>
      </c>
      <c r="C1033" s="362" t="s">
        <v>88</v>
      </c>
      <c r="D1033" s="562">
        <v>157046076</v>
      </c>
      <c r="E1033" s="562">
        <v>4029022</v>
      </c>
      <c r="F1033" s="562">
        <v>161075100</v>
      </c>
      <c r="G1033" s="562">
        <f t="shared" si="26"/>
        <v>-2</v>
      </c>
      <c r="H1033" s="562">
        <v>10877701</v>
      </c>
      <c r="I1033" s="562"/>
      <c r="J1033" s="562"/>
    </row>
    <row r="1034" spans="1:10" hidden="1" x14ac:dyDescent="0.25">
      <c r="A1034" s="362">
        <v>4</v>
      </c>
      <c r="B1034" s="364">
        <v>44033</v>
      </c>
      <c r="C1034" s="362" t="s">
        <v>146</v>
      </c>
      <c r="D1034" s="562">
        <v>125160971</v>
      </c>
      <c r="E1034" s="562">
        <v>87755981</v>
      </c>
      <c r="F1034" s="562">
        <v>212917000</v>
      </c>
      <c r="G1034" s="562">
        <f t="shared" si="26"/>
        <v>-48</v>
      </c>
      <c r="H1034" s="562">
        <v>13212720</v>
      </c>
      <c r="I1034" s="562"/>
      <c r="J1034" s="562"/>
    </row>
    <row r="1035" spans="1:10" hidden="1" x14ac:dyDescent="0.25">
      <c r="A1035" s="362">
        <v>5</v>
      </c>
      <c r="B1035" s="364">
        <v>44033</v>
      </c>
      <c r="C1035" s="362" t="s">
        <v>86</v>
      </c>
      <c r="D1035" s="562">
        <v>46588904</v>
      </c>
      <c r="E1035" s="562">
        <v>141139024</v>
      </c>
      <c r="F1035" s="562">
        <v>187728000</v>
      </c>
      <c r="G1035" s="562">
        <f t="shared" si="26"/>
        <v>-72</v>
      </c>
      <c r="H1035" s="562">
        <v>4539305</v>
      </c>
      <c r="I1035" s="562"/>
      <c r="J1035" s="562"/>
    </row>
    <row r="1036" spans="1:10" hidden="1" x14ac:dyDescent="0.25">
      <c r="A1036" s="362">
        <v>6</v>
      </c>
      <c r="B1036" s="364">
        <v>44033</v>
      </c>
      <c r="C1036" s="362" t="s">
        <v>89</v>
      </c>
      <c r="D1036" s="562">
        <v>146464774</v>
      </c>
      <c r="E1036" s="562">
        <v>2475226</v>
      </c>
      <c r="F1036" s="562">
        <v>148940000</v>
      </c>
      <c r="G1036" s="562">
        <f t="shared" si="26"/>
        <v>0</v>
      </c>
      <c r="H1036" s="562">
        <v>12142100</v>
      </c>
      <c r="I1036" s="562"/>
      <c r="J1036" s="562"/>
    </row>
    <row r="1037" spans="1:10" hidden="1" x14ac:dyDescent="0.25">
      <c r="A1037" s="362">
        <v>7</v>
      </c>
      <c r="B1037" s="364">
        <v>44033</v>
      </c>
      <c r="C1037" s="362" t="s">
        <v>4751</v>
      </c>
      <c r="D1037" s="562">
        <v>176424395</v>
      </c>
      <c r="E1037" s="562">
        <v>16048005</v>
      </c>
      <c r="F1037" s="562">
        <v>192472400</v>
      </c>
      <c r="G1037" s="562">
        <f t="shared" si="26"/>
        <v>0</v>
      </c>
      <c r="H1037" s="562">
        <v>610608</v>
      </c>
      <c r="I1037" s="562"/>
      <c r="J1037" s="562"/>
    </row>
    <row r="1038" spans="1:10" hidden="1" x14ac:dyDescent="0.25">
      <c r="A1038" s="362">
        <v>8</v>
      </c>
      <c r="B1038" s="364">
        <v>44033</v>
      </c>
      <c r="C1038" s="362" t="s">
        <v>84</v>
      </c>
      <c r="D1038" s="562">
        <v>193599190</v>
      </c>
      <c r="E1038" s="562">
        <v>18221092</v>
      </c>
      <c r="F1038" s="562">
        <v>211820300</v>
      </c>
      <c r="G1038" s="562">
        <f t="shared" si="26"/>
        <v>-18</v>
      </c>
      <c r="H1038" s="562">
        <v>3968091</v>
      </c>
      <c r="I1038" s="562"/>
      <c r="J1038" s="562"/>
    </row>
    <row r="1039" spans="1:10" hidden="1" x14ac:dyDescent="0.25">
      <c r="A1039" s="362">
        <v>9</v>
      </c>
      <c r="B1039" s="364">
        <v>44033</v>
      </c>
      <c r="C1039" s="362" t="s">
        <v>81</v>
      </c>
      <c r="D1039" s="562">
        <v>61659528</v>
      </c>
      <c r="E1039" s="562">
        <v>26588828</v>
      </c>
      <c r="F1039" s="562">
        <v>88248400</v>
      </c>
      <c r="G1039" s="562">
        <f t="shared" si="26"/>
        <v>-44</v>
      </c>
      <c r="H1039" s="562">
        <v>14065128</v>
      </c>
      <c r="I1039" s="562"/>
      <c r="J1039" s="562"/>
    </row>
    <row r="1040" spans="1:10" hidden="1" x14ac:dyDescent="0.25">
      <c r="A1040" s="362">
        <v>10</v>
      </c>
      <c r="B1040" s="364">
        <v>44033</v>
      </c>
      <c r="C1040" s="362" t="s">
        <v>79</v>
      </c>
      <c r="D1040" s="562">
        <v>48304888</v>
      </c>
      <c r="E1040" s="562"/>
      <c r="F1040" s="562">
        <v>48579900</v>
      </c>
      <c r="G1040" s="562">
        <f t="shared" si="26"/>
        <v>-275012</v>
      </c>
      <c r="H1040" s="562">
        <v>3359166</v>
      </c>
      <c r="I1040" s="562"/>
      <c r="J1040" s="562"/>
    </row>
    <row r="1041" spans="1:10" hidden="1" x14ac:dyDescent="0.25">
      <c r="A1041" s="362">
        <v>11</v>
      </c>
      <c r="B1041" s="364">
        <v>44033</v>
      </c>
      <c r="C1041" s="362" t="s">
        <v>82</v>
      </c>
      <c r="D1041" s="562">
        <v>33046587</v>
      </c>
      <c r="E1041" s="562"/>
      <c r="F1041" s="562">
        <v>33046600</v>
      </c>
      <c r="G1041" s="562">
        <f t="shared" si="26"/>
        <v>-13</v>
      </c>
      <c r="H1041" s="562">
        <v>7425802</v>
      </c>
      <c r="I1041" s="562"/>
      <c r="J1041" s="562"/>
    </row>
    <row r="1042" spans="1:10" hidden="1" x14ac:dyDescent="0.25">
      <c r="A1042" s="362">
        <v>12</v>
      </c>
      <c r="B1042" s="364">
        <v>44033</v>
      </c>
      <c r="C1042" s="362" t="s">
        <v>78</v>
      </c>
      <c r="D1042" s="562">
        <v>119769176</v>
      </c>
      <c r="E1042" s="562">
        <v>5010824</v>
      </c>
      <c r="F1042" s="562">
        <v>124780000</v>
      </c>
      <c r="G1042" s="562">
        <f t="shared" si="26"/>
        <v>0</v>
      </c>
      <c r="H1042" s="562">
        <v>7963617</v>
      </c>
      <c r="I1042" s="562"/>
      <c r="J1042" s="562"/>
    </row>
    <row r="1043" spans="1:10" hidden="1" x14ac:dyDescent="0.25">
      <c r="A1043" s="362">
        <v>13</v>
      </c>
      <c r="B1043" s="364">
        <v>44033</v>
      </c>
      <c r="C1043" s="362" t="s">
        <v>85</v>
      </c>
      <c r="D1043" s="562">
        <v>19009100</v>
      </c>
      <c r="E1043" s="562"/>
      <c r="F1043" s="562">
        <v>19009100</v>
      </c>
      <c r="G1043" s="562">
        <f t="shared" si="26"/>
        <v>0</v>
      </c>
      <c r="H1043" s="562"/>
      <c r="I1043" s="562"/>
      <c r="J1043" s="562"/>
    </row>
    <row r="1044" spans="1:10" hidden="1" x14ac:dyDescent="0.25">
      <c r="A1044" s="362">
        <v>14</v>
      </c>
      <c r="B1044" s="364">
        <v>44033</v>
      </c>
      <c r="C1044" s="362" t="s">
        <v>166</v>
      </c>
      <c r="D1044" s="562">
        <v>68495567</v>
      </c>
      <c r="E1044" s="562"/>
      <c r="F1044" s="562">
        <v>68495600</v>
      </c>
      <c r="G1044" s="562">
        <f t="shared" si="26"/>
        <v>-33</v>
      </c>
      <c r="H1044" s="562"/>
      <c r="I1044" s="562"/>
      <c r="J1044" s="562"/>
    </row>
    <row r="1045" spans="1:10" hidden="1" x14ac:dyDescent="0.25">
      <c r="A1045" s="362">
        <v>15</v>
      </c>
      <c r="B1045" s="364">
        <v>44033</v>
      </c>
      <c r="C1045" s="362" t="s">
        <v>3435</v>
      </c>
      <c r="D1045" s="562"/>
      <c r="E1045" s="562"/>
      <c r="F1045" s="562">
        <v>33473800</v>
      </c>
      <c r="G1045" s="562">
        <f t="shared" si="26"/>
        <v>-33473800</v>
      </c>
      <c r="H1045" s="562"/>
      <c r="I1045" s="562"/>
      <c r="J1045" s="562"/>
    </row>
    <row r="1046" spans="1:10" hidden="1" x14ac:dyDescent="0.25">
      <c r="A1046" s="532"/>
      <c r="B1046" s="532"/>
      <c r="C1046" s="532"/>
      <c r="D1046" s="564"/>
      <c r="E1046" s="564"/>
      <c r="F1046" s="564"/>
      <c r="G1046" s="564">
        <f t="shared" si="26"/>
        <v>0</v>
      </c>
      <c r="H1046" s="564"/>
      <c r="I1046" s="564"/>
      <c r="J1046" s="564"/>
    </row>
    <row r="1047" spans="1:10" hidden="1" x14ac:dyDescent="0.25">
      <c r="A1047" s="362">
        <v>1</v>
      </c>
      <c r="B1047" s="364">
        <v>44034</v>
      </c>
      <c r="C1047" s="362" t="s">
        <v>80</v>
      </c>
      <c r="D1047" s="562">
        <v>313411866</v>
      </c>
      <c r="E1047" s="562"/>
      <c r="F1047" s="562">
        <v>313411800</v>
      </c>
      <c r="G1047" s="562">
        <f t="shared" si="26"/>
        <v>66</v>
      </c>
      <c r="H1047" s="562">
        <v>16934132</v>
      </c>
      <c r="I1047" s="562"/>
      <c r="J1047" s="562"/>
    </row>
    <row r="1048" spans="1:10" hidden="1" x14ac:dyDescent="0.25">
      <c r="A1048" s="362">
        <v>2</v>
      </c>
      <c r="B1048" s="364">
        <v>44034</v>
      </c>
      <c r="C1048" s="362" t="s">
        <v>83</v>
      </c>
      <c r="D1048" s="562">
        <v>112805885</v>
      </c>
      <c r="E1048" s="562">
        <v>25844115</v>
      </c>
      <c r="F1048" s="562">
        <v>138650000</v>
      </c>
      <c r="G1048" s="562">
        <f t="shared" si="26"/>
        <v>0</v>
      </c>
      <c r="H1048" s="562">
        <v>2910335</v>
      </c>
      <c r="I1048" s="562"/>
      <c r="J1048" s="562"/>
    </row>
    <row r="1049" spans="1:10" hidden="1" x14ac:dyDescent="0.25">
      <c r="A1049" s="362">
        <v>3</v>
      </c>
      <c r="B1049" s="364">
        <v>44034</v>
      </c>
      <c r="C1049" s="362" t="s">
        <v>88</v>
      </c>
      <c r="D1049" s="562">
        <v>190503505</v>
      </c>
      <c r="E1049" s="562">
        <v>26205070</v>
      </c>
      <c r="F1049" s="562">
        <v>216708600</v>
      </c>
      <c r="G1049" s="562">
        <f t="shared" si="26"/>
        <v>-25</v>
      </c>
      <c r="H1049" s="562">
        <v>10877701</v>
      </c>
      <c r="I1049" s="562"/>
      <c r="J1049" s="562"/>
    </row>
    <row r="1050" spans="1:10" hidden="1" x14ac:dyDescent="0.25">
      <c r="A1050" s="362">
        <v>4</v>
      </c>
      <c r="B1050" s="364">
        <v>44034</v>
      </c>
      <c r="C1050" s="362" t="s">
        <v>146</v>
      </c>
      <c r="D1050" s="562">
        <v>64278766</v>
      </c>
      <c r="E1050" s="562">
        <v>76343444</v>
      </c>
      <c r="F1050" s="562">
        <v>140622300</v>
      </c>
      <c r="G1050" s="562">
        <f t="shared" si="26"/>
        <v>-90</v>
      </c>
      <c r="H1050" s="562">
        <v>13212720</v>
      </c>
      <c r="I1050" s="562"/>
      <c r="J1050" s="562"/>
    </row>
    <row r="1051" spans="1:10" hidden="1" x14ac:dyDescent="0.25">
      <c r="A1051" s="362">
        <v>5</v>
      </c>
      <c r="B1051" s="364">
        <v>44034</v>
      </c>
      <c r="C1051" s="362" t="s">
        <v>86</v>
      </c>
      <c r="D1051" s="562">
        <v>81786740</v>
      </c>
      <c r="E1051" s="562">
        <v>130202663</v>
      </c>
      <c r="F1051" s="562">
        <v>211989400</v>
      </c>
      <c r="G1051" s="562">
        <f t="shared" si="26"/>
        <v>3</v>
      </c>
      <c r="H1051" s="562">
        <v>4539306</v>
      </c>
      <c r="I1051" s="562"/>
      <c r="J1051" s="562"/>
    </row>
    <row r="1052" spans="1:10" hidden="1" x14ac:dyDescent="0.25">
      <c r="A1052" s="362">
        <v>6</v>
      </c>
      <c r="B1052" s="364">
        <v>44034</v>
      </c>
      <c r="C1052" s="362" t="s">
        <v>89</v>
      </c>
      <c r="D1052" s="562">
        <v>164505700</v>
      </c>
      <c r="E1052" s="562">
        <v>1525000</v>
      </c>
      <c r="F1052" s="562">
        <v>166030700</v>
      </c>
      <c r="G1052" s="562">
        <f t="shared" si="26"/>
        <v>0</v>
      </c>
      <c r="H1052" s="562">
        <v>11840100</v>
      </c>
      <c r="I1052" s="562"/>
      <c r="J1052" s="562"/>
    </row>
    <row r="1053" spans="1:10" hidden="1" x14ac:dyDescent="0.25">
      <c r="A1053" s="362">
        <v>7</v>
      </c>
      <c r="B1053" s="364">
        <v>44034</v>
      </c>
      <c r="C1053" s="362" t="s">
        <v>4751</v>
      </c>
      <c r="D1053" s="562">
        <v>107036817</v>
      </c>
      <c r="E1053" s="562">
        <v>23198983</v>
      </c>
      <c r="F1053" s="562">
        <v>130235800</v>
      </c>
      <c r="G1053" s="562">
        <f t="shared" si="26"/>
        <v>0</v>
      </c>
      <c r="H1053" s="562">
        <v>15498608</v>
      </c>
      <c r="I1053" s="562"/>
      <c r="J1053" s="562"/>
    </row>
    <row r="1054" spans="1:10" hidden="1" x14ac:dyDescent="0.25">
      <c r="A1054" s="362">
        <v>8</v>
      </c>
      <c r="B1054" s="364">
        <v>44034</v>
      </c>
      <c r="C1054" s="362" t="s">
        <v>84</v>
      </c>
      <c r="D1054" s="562">
        <v>280444159</v>
      </c>
      <c r="E1054" s="562">
        <v>21798210</v>
      </c>
      <c r="F1054" s="562">
        <v>302243200</v>
      </c>
      <c r="G1054" s="562">
        <f t="shared" si="26"/>
        <v>-831</v>
      </c>
      <c r="H1054" s="562">
        <v>18940089</v>
      </c>
      <c r="I1054" s="562"/>
      <c r="J1054" s="562"/>
    </row>
    <row r="1055" spans="1:10" hidden="1" x14ac:dyDescent="0.25">
      <c r="A1055" s="362">
        <v>9</v>
      </c>
      <c r="B1055" s="364">
        <v>44034</v>
      </c>
      <c r="C1055" s="362" t="s">
        <v>81</v>
      </c>
      <c r="D1055" s="562">
        <v>70218726</v>
      </c>
      <c r="E1055" s="562">
        <v>7416891</v>
      </c>
      <c r="F1055" s="562">
        <v>77635700</v>
      </c>
      <c r="G1055" s="562">
        <f t="shared" si="26"/>
        <v>-83</v>
      </c>
      <c r="H1055" s="562">
        <v>12689128</v>
      </c>
      <c r="I1055" s="562"/>
      <c r="J1055" s="562"/>
    </row>
    <row r="1056" spans="1:10" hidden="1" x14ac:dyDescent="0.25">
      <c r="A1056" s="362">
        <v>10</v>
      </c>
      <c r="B1056" s="364">
        <v>44034</v>
      </c>
      <c r="C1056" s="362" t="s">
        <v>79</v>
      </c>
      <c r="D1056" s="562">
        <v>105860654</v>
      </c>
      <c r="E1056" s="562">
        <v>1075015</v>
      </c>
      <c r="F1056" s="562">
        <v>107166700</v>
      </c>
      <c r="G1056" s="562">
        <f t="shared" si="26"/>
        <v>-231031</v>
      </c>
      <c r="H1056" s="562">
        <v>3359166</v>
      </c>
      <c r="I1056" s="562"/>
      <c r="J1056" s="562"/>
    </row>
    <row r="1057" spans="1:10" hidden="1" x14ac:dyDescent="0.25">
      <c r="A1057" s="362">
        <v>11</v>
      </c>
      <c r="B1057" s="364">
        <v>44034</v>
      </c>
      <c r="C1057" s="362" t="s">
        <v>82</v>
      </c>
      <c r="D1057" s="562">
        <v>94073657</v>
      </c>
      <c r="E1057" s="562">
        <v>1182000</v>
      </c>
      <c r="F1057" s="562">
        <v>95255800</v>
      </c>
      <c r="G1057" s="562">
        <f t="shared" si="26"/>
        <v>-143</v>
      </c>
      <c r="H1057" s="562">
        <v>7075802</v>
      </c>
      <c r="I1057" s="562"/>
      <c r="J1057" s="562"/>
    </row>
    <row r="1058" spans="1:10" hidden="1" x14ac:dyDescent="0.25">
      <c r="A1058" s="362">
        <v>12</v>
      </c>
      <c r="B1058" s="364">
        <v>44034</v>
      </c>
      <c r="C1058" s="362" t="s">
        <v>78</v>
      </c>
      <c r="D1058" s="562">
        <v>63922427</v>
      </c>
      <c r="E1058" s="562">
        <v>5009473</v>
      </c>
      <c r="F1058" s="562">
        <v>68931900</v>
      </c>
      <c r="G1058" s="562">
        <f t="shared" si="26"/>
        <v>0</v>
      </c>
      <c r="H1058" s="562">
        <v>7142840</v>
      </c>
      <c r="I1058" s="562"/>
      <c r="J1058" s="562"/>
    </row>
    <row r="1059" spans="1:10" hidden="1" x14ac:dyDescent="0.25">
      <c r="A1059" s="362">
        <v>13</v>
      </c>
      <c r="B1059" s="364">
        <v>44034</v>
      </c>
      <c r="C1059" s="362" t="s">
        <v>85</v>
      </c>
      <c r="D1059" s="562">
        <v>46406200</v>
      </c>
      <c r="E1059" s="562"/>
      <c r="F1059" s="562">
        <v>46406200</v>
      </c>
      <c r="G1059" s="562">
        <f t="shared" si="26"/>
        <v>0</v>
      </c>
      <c r="H1059" s="562"/>
      <c r="I1059" s="562"/>
      <c r="J1059" s="562"/>
    </row>
    <row r="1060" spans="1:10" hidden="1" x14ac:dyDescent="0.25">
      <c r="A1060" s="362">
        <v>14</v>
      </c>
      <c r="B1060" s="364">
        <v>44034</v>
      </c>
      <c r="C1060" s="362" t="s">
        <v>166</v>
      </c>
      <c r="D1060" s="562">
        <v>35994942</v>
      </c>
      <c r="E1060" s="562"/>
      <c r="F1060" s="562">
        <v>35995000</v>
      </c>
      <c r="G1060" s="562">
        <f t="shared" si="26"/>
        <v>-58</v>
      </c>
      <c r="H1060" s="562"/>
      <c r="I1060" s="562"/>
      <c r="J1060" s="562"/>
    </row>
    <row r="1061" spans="1:10" hidden="1" x14ac:dyDescent="0.25">
      <c r="A1061" s="362">
        <v>15</v>
      </c>
      <c r="B1061" s="364">
        <v>44034</v>
      </c>
      <c r="C1061" s="362" t="s">
        <v>3435</v>
      </c>
      <c r="D1061" s="562"/>
      <c r="E1061" s="562"/>
      <c r="F1061" s="562">
        <v>73300400</v>
      </c>
      <c r="G1061" s="562">
        <f t="shared" si="26"/>
        <v>-73300400</v>
      </c>
      <c r="H1061" s="562"/>
      <c r="I1061" s="562"/>
      <c r="J1061" s="562"/>
    </row>
    <row r="1062" spans="1:10" hidden="1" x14ac:dyDescent="0.25">
      <c r="A1062" s="532"/>
      <c r="B1062" s="591"/>
      <c r="C1062" s="532"/>
      <c r="D1062" s="564"/>
      <c r="E1062" s="564"/>
      <c r="F1062" s="564"/>
      <c r="G1062" s="564">
        <f t="shared" si="26"/>
        <v>0</v>
      </c>
      <c r="H1062" s="564"/>
      <c r="I1062" s="564"/>
      <c r="J1062" s="564"/>
    </row>
    <row r="1063" spans="1:10" hidden="1" x14ac:dyDescent="0.25">
      <c r="A1063" s="362">
        <v>1</v>
      </c>
      <c r="B1063" s="364">
        <v>44035</v>
      </c>
      <c r="C1063" s="362" t="s">
        <v>80</v>
      </c>
      <c r="D1063" s="562">
        <v>234114202</v>
      </c>
      <c r="E1063" s="562">
        <v>1386000</v>
      </c>
      <c r="F1063" s="562">
        <v>235500400</v>
      </c>
      <c r="G1063" s="562">
        <f t="shared" si="26"/>
        <v>-198</v>
      </c>
      <c r="H1063" s="562">
        <v>5398109</v>
      </c>
      <c r="I1063" s="562"/>
      <c r="J1063" s="562">
        <f>H1063-I1063</f>
        <v>5398109</v>
      </c>
    </row>
    <row r="1064" spans="1:10" hidden="1" x14ac:dyDescent="0.25">
      <c r="A1064" s="362">
        <v>2</v>
      </c>
      <c r="B1064" s="364">
        <v>44035</v>
      </c>
      <c r="C1064" s="362" t="s">
        <v>83</v>
      </c>
      <c r="D1064" s="562">
        <v>186626855</v>
      </c>
      <c r="E1064" s="562">
        <v>32301724</v>
      </c>
      <c r="F1064" s="562">
        <v>218928600</v>
      </c>
      <c r="G1064" s="562">
        <f t="shared" si="26"/>
        <v>-21</v>
      </c>
      <c r="H1064" s="562">
        <v>914984</v>
      </c>
      <c r="I1064" s="562">
        <v>914985</v>
      </c>
      <c r="J1064" s="562">
        <f t="shared" ref="J1064:J1093" si="27">H1064-I1064</f>
        <v>-1</v>
      </c>
    </row>
    <row r="1065" spans="1:10" hidden="1" x14ac:dyDescent="0.25">
      <c r="A1065" s="362">
        <v>3</v>
      </c>
      <c r="B1065" s="364">
        <v>44035</v>
      </c>
      <c r="C1065" s="362" t="s">
        <v>88</v>
      </c>
      <c r="D1065" s="562">
        <v>271791099</v>
      </c>
      <c r="E1065" s="562">
        <v>6249427</v>
      </c>
      <c r="F1065" s="562">
        <v>278040600</v>
      </c>
      <c r="G1065" s="562">
        <f t="shared" si="26"/>
        <v>-74</v>
      </c>
      <c r="H1065" s="562">
        <v>2029643</v>
      </c>
      <c r="I1065" s="562">
        <v>2029643</v>
      </c>
      <c r="J1065" s="562">
        <f t="shared" si="27"/>
        <v>0</v>
      </c>
    </row>
    <row r="1066" spans="1:10" hidden="1" x14ac:dyDescent="0.25">
      <c r="A1066" s="362">
        <v>4</v>
      </c>
      <c r="B1066" s="364">
        <v>44035</v>
      </c>
      <c r="C1066" s="362" t="s">
        <v>146</v>
      </c>
      <c r="D1066" s="562">
        <v>90293105</v>
      </c>
      <c r="E1066" s="562">
        <v>152395735</v>
      </c>
      <c r="F1066" s="562">
        <v>242689100</v>
      </c>
      <c r="G1066" s="562">
        <f t="shared" si="26"/>
        <v>-260</v>
      </c>
      <c r="H1066" s="562">
        <v>7107771</v>
      </c>
      <c r="I1066" s="562"/>
      <c r="J1066" s="562">
        <f t="shared" si="27"/>
        <v>7107771</v>
      </c>
    </row>
    <row r="1067" spans="1:10" hidden="1" x14ac:dyDescent="0.25">
      <c r="A1067" s="362">
        <v>5</v>
      </c>
      <c r="B1067" s="364">
        <v>44035</v>
      </c>
      <c r="C1067" s="362" t="s">
        <v>86</v>
      </c>
      <c r="D1067" s="562">
        <v>70506364</v>
      </c>
      <c r="E1067" s="562">
        <v>235107975</v>
      </c>
      <c r="F1067" s="562">
        <v>305614300</v>
      </c>
      <c r="G1067" s="562">
        <f t="shared" si="26"/>
        <v>39</v>
      </c>
      <c r="H1067" s="562"/>
      <c r="I1067" s="562"/>
      <c r="J1067" s="562">
        <f t="shared" si="27"/>
        <v>0</v>
      </c>
    </row>
    <row r="1068" spans="1:10" hidden="1" x14ac:dyDescent="0.25">
      <c r="A1068" s="362">
        <v>6</v>
      </c>
      <c r="B1068" s="364">
        <v>44035</v>
      </c>
      <c r="C1068" s="362" t="s">
        <v>89</v>
      </c>
      <c r="D1068" s="562">
        <v>142970571</v>
      </c>
      <c r="E1068" s="562">
        <v>3987629</v>
      </c>
      <c r="F1068" s="562">
        <v>146958200</v>
      </c>
      <c r="G1068" s="562">
        <f t="shared" si="26"/>
        <v>0</v>
      </c>
      <c r="H1068" s="562">
        <v>6572794</v>
      </c>
      <c r="I1068" s="562">
        <v>6572794</v>
      </c>
      <c r="J1068" s="562">
        <f t="shared" si="27"/>
        <v>0</v>
      </c>
    </row>
    <row r="1069" spans="1:10" hidden="1" x14ac:dyDescent="0.25">
      <c r="A1069" s="362">
        <v>7</v>
      </c>
      <c r="B1069" s="364">
        <v>44035</v>
      </c>
      <c r="C1069" s="362" t="s">
        <v>4751</v>
      </c>
      <c r="D1069" s="562">
        <v>157003510</v>
      </c>
      <c r="E1069" s="562">
        <v>10756890</v>
      </c>
      <c r="F1069" s="562">
        <v>167760400</v>
      </c>
      <c r="G1069" s="562">
        <f t="shared" si="26"/>
        <v>0</v>
      </c>
      <c r="H1069" s="562">
        <v>5387446</v>
      </c>
      <c r="I1069" s="562"/>
      <c r="J1069" s="562">
        <f t="shared" si="27"/>
        <v>5387446</v>
      </c>
    </row>
    <row r="1070" spans="1:10" hidden="1" x14ac:dyDescent="0.25">
      <c r="A1070" s="362">
        <v>8</v>
      </c>
      <c r="B1070" s="364">
        <v>44035</v>
      </c>
      <c r="C1070" s="362" t="s">
        <v>84</v>
      </c>
      <c r="D1070" s="562">
        <v>146975940</v>
      </c>
      <c r="E1070" s="562">
        <v>12341791</v>
      </c>
      <c r="F1070" s="562">
        <v>159317500</v>
      </c>
      <c r="G1070" s="562">
        <f t="shared" si="26"/>
        <v>231</v>
      </c>
      <c r="H1070" s="562">
        <v>3934201</v>
      </c>
      <c r="I1070" s="562">
        <v>3934201</v>
      </c>
      <c r="J1070" s="562">
        <f t="shared" si="27"/>
        <v>0</v>
      </c>
    </row>
    <row r="1071" spans="1:10" hidden="1" x14ac:dyDescent="0.25">
      <c r="A1071" s="362">
        <v>9</v>
      </c>
      <c r="B1071" s="364">
        <v>44035</v>
      </c>
      <c r="C1071" s="362" t="s">
        <v>81</v>
      </c>
      <c r="D1071" s="562">
        <v>145648253</v>
      </c>
      <c r="E1071" s="562">
        <v>10427550</v>
      </c>
      <c r="F1071" s="562">
        <v>156075800</v>
      </c>
      <c r="G1071" s="562">
        <f t="shared" si="26"/>
        <v>3</v>
      </c>
      <c r="H1071" s="562">
        <v>12607128</v>
      </c>
      <c r="I1071" s="562"/>
      <c r="J1071" s="562">
        <f t="shared" si="27"/>
        <v>12607128</v>
      </c>
    </row>
    <row r="1072" spans="1:10" hidden="1" x14ac:dyDescent="0.25">
      <c r="A1072" s="362">
        <v>10</v>
      </c>
      <c r="B1072" s="364">
        <v>44035</v>
      </c>
      <c r="C1072" s="362" t="s">
        <v>79</v>
      </c>
      <c r="D1072" s="562">
        <v>61370056</v>
      </c>
      <c r="E1072" s="562">
        <v>2697898</v>
      </c>
      <c r="F1072" s="562">
        <v>64068000</v>
      </c>
      <c r="G1072" s="562">
        <f t="shared" si="26"/>
        <v>-46</v>
      </c>
      <c r="H1072" s="562">
        <v>1461516</v>
      </c>
      <c r="I1072" s="562">
        <v>1461516</v>
      </c>
      <c r="J1072" s="562">
        <f t="shared" si="27"/>
        <v>0</v>
      </c>
    </row>
    <row r="1073" spans="1:10" hidden="1" x14ac:dyDescent="0.25">
      <c r="A1073" s="362">
        <v>11</v>
      </c>
      <c r="B1073" s="364">
        <v>44035</v>
      </c>
      <c r="C1073" s="362" t="s">
        <v>82</v>
      </c>
      <c r="D1073" s="562">
        <v>103952979</v>
      </c>
      <c r="E1073" s="562"/>
      <c r="F1073" s="562">
        <v>103953000</v>
      </c>
      <c r="G1073" s="562">
        <f t="shared" si="26"/>
        <v>-21</v>
      </c>
      <c r="H1073" s="562">
        <v>4479252</v>
      </c>
      <c r="I1073" s="562">
        <v>4479252</v>
      </c>
      <c r="J1073" s="562">
        <f t="shared" si="27"/>
        <v>0</v>
      </c>
    </row>
    <row r="1074" spans="1:10" hidden="1" x14ac:dyDescent="0.25">
      <c r="A1074" s="362">
        <v>12</v>
      </c>
      <c r="B1074" s="364">
        <v>44035</v>
      </c>
      <c r="C1074" s="362" t="s">
        <v>78</v>
      </c>
      <c r="D1074" s="562">
        <v>69664400</v>
      </c>
      <c r="E1074" s="562">
        <v>1947000</v>
      </c>
      <c r="F1074" s="562">
        <v>71611400</v>
      </c>
      <c r="G1074" s="562">
        <f t="shared" si="26"/>
        <v>0</v>
      </c>
      <c r="H1074" s="562">
        <v>2751045</v>
      </c>
      <c r="I1074" s="562">
        <v>2751045</v>
      </c>
      <c r="J1074" s="562">
        <f t="shared" si="27"/>
        <v>0</v>
      </c>
    </row>
    <row r="1075" spans="1:10" hidden="1" x14ac:dyDescent="0.25">
      <c r="A1075" s="362">
        <v>13</v>
      </c>
      <c r="B1075" s="364">
        <v>44035</v>
      </c>
      <c r="C1075" s="362" t="s">
        <v>85</v>
      </c>
      <c r="D1075" s="562">
        <v>28535300</v>
      </c>
      <c r="E1075" s="562"/>
      <c r="F1075" s="562">
        <v>28535300</v>
      </c>
      <c r="G1075" s="562">
        <f t="shared" si="26"/>
        <v>0</v>
      </c>
      <c r="H1075" s="562"/>
      <c r="I1075" s="562"/>
      <c r="J1075" s="562">
        <f t="shared" si="27"/>
        <v>0</v>
      </c>
    </row>
    <row r="1076" spans="1:10" hidden="1" x14ac:dyDescent="0.25">
      <c r="A1076" s="362">
        <v>14</v>
      </c>
      <c r="B1076" s="364">
        <v>44035</v>
      </c>
      <c r="C1076" s="362" t="s">
        <v>166</v>
      </c>
      <c r="D1076" s="562">
        <v>79596109</v>
      </c>
      <c r="E1076" s="562"/>
      <c r="F1076" s="562">
        <v>79596100</v>
      </c>
      <c r="G1076" s="562">
        <f t="shared" si="26"/>
        <v>9</v>
      </c>
      <c r="H1076" s="562"/>
      <c r="I1076" s="562"/>
      <c r="J1076" s="562">
        <f t="shared" si="27"/>
        <v>0</v>
      </c>
    </row>
    <row r="1077" spans="1:10" hidden="1" x14ac:dyDescent="0.25">
      <c r="A1077" s="362">
        <v>15</v>
      </c>
      <c r="B1077" s="364">
        <v>44035</v>
      </c>
      <c r="C1077" s="362" t="s">
        <v>3435</v>
      </c>
      <c r="D1077" s="562"/>
      <c r="E1077" s="562"/>
      <c r="F1077" s="562">
        <v>48792300</v>
      </c>
      <c r="G1077" s="562">
        <f t="shared" si="26"/>
        <v>-48792300</v>
      </c>
      <c r="H1077" s="562"/>
      <c r="I1077" s="562"/>
      <c r="J1077" s="562">
        <f t="shared" si="27"/>
        <v>0</v>
      </c>
    </row>
    <row r="1078" spans="1:10" hidden="1" x14ac:dyDescent="0.25">
      <c r="A1078" s="532"/>
      <c r="B1078" s="591"/>
      <c r="C1078" s="532"/>
      <c r="D1078" s="564"/>
      <c r="E1078" s="564"/>
      <c r="F1078" s="564"/>
      <c r="G1078" s="564">
        <f t="shared" si="26"/>
        <v>0</v>
      </c>
      <c r="H1078" s="564"/>
      <c r="I1078" s="564"/>
      <c r="J1078" s="564">
        <f t="shared" si="27"/>
        <v>0</v>
      </c>
    </row>
    <row r="1079" spans="1:10" hidden="1" x14ac:dyDescent="0.25">
      <c r="A1079" s="362">
        <v>1</v>
      </c>
      <c r="B1079" s="364">
        <v>44036</v>
      </c>
      <c r="C1079" s="362" t="s">
        <v>80</v>
      </c>
      <c r="D1079" s="562">
        <v>263345122</v>
      </c>
      <c r="E1079" s="562">
        <v>64109925</v>
      </c>
      <c r="F1079" s="562">
        <v>327454000</v>
      </c>
      <c r="G1079" s="562">
        <f t="shared" si="26"/>
        <v>1047</v>
      </c>
      <c r="H1079" s="562">
        <v>5398109</v>
      </c>
      <c r="I1079" s="562">
        <v>5398109</v>
      </c>
      <c r="J1079" s="562">
        <f t="shared" si="27"/>
        <v>0</v>
      </c>
    </row>
    <row r="1080" spans="1:10" hidden="1" x14ac:dyDescent="0.25">
      <c r="A1080" s="362">
        <v>2</v>
      </c>
      <c r="B1080" s="364">
        <v>44036</v>
      </c>
      <c r="C1080" s="362" t="s">
        <v>83</v>
      </c>
      <c r="D1080" s="562">
        <v>351707050</v>
      </c>
      <c r="E1080" s="562">
        <v>55947431</v>
      </c>
      <c r="F1080" s="562">
        <v>407619400</v>
      </c>
      <c r="G1080" s="562">
        <f t="shared" si="26"/>
        <v>35081</v>
      </c>
      <c r="H1080" s="562">
        <v>174984</v>
      </c>
      <c r="I1080" s="562"/>
      <c r="J1080" s="562">
        <f t="shared" si="27"/>
        <v>174984</v>
      </c>
    </row>
    <row r="1081" spans="1:10" hidden="1" x14ac:dyDescent="0.25">
      <c r="A1081" s="362">
        <v>3</v>
      </c>
      <c r="B1081" s="364">
        <v>44036</v>
      </c>
      <c r="C1081" s="362" t="s">
        <v>88</v>
      </c>
      <c r="D1081" s="562">
        <v>112201397</v>
      </c>
      <c r="E1081" s="562">
        <v>70305709</v>
      </c>
      <c r="F1081" s="562">
        <v>182507200</v>
      </c>
      <c r="G1081" s="562">
        <f t="shared" si="26"/>
        <v>-94</v>
      </c>
      <c r="H1081" s="562">
        <v>2029643</v>
      </c>
      <c r="I1081" s="562"/>
      <c r="J1081" s="562">
        <f t="shared" si="27"/>
        <v>2029643</v>
      </c>
    </row>
    <row r="1082" spans="1:10" hidden="1" x14ac:dyDescent="0.25">
      <c r="A1082" s="362">
        <v>4</v>
      </c>
      <c r="B1082" s="364">
        <v>44036</v>
      </c>
      <c r="C1082" s="362" t="s">
        <v>146</v>
      </c>
      <c r="D1082" s="562">
        <v>60460859</v>
      </c>
      <c r="E1082" s="562">
        <v>96843637</v>
      </c>
      <c r="F1082" s="562">
        <v>157304600</v>
      </c>
      <c r="G1082" s="562">
        <f t="shared" si="26"/>
        <v>-104</v>
      </c>
      <c r="H1082" s="562">
        <v>864435</v>
      </c>
      <c r="I1082" s="562">
        <v>864435</v>
      </c>
      <c r="J1082" s="562">
        <f t="shared" si="27"/>
        <v>0</v>
      </c>
    </row>
    <row r="1083" spans="1:10" hidden="1" x14ac:dyDescent="0.25">
      <c r="A1083" s="362">
        <v>5</v>
      </c>
      <c r="B1083" s="364">
        <v>44036</v>
      </c>
      <c r="C1083" s="362" t="s">
        <v>86</v>
      </c>
      <c r="D1083" s="562">
        <v>30150447</v>
      </c>
      <c r="E1083" s="562">
        <v>83048224</v>
      </c>
      <c r="F1083" s="562">
        <v>113198700</v>
      </c>
      <c r="G1083" s="562">
        <f t="shared" si="26"/>
        <v>-29</v>
      </c>
      <c r="H1083" s="562">
        <v>785767</v>
      </c>
      <c r="I1083" s="562">
        <v>785767</v>
      </c>
      <c r="J1083" s="562">
        <f t="shared" si="27"/>
        <v>0</v>
      </c>
    </row>
    <row r="1084" spans="1:10" hidden="1" x14ac:dyDescent="0.25">
      <c r="A1084" s="362">
        <v>6</v>
      </c>
      <c r="B1084" s="364">
        <v>44036</v>
      </c>
      <c r="C1084" s="362" t="s">
        <v>89</v>
      </c>
      <c r="D1084" s="562">
        <v>133146500</v>
      </c>
      <c r="E1084" s="562">
        <v>2818700</v>
      </c>
      <c r="F1084" s="562">
        <v>135965200</v>
      </c>
      <c r="G1084" s="562">
        <f t="shared" si="26"/>
        <v>0</v>
      </c>
      <c r="H1084" s="562">
        <v>6079294</v>
      </c>
      <c r="I1084" s="562"/>
      <c r="J1084" s="562">
        <f t="shared" si="27"/>
        <v>6079294</v>
      </c>
    </row>
    <row r="1085" spans="1:10" hidden="1" x14ac:dyDescent="0.25">
      <c r="A1085" s="362">
        <v>7</v>
      </c>
      <c r="B1085" s="364">
        <v>44036</v>
      </c>
      <c r="C1085" s="362" t="s">
        <v>4751</v>
      </c>
      <c r="D1085" s="562">
        <v>254520438</v>
      </c>
      <c r="E1085" s="562">
        <v>8017962</v>
      </c>
      <c r="F1085" s="562">
        <v>262538400</v>
      </c>
      <c r="G1085" s="562">
        <f t="shared" si="26"/>
        <v>0</v>
      </c>
      <c r="H1085" s="562">
        <v>3283446</v>
      </c>
      <c r="I1085" s="562">
        <v>5387446</v>
      </c>
      <c r="J1085" s="562">
        <f t="shared" si="27"/>
        <v>-2104000</v>
      </c>
    </row>
    <row r="1086" spans="1:10" hidden="1" x14ac:dyDescent="0.25">
      <c r="A1086" s="362">
        <v>8</v>
      </c>
      <c r="B1086" s="364">
        <v>44036</v>
      </c>
      <c r="C1086" s="362" t="s">
        <v>84</v>
      </c>
      <c r="D1086" s="562">
        <v>125929817</v>
      </c>
      <c r="E1086" s="562">
        <v>28130041</v>
      </c>
      <c r="F1086" s="562">
        <v>154059900</v>
      </c>
      <c r="G1086" s="562">
        <f t="shared" si="26"/>
        <v>-42</v>
      </c>
      <c r="H1086" s="562">
        <v>3934201</v>
      </c>
      <c r="I1086" s="562"/>
      <c r="J1086" s="562">
        <f t="shared" si="27"/>
        <v>3934201</v>
      </c>
    </row>
    <row r="1087" spans="1:10" hidden="1" x14ac:dyDescent="0.25">
      <c r="A1087" s="362">
        <v>9</v>
      </c>
      <c r="B1087" s="364">
        <v>44036</v>
      </c>
      <c r="C1087" s="362" t="s">
        <v>81</v>
      </c>
      <c r="D1087" s="562">
        <v>73475813</v>
      </c>
      <c r="E1087" s="562">
        <v>6355853</v>
      </c>
      <c r="F1087" s="562">
        <v>79831700</v>
      </c>
      <c r="G1087" s="562">
        <f t="shared" si="26"/>
        <v>-34</v>
      </c>
      <c r="H1087" s="562">
        <v>5300820</v>
      </c>
      <c r="I1087" s="562">
        <v>5300820</v>
      </c>
      <c r="J1087" s="562">
        <f t="shared" si="27"/>
        <v>0</v>
      </c>
    </row>
    <row r="1088" spans="1:10" hidden="1" x14ac:dyDescent="0.25">
      <c r="A1088" s="362">
        <v>10</v>
      </c>
      <c r="B1088" s="364">
        <v>44036</v>
      </c>
      <c r="C1088" s="362" t="s">
        <v>79</v>
      </c>
      <c r="D1088" s="562">
        <v>48177919</v>
      </c>
      <c r="E1088" s="562">
        <v>34304</v>
      </c>
      <c r="F1088" s="562">
        <v>48212300</v>
      </c>
      <c r="G1088" s="562">
        <f t="shared" si="26"/>
        <v>-77</v>
      </c>
      <c r="H1088" s="562">
        <v>1451516</v>
      </c>
      <c r="I1088" s="562"/>
      <c r="J1088" s="562">
        <f t="shared" si="27"/>
        <v>1451516</v>
      </c>
    </row>
    <row r="1089" spans="1:10" hidden="1" x14ac:dyDescent="0.25">
      <c r="A1089" s="362">
        <v>11</v>
      </c>
      <c r="B1089" s="364">
        <v>44036</v>
      </c>
      <c r="C1089" s="362" t="s">
        <v>82</v>
      </c>
      <c r="D1089" s="562">
        <v>79132455</v>
      </c>
      <c r="E1089" s="562"/>
      <c r="F1089" s="562">
        <v>79132500</v>
      </c>
      <c r="G1089" s="562">
        <f t="shared" si="26"/>
        <v>-45</v>
      </c>
      <c r="H1089" s="562">
        <v>4479252</v>
      </c>
      <c r="I1089" s="562"/>
      <c r="J1089" s="562">
        <f t="shared" si="27"/>
        <v>4479252</v>
      </c>
    </row>
    <row r="1090" spans="1:10" hidden="1" x14ac:dyDescent="0.25">
      <c r="A1090" s="362">
        <v>12</v>
      </c>
      <c r="B1090" s="364">
        <v>44036</v>
      </c>
      <c r="C1090" s="362" t="s">
        <v>78</v>
      </c>
      <c r="D1090" s="562">
        <v>79468277</v>
      </c>
      <c r="E1090" s="562">
        <v>2142123</v>
      </c>
      <c r="F1090" s="562">
        <v>81610400</v>
      </c>
      <c r="G1090" s="562">
        <f t="shared" si="26"/>
        <v>0</v>
      </c>
      <c r="H1090" s="562">
        <v>2514045</v>
      </c>
      <c r="I1090" s="562"/>
      <c r="J1090" s="562">
        <f t="shared" si="27"/>
        <v>2514045</v>
      </c>
    </row>
    <row r="1091" spans="1:10" hidden="1" x14ac:dyDescent="0.25">
      <c r="A1091" s="362">
        <v>13</v>
      </c>
      <c r="B1091" s="364">
        <v>44036</v>
      </c>
      <c r="C1091" s="362" t="s">
        <v>85</v>
      </c>
      <c r="D1091" s="562">
        <v>22060800</v>
      </c>
      <c r="E1091" s="562"/>
      <c r="F1091" s="562">
        <v>22060800</v>
      </c>
      <c r="G1091" s="562">
        <f t="shared" si="26"/>
        <v>0</v>
      </c>
      <c r="H1091" s="562"/>
      <c r="I1091" s="562"/>
      <c r="J1091" s="562">
        <f t="shared" si="27"/>
        <v>0</v>
      </c>
    </row>
    <row r="1092" spans="1:10" hidden="1" x14ac:dyDescent="0.25">
      <c r="A1092" s="362">
        <v>14</v>
      </c>
      <c r="B1092" s="364">
        <v>44036</v>
      </c>
      <c r="C1092" s="362" t="s">
        <v>166</v>
      </c>
      <c r="D1092" s="562">
        <v>35083320</v>
      </c>
      <c r="E1092" s="562"/>
      <c r="F1092" s="562">
        <v>35083400</v>
      </c>
      <c r="G1092" s="562">
        <f t="shared" si="26"/>
        <v>-80</v>
      </c>
      <c r="H1092" s="562"/>
      <c r="I1092" s="562"/>
      <c r="J1092" s="562">
        <f t="shared" si="27"/>
        <v>0</v>
      </c>
    </row>
    <row r="1093" spans="1:10" hidden="1" x14ac:dyDescent="0.25">
      <c r="A1093" s="362">
        <v>15</v>
      </c>
      <c r="B1093" s="364">
        <v>44036</v>
      </c>
      <c r="C1093" s="362" t="s">
        <v>3435</v>
      </c>
      <c r="D1093" s="562"/>
      <c r="E1093" s="562"/>
      <c r="F1093" s="562">
        <v>64946200</v>
      </c>
      <c r="G1093" s="562">
        <f t="shared" si="26"/>
        <v>-64946200</v>
      </c>
      <c r="H1093" s="562"/>
      <c r="I1093" s="562"/>
      <c r="J1093" s="562">
        <f t="shared" si="27"/>
        <v>0</v>
      </c>
    </row>
    <row r="1094" spans="1:10" hidden="1" x14ac:dyDescent="0.25">
      <c r="A1094" s="532"/>
      <c r="B1094" s="591"/>
      <c r="C1094" s="532"/>
      <c r="D1094" s="564"/>
      <c r="E1094" s="564"/>
      <c r="F1094" s="564"/>
      <c r="G1094" s="564">
        <f t="shared" si="26"/>
        <v>0</v>
      </c>
      <c r="H1094" s="564"/>
      <c r="I1094" s="564"/>
      <c r="J1094" s="564"/>
    </row>
    <row r="1095" spans="1:10" hidden="1" x14ac:dyDescent="0.25">
      <c r="A1095" s="362">
        <v>1</v>
      </c>
      <c r="B1095" s="364">
        <v>44037</v>
      </c>
      <c r="C1095" s="362" t="s">
        <v>80</v>
      </c>
      <c r="D1095" s="562">
        <v>316665103</v>
      </c>
      <c r="E1095" s="562"/>
      <c r="F1095" s="562">
        <v>316665200</v>
      </c>
      <c r="G1095" s="562">
        <f t="shared" ref="G1095:G1158" si="28">D1095+E1095-F1095</f>
        <v>-97</v>
      </c>
      <c r="H1095" s="562">
        <v>5398109</v>
      </c>
      <c r="I1095" s="562"/>
      <c r="J1095" s="562"/>
    </row>
    <row r="1096" spans="1:10" hidden="1" x14ac:dyDescent="0.25">
      <c r="A1096" s="362">
        <v>2</v>
      </c>
      <c r="B1096" s="364">
        <v>44037</v>
      </c>
      <c r="C1096" s="362" t="s">
        <v>83</v>
      </c>
      <c r="D1096" s="562">
        <v>348703683</v>
      </c>
      <c r="E1096" s="562">
        <v>209957033</v>
      </c>
      <c r="F1096" s="562">
        <v>558660700</v>
      </c>
      <c r="G1096" s="562">
        <f t="shared" si="28"/>
        <v>16</v>
      </c>
      <c r="H1096" s="562"/>
      <c r="I1096" s="562"/>
      <c r="J1096" s="562"/>
    </row>
    <row r="1097" spans="1:10" hidden="1" x14ac:dyDescent="0.25">
      <c r="A1097" s="362">
        <v>3</v>
      </c>
      <c r="B1097" s="364">
        <v>44037</v>
      </c>
      <c r="C1097" s="362" t="s">
        <v>88</v>
      </c>
      <c r="D1097" s="562">
        <v>189114859</v>
      </c>
      <c r="E1097" s="562">
        <v>12036148</v>
      </c>
      <c r="F1097" s="562">
        <v>201151100</v>
      </c>
      <c r="G1097" s="562">
        <f t="shared" si="28"/>
        <v>-93</v>
      </c>
      <c r="H1097" s="562">
        <v>2029643</v>
      </c>
      <c r="I1097" s="562"/>
      <c r="J1097" s="562"/>
    </row>
    <row r="1098" spans="1:10" hidden="1" x14ac:dyDescent="0.25">
      <c r="A1098" s="362">
        <v>4</v>
      </c>
      <c r="B1098" s="364">
        <v>44037</v>
      </c>
      <c r="C1098" s="362" t="s">
        <v>146</v>
      </c>
      <c r="D1098" s="562">
        <v>85459420</v>
      </c>
      <c r="E1098" s="562">
        <v>79402146</v>
      </c>
      <c r="F1098" s="562">
        <v>164862100</v>
      </c>
      <c r="G1098" s="562">
        <f t="shared" si="28"/>
        <v>-534</v>
      </c>
      <c r="H1098" s="562">
        <v>864435</v>
      </c>
      <c r="I1098" s="562"/>
      <c r="J1098" s="562"/>
    </row>
    <row r="1099" spans="1:10" hidden="1" x14ac:dyDescent="0.25">
      <c r="A1099" s="362">
        <v>5</v>
      </c>
      <c r="B1099" s="364">
        <v>44037</v>
      </c>
      <c r="C1099" s="362" t="s">
        <v>86</v>
      </c>
      <c r="D1099" s="562">
        <v>60074387</v>
      </c>
      <c r="E1099" s="562">
        <v>67779048</v>
      </c>
      <c r="F1099" s="562">
        <v>127853400</v>
      </c>
      <c r="G1099" s="562">
        <f t="shared" si="28"/>
        <v>35</v>
      </c>
      <c r="H1099" s="562">
        <v>569167</v>
      </c>
      <c r="I1099" s="562"/>
      <c r="J1099" s="562"/>
    </row>
    <row r="1100" spans="1:10" hidden="1" x14ac:dyDescent="0.25">
      <c r="A1100" s="362">
        <v>6</v>
      </c>
      <c r="B1100" s="364">
        <v>44037</v>
      </c>
      <c r="C1100" s="362" t="s">
        <v>89</v>
      </c>
      <c r="D1100" s="562">
        <v>93660158</v>
      </c>
      <c r="E1100" s="562">
        <v>6140442</v>
      </c>
      <c r="F1100" s="562">
        <v>99800600</v>
      </c>
      <c r="G1100" s="562">
        <f t="shared" si="28"/>
        <v>0</v>
      </c>
      <c r="H1100" s="562">
        <v>5833294</v>
      </c>
      <c r="I1100" s="562"/>
      <c r="J1100" s="562"/>
    </row>
    <row r="1101" spans="1:10" hidden="1" x14ac:dyDescent="0.25">
      <c r="A1101" s="362">
        <v>7</v>
      </c>
      <c r="B1101" s="364">
        <v>44037</v>
      </c>
      <c r="C1101" s="362" t="s">
        <v>4751</v>
      </c>
      <c r="D1101" s="562">
        <v>191086451</v>
      </c>
      <c r="E1101" s="562">
        <v>9248549</v>
      </c>
      <c r="F1101" s="562">
        <v>200335000</v>
      </c>
      <c r="G1101" s="562">
        <f t="shared" si="28"/>
        <v>0</v>
      </c>
      <c r="H1101" s="562">
        <v>1705446</v>
      </c>
      <c r="I1101" s="562"/>
      <c r="J1101" s="562"/>
    </row>
    <row r="1102" spans="1:10" hidden="1" x14ac:dyDescent="0.25">
      <c r="A1102" s="362">
        <v>8</v>
      </c>
      <c r="B1102" s="364">
        <v>44037</v>
      </c>
      <c r="C1102" s="362" t="s">
        <v>84</v>
      </c>
      <c r="D1102" s="562">
        <v>134097373</v>
      </c>
      <c r="E1102" s="562">
        <v>25822031</v>
      </c>
      <c r="F1102" s="562">
        <v>159919500</v>
      </c>
      <c r="G1102" s="562">
        <f t="shared" si="28"/>
        <v>-96</v>
      </c>
      <c r="H1102" s="562">
        <v>3934201</v>
      </c>
      <c r="I1102" s="562"/>
      <c r="J1102" s="562"/>
    </row>
    <row r="1103" spans="1:10" hidden="1" x14ac:dyDescent="0.25">
      <c r="A1103" s="362">
        <v>9</v>
      </c>
      <c r="B1103" s="364">
        <v>44037</v>
      </c>
      <c r="C1103" s="362" t="s">
        <v>81</v>
      </c>
      <c r="D1103" s="562">
        <v>118131707</v>
      </c>
      <c r="E1103" s="562">
        <v>5660700</v>
      </c>
      <c r="F1103" s="562">
        <v>123792400</v>
      </c>
      <c r="G1103" s="562">
        <f t="shared" si="28"/>
        <v>7</v>
      </c>
      <c r="H1103" s="562">
        <v>4413070</v>
      </c>
      <c r="I1103" s="562"/>
      <c r="J1103" s="562"/>
    </row>
    <row r="1104" spans="1:10" hidden="1" x14ac:dyDescent="0.25">
      <c r="A1104" s="362">
        <v>10</v>
      </c>
      <c r="B1104" s="364">
        <v>44037</v>
      </c>
      <c r="C1104" s="362" t="s">
        <v>79</v>
      </c>
      <c r="D1104" s="562">
        <v>27240357</v>
      </c>
      <c r="E1104" s="562">
        <v>1781697</v>
      </c>
      <c r="F1104" s="562">
        <v>29022100</v>
      </c>
      <c r="G1104" s="562">
        <f t="shared" si="28"/>
        <v>-46</v>
      </c>
      <c r="H1104" s="562">
        <v>1128016</v>
      </c>
      <c r="I1104" s="562"/>
      <c r="J1104" s="562"/>
    </row>
    <row r="1105" spans="1:10" hidden="1" x14ac:dyDescent="0.25">
      <c r="A1105" s="362">
        <v>11</v>
      </c>
      <c r="B1105" s="364">
        <v>44037</v>
      </c>
      <c r="C1105" s="362" t="s">
        <v>82</v>
      </c>
      <c r="D1105" s="562">
        <v>155920931</v>
      </c>
      <c r="E1105" s="562">
        <v>2792200</v>
      </c>
      <c r="F1105" s="562">
        <v>158713200</v>
      </c>
      <c r="G1105" s="562">
        <f t="shared" si="28"/>
        <v>-69</v>
      </c>
      <c r="H1105" s="562">
        <v>4479252</v>
      </c>
      <c r="I1105" s="562"/>
      <c r="J1105" s="562"/>
    </row>
    <row r="1106" spans="1:10" hidden="1" x14ac:dyDescent="0.25">
      <c r="A1106" s="362">
        <v>12</v>
      </c>
      <c r="B1106" s="364">
        <v>44037</v>
      </c>
      <c r="C1106" s="362" t="s">
        <v>78</v>
      </c>
      <c r="D1106" s="562">
        <v>207368449</v>
      </c>
      <c r="E1106" s="562">
        <v>4169951</v>
      </c>
      <c r="F1106" s="562">
        <v>211538400</v>
      </c>
      <c r="G1106" s="562">
        <f t="shared" si="28"/>
        <v>0</v>
      </c>
      <c r="H1106" s="562">
        <v>2082145</v>
      </c>
      <c r="I1106" s="562"/>
      <c r="J1106" s="562"/>
    </row>
    <row r="1107" spans="1:10" hidden="1" x14ac:dyDescent="0.25">
      <c r="A1107" s="362">
        <v>13</v>
      </c>
      <c r="B1107" s="364">
        <v>44037</v>
      </c>
      <c r="C1107" s="362" t="s">
        <v>85</v>
      </c>
      <c r="D1107" s="562">
        <v>22309189</v>
      </c>
      <c r="E1107" s="562"/>
      <c r="F1107" s="562">
        <v>22309200</v>
      </c>
      <c r="G1107" s="562">
        <f t="shared" si="28"/>
        <v>-11</v>
      </c>
      <c r="H1107" s="562"/>
      <c r="I1107" s="562"/>
      <c r="J1107" s="562"/>
    </row>
    <row r="1108" spans="1:10" hidden="1" x14ac:dyDescent="0.25">
      <c r="A1108" s="362">
        <v>14</v>
      </c>
      <c r="B1108" s="364">
        <v>44037</v>
      </c>
      <c r="C1108" s="362" t="s">
        <v>166</v>
      </c>
      <c r="D1108" s="562"/>
      <c r="E1108" s="562"/>
      <c r="F1108" s="562"/>
      <c r="G1108" s="562">
        <f t="shared" si="28"/>
        <v>0</v>
      </c>
      <c r="H1108" s="562"/>
      <c r="I1108" s="562"/>
      <c r="J1108" s="562"/>
    </row>
    <row r="1109" spans="1:10" hidden="1" x14ac:dyDescent="0.25">
      <c r="A1109" s="362">
        <v>15</v>
      </c>
      <c r="B1109" s="364">
        <v>44037</v>
      </c>
      <c r="C1109" s="362" t="s">
        <v>3435</v>
      </c>
      <c r="D1109" s="562"/>
      <c r="E1109" s="562"/>
      <c r="F1109" s="562"/>
      <c r="G1109" s="562">
        <f t="shared" si="28"/>
        <v>0</v>
      </c>
      <c r="H1109" s="562"/>
      <c r="I1109" s="562"/>
      <c r="J1109" s="562"/>
    </row>
    <row r="1110" spans="1:10" hidden="1" x14ac:dyDescent="0.25">
      <c r="A1110" s="532"/>
      <c r="B1110" s="591"/>
      <c r="C1110" s="532"/>
      <c r="D1110" s="564"/>
      <c r="E1110" s="564"/>
      <c r="F1110" s="564"/>
      <c r="G1110" s="564">
        <f t="shared" si="28"/>
        <v>0</v>
      </c>
      <c r="H1110" s="564"/>
      <c r="I1110" s="564"/>
      <c r="J1110" s="564"/>
    </row>
    <row r="1111" spans="1:10" hidden="1" x14ac:dyDescent="0.25">
      <c r="A1111" s="362">
        <v>1</v>
      </c>
      <c r="B1111" s="364">
        <v>44039</v>
      </c>
      <c r="C1111" s="362" t="s">
        <v>80</v>
      </c>
      <c r="D1111" s="562">
        <v>247546415</v>
      </c>
      <c r="E1111" s="562">
        <v>89920940</v>
      </c>
      <c r="F1111" s="562">
        <v>337468500</v>
      </c>
      <c r="G1111" s="562">
        <f t="shared" si="28"/>
        <v>-1145</v>
      </c>
      <c r="H1111" s="562">
        <v>28000082</v>
      </c>
      <c r="I1111" s="562"/>
      <c r="J1111" s="562"/>
    </row>
    <row r="1112" spans="1:10" hidden="1" x14ac:dyDescent="0.25">
      <c r="A1112" s="362">
        <v>2</v>
      </c>
      <c r="B1112" s="364">
        <v>44039</v>
      </c>
      <c r="C1112" s="362" t="s">
        <v>83</v>
      </c>
      <c r="D1112" s="562">
        <v>249075385</v>
      </c>
      <c r="E1112" s="562">
        <v>27177714</v>
      </c>
      <c r="F1112" s="562">
        <v>276253600</v>
      </c>
      <c r="G1112" s="562">
        <f t="shared" si="28"/>
        <v>-501</v>
      </c>
      <c r="H1112" s="562">
        <v>12907332</v>
      </c>
      <c r="I1112" s="562"/>
      <c r="J1112" s="562"/>
    </row>
    <row r="1113" spans="1:10" hidden="1" x14ac:dyDescent="0.25">
      <c r="A1113" s="362"/>
      <c r="B1113" s="364">
        <v>44039</v>
      </c>
      <c r="C1113" s="362" t="s">
        <v>88</v>
      </c>
      <c r="D1113" s="562">
        <v>222861027</v>
      </c>
      <c r="E1113" s="562">
        <v>2794684</v>
      </c>
      <c r="F1113" s="562">
        <v>225655800</v>
      </c>
      <c r="G1113" s="562">
        <f t="shared" si="28"/>
        <v>-89</v>
      </c>
      <c r="H1113" s="562">
        <v>11991801</v>
      </c>
      <c r="I1113" s="562"/>
      <c r="J1113" s="562"/>
    </row>
    <row r="1114" spans="1:10" hidden="1" x14ac:dyDescent="0.25">
      <c r="A1114" s="362">
        <v>4</v>
      </c>
      <c r="B1114" s="364">
        <v>44039</v>
      </c>
      <c r="C1114" s="362" t="s">
        <v>146</v>
      </c>
      <c r="D1114" s="562">
        <v>80067379</v>
      </c>
      <c r="E1114" s="562">
        <v>174725729</v>
      </c>
      <c r="F1114" s="562">
        <v>254793200</v>
      </c>
      <c r="G1114" s="562">
        <f t="shared" si="28"/>
        <v>-92</v>
      </c>
      <c r="H1114" s="562">
        <v>14600070</v>
      </c>
      <c r="I1114" s="562"/>
      <c r="J1114" s="562"/>
    </row>
    <row r="1115" spans="1:10" hidden="1" x14ac:dyDescent="0.25">
      <c r="A1115" s="362">
        <v>5</v>
      </c>
      <c r="B1115" s="364">
        <v>44039</v>
      </c>
      <c r="C1115" s="362" t="s">
        <v>86</v>
      </c>
      <c r="D1115" s="562">
        <v>43719550</v>
      </c>
      <c r="E1115" s="562">
        <v>14260155</v>
      </c>
      <c r="F1115" s="562">
        <v>57980300</v>
      </c>
      <c r="G1115" s="562">
        <f t="shared" si="28"/>
        <v>-595</v>
      </c>
      <c r="H1115" s="562">
        <v>569167</v>
      </c>
      <c r="I1115" s="562"/>
      <c r="J1115" s="562"/>
    </row>
    <row r="1116" spans="1:10" hidden="1" x14ac:dyDescent="0.25">
      <c r="A1116" s="362">
        <v>6</v>
      </c>
      <c r="B1116" s="364">
        <v>44039</v>
      </c>
      <c r="C1116" s="362" t="s">
        <v>89</v>
      </c>
      <c r="D1116" s="562">
        <v>153180100</v>
      </c>
      <c r="E1116" s="562">
        <v>4983500</v>
      </c>
      <c r="F1116" s="562">
        <v>158163600</v>
      </c>
      <c r="G1116" s="562">
        <f t="shared" si="28"/>
        <v>0</v>
      </c>
      <c r="H1116" s="562">
        <v>5893294</v>
      </c>
      <c r="I1116" s="562"/>
      <c r="J1116" s="562"/>
    </row>
    <row r="1117" spans="1:10" hidden="1" x14ac:dyDescent="0.25">
      <c r="A1117" s="362">
        <v>7</v>
      </c>
      <c r="B1117" s="364">
        <v>44039</v>
      </c>
      <c r="C1117" s="362" t="s">
        <v>4751</v>
      </c>
      <c r="D1117" s="562">
        <v>194775884</v>
      </c>
      <c r="E1117" s="562">
        <v>7635616</v>
      </c>
      <c r="F1117" s="562">
        <v>202411500</v>
      </c>
      <c r="G1117" s="562">
        <f t="shared" si="28"/>
        <v>0</v>
      </c>
      <c r="H1117" s="562">
        <v>938346</v>
      </c>
      <c r="I1117" s="562"/>
      <c r="J1117" s="562"/>
    </row>
    <row r="1118" spans="1:10" hidden="1" x14ac:dyDescent="0.25">
      <c r="A1118" s="362">
        <v>8</v>
      </c>
      <c r="B1118" s="364">
        <v>44039</v>
      </c>
      <c r="C1118" s="362" t="s">
        <v>84</v>
      </c>
      <c r="D1118" s="562">
        <v>229286248</v>
      </c>
      <c r="E1118" s="562">
        <v>6544498</v>
      </c>
      <c r="F1118" s="562">
        <v>235829100</v>
      </c>
      <c r="G1118" s="562">
        <f t="shared" si="28"/>
        <v>1646</v>
      </c>
      <c r="H1118" s="562">
        <v>3934201</v>
      </c>
      <c r="I1118" s="562"/>
      <c r="J1118" s="562"/>
    </row>
    <row r="1119" spans="1:10" hidden="1" x14ac:dyDescent="0.25">
      <c r="A1119" s="362">
        <v>9</v>
      </c>
      <c r="B1119" s="364">
        <v>44039</v>
      </c>
      <c r="C1119" s="362" t="s">
        <v>81</v>
      </c>
      <c r="D1119" s="562">
        <v>86913851</v>
      </c>
      <c r="E1119" s="562">
        <v>28629977</v>
      </c>
      <c r="F1119" s="562">
        <v>115543900</v>
      </c>
      <c r="G1119" s="562">
        <f t="shared" si="28"/>
        <v>-72</v>
      </c>
      <c r="H1119" s="562">
        <v>3321170</v>
      </c>
      <c r="I1119" s="562"/>
      <c r="J1119" s="562"/>
    </row>
    <row r="1120" spans="1:10" hidden="1" x14ac:dyDescent="0.25">
      <c r="A1120" s="362">
        <v>10</v>
      </c>
      <c r="B1120" s="364">
        <v>44039</v>
      </c>
      <c r="C1120" s="362" t="s">
        <v>79</v>
      </c>
      <c r="D1120" s="562">
        <v>36573604</v>
      </c>
      <c r="E1120" s="562">
        <v>1314594</v>
      </c>
      <c r="F1120" s="562">
        <v>37888200</v>
      </c>
      <c r="G1120" s="562">
        <f t="shared" si="28"/>
        <v>-2</v>
      </c>
      <c r="H1120" s="562">
        <v>1106016</v>
      </c>
      <c r="I1120" s="562"/>
      <c r="J1120" s="562"/>
    </row>
    <row r="1121" spans="1:10" hidden="1" x14ac:dyDescent="0.25">
      <c r="A1121" s="362">
        <v>11</v>
      </c>
      <c r="B1121" s="364">
        <v>44039</v>
      </c>
      <c r="C1121" s="362" t="s">
        <v>82</v>
      </c>
      <c r="D1121" s="562">
        <v>30611517</v>
      </c>
      <c r="E1121" s="562">
        <v>2266865</v>
      </c>
      <c r="F1121" s="562">
        <v>33670600</v>
      </c>
      <c r="G1121" s="562">
        <f t="shared" si="28"/>
        <v>-792218</v>
      </c>
      <c r="H1121" s="562">
        <v>2895352</v>
      </c>
      <c r="I1121" s="562"/>
      <c r="J1121" s="562"/>
    </row>
    <row r="1122" spans="1:10" hidden="1" x14ac:dyDescent="0.25">
      <c r="A1122" s="362">
        <v>12</v>
      </c>
      <c r="B1122" s="364">
        <v>44039</v>
      </c>
      <c r="C1122" s="362" t="s">
        <v>78</v>
      </c>
      <c r="D1122" s="562">
        <v>102824857</v>
      </c>
      <c r="E1122" s="562">
        <v>1497143</v>
      </c>
      <c r="F1122" s="562">
        <v>104322000</v>
      </c>
      <c r="G1122" s="562">
        <f t="shared" si="28"/>
        <v>0</v>
      </c>
      <c r="H1122" s="562">
        <v>361680</v>
      </c>
      <c r="I1122" s="562"/>
      <c r="J1122" s="562"/>
    </row>
    <row r="1123" spans="1:10" hidden="1" x14ac:dyDescent="0.25">
      <c r="A1123" s="362">
        <v>13</v>
      </c>
      <c r="B1123" s="364">
        <v>44039</v>
      </c>
      <c r="C1123" s="362" t="s">
        <v>85</v>
      </c>
      <c r="D1123" s="562">
        <v>51233900</v>
      </c>
      <c r="E1123" s="562"/>
      <c r="F1123" s="562">
        <v>51233900</v>
      </c>
      <c r="G1123" s="562">
        <f t="shared" si="28"/>
        <v>0</v>
      </c>
      <c r="H1123" s="562"/>
      <c r="I1123" s="562"/>
      <c r="J1123" s="562"/>
    </row>
    <row r="1124" spans="1:10" hidden="1" x14ac:dyDescent="0.25">
      <c r="A1124" s="362">
        <v>14</v>
      </c>
      <c r="B1124" s="364">
        <v>44039</v>
      </c>
      <c r="C1124" s="362" t="s">
        <v>166</v>
      </c>
      <c r="D1124" s="562">
        <v>42452215</v>
      </c>
      <c r="E1124" s="562"/>
      <c r="F1124" s="562">
        <v>42452200</v>
      </c>
      <c r="G1124" s="562">
        <f t="shared" si="28"/>
        <v>15</v>
      </c>
      <c r="H1124" s="562"/>
      <c r="I1124" s="562"/>
      <c r="J1124" s="562"/>
    </row>
    <row r="1125" spans="1:10" hidden="1" x14ac:dyDescent="0.25">
      <c r="A1125" s="362">
        <v>15</v>
      </c>
      <c r="B1125" s="364">
        <v>44039</v>
      </c>
      <c r="C1125" s="362" t="s">
        <v>3435</v>
      </c>
      <c r="D1125" s="562"/>
      <c r="E1125" s="562"/>
      <c r="F1125" s="562">
        <v>22618700</v>
      </c>
      <c r="G1125" s="562">
        <f t="shared" si="28"/>
        <v>-22618700</v>
      </c>
      <c r="H1125" s="562"/>
      <c r="I1125" s="562"/>
      <c r="J1125" s="562"/>
    </row>
    <row r="1126" spans="1:10" hidden="1" x14ac:dyDescent="0.25">
      <c r="A1126" s="532"/>
      <c r="B1126" s="591"/>
      <c r="C1126" s="532"/>
      <c r="D1126" s="564"/>
      <c r="E1126" s="564"/>
      <c r="F1126" s="564"/>
      <c r="G1126" s="564">
        <f t="shared" si="28"/>
        <v>0</v>
      </c>
      <c r="H1126" s="564"/>
      <c r="I1126" s="564"/>
      <c r="J1126" s="564"/>
    </row>
    <row r="1127" spans="1:10" hidden="1" x14ac:dyDescent="0.25">
      <c r="A1127" s="362">
        <v>1</v>
      </c>
      <c r="B1127" s="364">
        <v>44040</v>
      </c>
      <c r="C1127" s="362" t="s">
        <v>80</v>
      </c>
      <c r="D1127" s="562">
        <v>207492584</v>
      </c>
      <c r="E1127" s="562"/>
      <c r="F1127" s="562">
        <v>207351600</v>
      </c>
      <c r="G1127" s="562">
        <f t="shared" si="28"/>
        <v>140984</v>
      </c>
      <c r="H1127" s="562">
        <v>20317902</v>
      </c>
      <c r="I1127" s="562"/>
      <c r="J1127" s="562"/>
    </row>
    <row r="1128" spans="1:10" hidden="1" x14ac:dyDescent="0.25">
      <c r="A1128" s="362">
        <v>2</v>
      </c>
      <c r="B1128" s="364">
        <v>44040</v>
      </c>
      <c r="C1128" s="362" t="s">
        <v>83</v>
      </c>
      <c r="D1128" s="562">
        <v>222802980</v>
      </c>
      <c r="E1128" s="562">
        <v>11838362</v>
      </c>
      <c r="F1128" s="562">
        <v>234641400</v>
      </c>
      <c r="G1128" s="562">
        <f t="shared" si="28"/>
        <v>-58</v>
      </c>
      <c r="H1128" s="562">
        <v>8178577</v>
      </c>
      <c r="I1128" s="562"/>
      <c r="J1128" s="562"/>
    </row>
    <row r="1129" spans="1:10" hidden="1" x14ac:dyDescent="0.25">
      <c r="A1129" s="362">
        <v>3</v>
      </c>
      <c r="B1129" s="364">
        <v>44040</v>
      </c>
      <c r="C1129" s="362" t="s">
        <v>88</v>
      </c>
      <c r="D1129" s="562">
        <v>262456525</v>
      </c>
      <c r="E1129" s="562">
        <v>14643573</v>
      </c>
      <c r="F1129" s="562">
        <v>277100100</v>
      </c>
      <c r="G1129" s="562">
        <f t="shared" si="28"/>
        <v>-2</v>
      </c>
      <c r="H1129" s="562">
        <v>7829434</v>
      </c>
      <c r="I1129" s="562"/>
      <c r="J1129" s="562"/>
    </row>
    <row r="1130" spans="1:10" hidden="1" x14ac:dyDescent="0.25">
      <c r="A1130" s="362">
        <v>4</v>
      </c>
      <c r="B1130" s="364">
        <v>44040</v>
      </c>
      <c r="C1130" s="362" t="s">
        <v>146</v>
      </c>
      <c r="D1130" s="562">
        <v>111151525</v>
      </c>
      <c r="E1130" s="562">
        <v>92257147</v>
      </c>
      <c r="F1130" s="562">
        <v>203408700</v>
      </c>
      <c r="G1130" s="562">
        <f t="shared" si="28"/>
        <v>-28</v>
      </c>
      <c r="H1130" s="562">
        <v>13914070</v>
      </c>
      <c r="I1130" s="562"/>
      <c r="J1130" s="562"/>
    </row>
    <row r="1131" spans="1:10" hidden="1" x14ac:dyDescent="0.25">
      <c r="A1131" s="362">
        <v>5</v>
      </c>
      <c r="B1131" s="364">
        <v>44040</v>
      </c>
      <c r="C1131" s="362" t="s">
        <v>86</v>
      </c>
      <c r="D1131" s="562">
        <v>65696946</v>
      </c>
      <c r="E1131" s="562">
        <v>10321659</v>
      </c>
      <c r="F1131" s="562">
        <v>76018600</v>
      </c>
      <c r="G1131" s="562">
        <f t="shared" si="28"/>
        <v>5</v>
      </c>
      <c r="H1131" s="562">
        <v>6731581</v>
      </c>
      <c r="I1131" s="562"/>
      <c r="J1131" s="562"/>
    </row>
    <row r="1132" spans="1:10" hidden="1" x14ac:dyDescent="0.25">
      <c r="A1132" s="362">
        <v>6</v>
      </c>
      <c r="B1132" s="364">
        <v>44040</v>
      </c>
      <c r="C1132" s="362" t="s">
        <v>89</v>
      </c>
      <c r="D1132" s="562">
        <v>172682652</v>
      </c>
      <c r="E1132" s="562">
        <v>5140848</v>
      </c>
      <c r="F1132" s="562">
        <v>177823500</v>
      </c>
      <c r="G1132" s="562">
        <f t="shared" si="28"/>
        <v>0</v>
      </c>
      <c r="H1132" s="562">
        <v>8616645</v>
      </c>
      <c r="I1132" s="562"/>
      <c r="J1132" s="562"/>
    </row>
    <row r="1133" spans="1:10" hidden="1" x14ac:dyDescent="0.25">
      <c r="A1133" s="362">
        <v>7</v>
      </c>
      <c r="B1133" s="364">
        <v>44040</v>
      </c>
      <c r="C1133" s="362" t="s">
        <v>4751</v>
      </c>
      <c r="D1133" s="562">
        <v>184696207</v>
      </c>
      <c r="E1133" s="562">
        <v>15273993</v>
      </c>
      <c r="F1133" s="562">
        <v>199970200</v>
      </c>
      <c r="G1133" s="562">
        <f t="shared" si="28"/>
        <v>0</v>
      </c>
      <c r="H1133" s="562">
        <v>12450908</v>
      </c>
      <c r="I1133" s="562"/>
      <c r="J1133" s="562"/>
    </row>
    <row r="1134" spans="1:10" hidden="1" x14ac:dyDescent="0.25">
      <c r="A1134" s="362">
        <v>8</v>
      </c>
      <c r="B1134" s="364">
        <v>44040</v>
      </c>
      <c r="C1134" s="362" t="s">
        <v>84</v>
      </c>
      <c r="D1134" s="562">
        <v>191619656</v>
      </c>
      <c r="E1134" s="562">
        <v>14823889</v>
      </c>
      <c r="F1134" s="562">
        <v>206443600</v>
      </c>
      <c r="G1134" s="562">
        <f t="shared" si="28"/>
        <v>-55</v>
      </c>
      <c r="H1134" s="562">
        <v>24037165</v>
      </c>
      <c r="I1134" s="562"/>
      <c r="J1134" s="562"/>
    </row>
    <row r="1135" spans="1:10" hidden="1" x14ac:dyDescent="0.25">
      <c r="A1135" s="362">
        <v>9</v>
      </c>
      <c r="B1135" s="364">
        <v>44040</v>
      </c>
      <c r="C1135" s="362" t="s">
        <v>81</v>
      </c>
      <c r="D1135" s="562">
        <v>87118073</v>
      </c>
      <c r="E1135" s="562">
        <v>12068808</v>
      </c>
      <c r="F1135" s="562">
        <v>99186900</v>
      </c>
      <c r="G1135" s="562">
        <f t="shared" si="28"/>
        <v>-19</v>
      </c>
      <c r="H1135" s="562">
        <v>15039478</v>
      </c>
      <c r="I1135" s="562"/>
      <c r="J1135" s="562"/>
    </row>
    <row r="1136" spans="1:10" hidden="1" x14ac:dyDescent="0.25">
      <c r="A1136" s="362">
        <v>10</v>
      </c>
      <c r="B1136" s="364">
        <v>44040</v>
      </c>
      <c r="C1136" s="362" t="s">
        <v>79</v>
      </c>
      <c r="D1136" s="562">
        <v>85473281</v>
      </c>
      <c r="E1136" s="562">
        <v>704444</v>
      </c>
      <c r="F1136" s="562">
        <v>86177800</v>
      </c>
      <c r="G1136" s="562">
        <f t="shared" si="28"/>
        <v>-75</v>
      </c>
      <c r="H1136" s="562">
        <v>3872666</v>
      </c>
      <c r="I1136" s="562"/>
      <c r="J1136" s="562"/>
    </row>
    <row r="1137" spans="1:10" hidden="1" x14ac:dyDescent="0.25">
      <c r="A1137" s="362">
        <v>11</v>
      </c>
      <c r="B1137" s="364">
        <v>44040</v>
      </c>
      <c r="C1137" s="362" t="s">
        <v>82</v>
      </c>
      <c r="D1137" s="562">
        <v>52285931</v>
      </c>
      <c r="E1137" s="562">
        <v>5844500</v>
      </c>
      <c r="F1137" s="562">
        <v>58130500</v>
      </c>
      <c r="G1137" s="562">
        <f t="shared" si="28"/>
        <v>-69</v>
      </c>
      <c r="H1137" s="562">
        <v>6970246</v>
      </c>
      <c r="I1137" s="562"/>
      <c r="J1137" s="562"/>
    </row>
    <row r="1138" spans="1:10" hidden="1" x14ac:dyDescent="0.25">
      <c r="A1138" s="362">
        <v>12</v>
      </c>
      <c r="B1138" s="364">
        <v>44040</v>
      </c>
      <c r="C1138" s="362" t="s">
        <v>78</v>
      </c>
      <c r="D1138" s="562">
        <v>50938279</v>
      </c>
      <c r="E1138" s="562">
        <v>9319321</v>
      </c>
      <c r="F1138" s="562">
        <v>60257600</v>
      </c>
      <c r="G1138" s="562">
        <f t="shared" si="28"/>
        <v>0</v>
      </c>
      <c r="H1138" s="562">
        <v>8567014</v>
      </c>
      <c r="I1138" s="562"/>
      <c r="J1138" s="562"/>
    </row>
    <row r="1139" spans="1:10" hidden="1" x14ac:dyDescent="0.25">
      <c r="A1139" s="362">
        <v>13</v>
      </c>
      <c r="B1139" s="364">
        <v>44040</v>
      </c>
      <c r="C1139" s="362" t="s">
        <v>85</v>
      </c>
      <c r="D1139" s="562">
        <v>42795800</v>
      </c>
      <c r="E1139" s="562"/>
      <c r="F1139" s="562">
        <v>42795800</v>
      </c>
      <c r="G1139" s="562">
        <f t="shared" si="28"/>
        <v>0</v>
      </c>
      <c r="H1139" s="562"/>
      <c r="I1139" s="562"/>
      <c r="J1139" s="562"/>
    </row>
    <row r="1140" spans="1:10" hidden="1" x14ac:dyDescent="0.25">
      <c r="A1140" s="362">
        <v>14</v>
      </c>
      <c r="B1140" s="364">
        <v>44040</v>
      </c>
      <c r="C1140" s="362" t="s">
        <v>166</v>
      </c>
      <c r="D1140" s="562">
        <v>67092987</v>
      </c>
      <c r="E1140" s="562"/>
      <c r="F1140" s="562">
        <v>67093000</v>
      </c>
      <c r="G1140" s="562">
        <f t="shared" si="28"/>
        <v>-13</v>
      </c>
      <c r="H1140" s="562"/>
      <c r="I1140" s="562"/>
      <c r="J1140" s="562"/>
    </row>
    <row r="1141" spans="1:10" hidden="1" x14ac:dyDescent="0.25">
      <c r="A1141" s="362">
        <v>15</v>
      </c>
      <c r="B1141" s="364">
        <v>44040</v>
      </c>
      <c r="C1141" s="362" t="s">
        <v>3435</v>
      </c>
      <c r="D1141" s="562"/>
      <c r="E1141" s="562"/>
      <c r="F1141" s="562">
        <v>199831400</v>
      </c>
      <c r="G1141" s="562">
        <f t="shared" si="28"/>
        <v>-199831400</v>
      </c>
      <c r="H1141" s="562"/>
      <c r="I1141" s="562"/>
      <c r="J1141" s="562"/>
    </row>
    <row r="1142" spans="1:10" hidden="1" x14ac:dyDescent="0.25">
      <c r="A1142" s="532"/>
      <c r="B1142" s="591"/>
      <c r="C1142" s="532"/>
      <c r="D1142" s="564"/>
      <c r="E1142" s="564"/>
      <c r="F1142" s="564"/>
      <c r="G1142" s="562">
        <f t="shared" si="28"/>
        <v>0</v>
      </c>
      <c r="H1142" s="564"/>
      <c r="I1142" s="564"/>
      <c r="J1142" s="564"/>
    </row>
    <row r="1143" spans="1:10" hidden="1" x14ac:dyDescent="0.25">
      <c r="A1143" s="362">
        <v>1</v>
      </c>
      <c r="B1143" s="364">
        <v>44041</v>
      </c>
      <c r="C1143" s="362" t="s">
        <v>80</v>
      </c>
      <c r="D1143" s="562">
        <v>246614719</v>
      </c>
      <c r="E1143" s="562">
        <v>59557500</v>
      </c>
      <c r="F1143" s="562">
        <v>306330500</v>
      </c>
      <c r="G1143" s="562">
        <f t="shared" si="28"/>
        <v>-158281</v>
      </c>
      <c r="H1143" s="562">
        <v>20317902</v>
      </c>
      <c r="I1143" s="562"/>
      <c r="J1143" s="562"/>
    </row>
    <row r="1144" spans="1:10" hidden="1" x14ac:dyDescent="0.25">
      <c r="A1144" s="362">
        <v>2</v>
      </c>
      <c r="B1144" s="364">
        <v>44041</v>
      </c>
      <c r="C1144" s="362" t="s">
        <v>83</v>
      </c>
      <c r="D1144" s="562">
        <v>266094164</v>
      </c>
      <c r="E1144" s="562">
        <v>36389176</v>
      </c>
      <c r="F1144" s="562">
        <v>302283300</v>
      </c>
      <c r="G1144" s="562">
        <f t="shared" si="28"/>
        <v>200040</v>
      </c>
      <c r="H1144" s="562">
        <v>8178577</v>
      </c>
      <c r="I1144" s="562"/>
      <c r="J1144" s="562"/>
    </row>
    <row r="1145" spans="1:10" hidden="1" x14ac:dyDescent="0.25">
      <c r="A1145" s="362">
        <v>3</v>
      </c>
      <c r="B1145" s="364">
        <v>44041</v>
      </c>
      <c r="C1145" s="362" t="s">
        <v>88</v>
      </c>
      <c r="D1145" s="562">
        <v>251608609</v>
      </c>
      <c r="E1145" s="562">
        <v>6801301</v>
      </c>
      <c r="F1145" s="562">
        <v>258410000</v>
      </c>
      <c r="G1145" s="562">
        <f t="shared" si="28"/>
        <v>-90</v>
      </c>
      <c r="H1145" s="562">
        <v>2705220</v>
      </c>
      <c r="I1145" s="562"/>
      <c r="J1145" s="562"/>
    </row>
    <row r="1146" spans="1:10" hidden="1" x14ac:dyDescent="0.25">
      <c r="A1146" s="362">
        <v>4</v>
      </c>
      <c r="B1146" s="364">
        <v>44041</v>
      </c>
      <c r="C1146" s="362" t="s">
        <v>146</v>
      </c>
      <c r="D1146" s="562">
        <v>84810322</v>
      </c>
      <c r="E1146" s="562">
        <v>87179583</v>
      </c>
      <c r="F1146" s="562">
        <v>171990000</v>
      </c>
      <c r="G1146" s="562">
        <f t="shared" si="28"/>
        <v>-95</v>
      </c>
      <c r="H1146" s="562">
        <v>11318970</v>
      </c>
      <c r="I1146" s="562"/>
      <c r="J1146" s="562"/>
    </row>
    <row r="1147" spans="1:10" hidden="1" x14ac:dyDescent="0.25">
      <c r="A1147" s="362">
        <v>5</v>
      </c>
      <c r="B1147" s="364">
        <v>44041</v>
      </c>
      <c r="C1147" s="362" t="s">
        <v>86</v>
      </c>
      <c r="D1147" s="562">
        <v>88383757</v>
      </c>
      <c r="E1147" s="562">
        <v>18760002</v>
      </c>
      <c r="F1147" s="562">
        <v>107143700</v>
      </c>
      <c r="G1147" s="562">
        <f t="shared" si="28"/>
        <v>59</v>
      </c>
      <c r="H1147" s="562">
        <v>3919217</v>
      </c>
      <c r="I1147" s="562"/>
      <c r="J1147" s="562"/>
    </row>
    <row r="1148" spans="1:10" hidden="1" x14ac:dyDescent="0.25">
      <c r="A1148" s="362">
        <v>6</v>
      </c>
      <c r="B1148" s="364">
        <v>44041</v>
      </c>
      <c r="C1148" s="362" t="s">
        <v>89</v>
      </c>
      <c r="D1148" s="562">
        <v>164693800</v>
      </c>
      <c r="E1148" s="562">
        <v>2488200</v>
      </c>
      <c r="F1148" s="562">
        <v>167182000</v>
      </c>
      <c r="G1148" s="562">
        <f t="shared" si="28"/>
        <v>0</v>
      </c>
      <c r="H1148" s="562">
        <v>7822643</v>
      </c>
      <c r="I1148" s="562"/>
      <c r="J1148" s="562"/>
    </row>
    <row r="1149" spans="1:10" hidden="1" x14ac:dyDescent="0.25">
      <c r="A1149" s="362">
        <v>7</v>
      </c>
      <c r="B1149" s="364">
        <v>44041</v>
      </c>
      <c r="C1149" s="362" t="s">
        <v>4751</v>
      </c>
      <c r="D1149" s="562">
        <v>187491372</v>
      </c>
      <c r="E1149" s="562">
        <v>4570328</v>
      </c>
      <c r="F1149" s="562">
        <v>192061700</v>
      </c>
      <c r="G1149" s="562">
        <f t="shared" si="28"/>
        <v>0</v>
      </c>
      <c r="H1149" s="562">
        <v>5384441</v>
      </c>
      <c r="I1149" s="562"/>
      <c r="J1149" s="562"/>
    </row>
    <row r="1150" spans="1:10" hidden="1" x14ac:dyDescent="0.25">
      <c r="A1150" s="362">
        <v>8</v>
      </c>
      <c r="B1150" s="364">
        <v>44041</v>
      </c>
      <c r="C1150" s="362" t="s">
        <v>84</v>
      </c>
      <c r="D1150" s="562">
        <v>294161968</v>
      </c>
      <c r="E1150" s="562">
        <v>9632811</v>
      </c>
      <c r="F1150" s="562">
        <v>309487200</v>
      </c>
      <c r="G1150" s="562">
        <f t="shared" si="28"/>
        <v>-5692421</v>
      </c>
      <c r="H1150" s="562">
        <v>17451800</v>
      </c>
      <c r="I1150" s="562"/>
      <c r="J1150" s="562"/>
    </row>
    <row r="1151" spans="1:10" hidden="1" x14ac:dyDescent="0.25">
      <c r="A1151" s="362">
        <v>9</v>
      </c>
      <c r="B1151" s="364">
        <v>44041</v>
      </c>
      <c r="C1151" s="362" t="s">
        <v>81</v>
      </c>
      <c r="D1151" s="562">
        <v>107624935</v>
      </c>
      <c r="E1151" s="562">
        <v>7551682</v>
      </c>
      <c r="F1151" s="562">
        <v>115176700</v>
      </c>
      <c r="G1151" s="562">
        <f t="shared" si="28"/>
        <v>-83</v>
      </c>
      <c r="H1151" s="562">
        <v>12856178</v>
      </c>
      <c r="I1151" s="562"/>
      <c r="J1151" s="562"/>
    </row>
    <row r="1152" spans="1:10" hidden="1" x14ac:dyDescent="0.25">
      <c r="A1152" s="362">
        <v>10</v>
      </c>
      <c r="B1152" s="364">
        <v>44041</v>
      </c>
      <c r="C1152" s="362" t="s">
        <v>79</v>
      </c>
      <c r="D1152" s="562">
        <v>75807036</v>
      </c>
      <c r="E1152" s="562">
        <v>1061842</v>
      </c>
      <c r="F1152" s="562">
        <v>76868900</v>
      </c>
      <c r="G1152" s="562">
        <f t="shared" si="28"/>
        <v>-22</v>
      </c>
      <c r="H1152" s="562">
        <v>2589866</v>
      </c>
      <c r="I1152" s="562">
        <v>2589866</v>
      </c>
      <c r="J1152" s="562"/>
    </row>
    <row r="1153" spans="1:10" hidden="1" x14ac:dyDescent="0.25">
      <c r="A1153" s="362">
        <v>11</v>
      </c>
      <c r="B1153" s="364">
        <v>44041</v>
      </c>
      <c r="C1153" s="362" t="s">
        <v>82</v>
      </c>
      <c r="D1153" s="562">
        <v>103520858</v>
      </c>
      <c r="E1153" s="562"/>
      <c r="F1153" s="562">
        <v>103521000</v>
      </c>
      <c r="G1153" s="562">
        <f t="shared" si="28"/>
        <v>-142</v>
      </c>
      <c r="H1153" s="562">
        <v>4422648</v>
      </c>
      <c r="I1153" s="562">
        <v>4422648</v>
      </c>
      <c r="J1153" s="562"/>
    </row>
    <row r="1154" spans="1:10" hidden="1" x14ac:dyDescent="0.25">
      <c r="A1154" s="362">
        <v>12</v>
      </c>
      <c r="B1154" s="364">
        <v>44041</v>
      </c>
      <c r="C1154" s="362" t="s">
        <v>78</v>
      </c>
      <c r="D1154" s="562">
        <v>104927247</v>
      </c>
      <c r="E1154" s="562">
        <v>6088553</v>
      </c>
      <c r="F1154" s="562">
        <v>111015800</v>
      </c>
      <c r="G1154" s="562">
        <f t="shared" si="28"/>
        <v>0</v>
      </c>
      <c r="H1154" s="562">
        <v>6866864</v>
      </c>
      <c r="I1154" s="562"/>
      <c r="J1154" s="562"/>
    </row>
    <row r="1155" spans="1:10" hidden="1" x14ac:dyDescent="0.25">
      <c r="A1155" s="362">
        <v>13</v>
      </c>
      <c r="B1155" s="364">
        <v>44041</v>
      </c>
      <c r="C1155" s="362" t="s">
        <v>85</v>
      </c>
      <c r="D1155" s="562">
        <v>40197300</v>
      </c>
      <c r="E1155" s="562"/>
      <c r="F1155" s="562">
        <v>40197300</v>
      </c>
      <c r="G1155" s="562">
        <f t="shared" si="28"/>
        <v>0</v>
      </c>
      <c r="H1155" s="562"/>
      <c r="I1155" s="562"/>
      <c r="J1155" s="562"/>
    </row>
    <row r="1156" spans="1:10" hidden="1" x14ac:dyDescent="0.25">
      <c r="A1156" s="362">
        <v>14</v>
      </c>
      <c r="B1156" s="364">
        <v>44041</v>
      </c>
      <c r="C1156" s="362" t="s">
        <v>166</v>
      </c>
      <c r="D1156" s="562">
        <v>53513073</v>
      </c>
      <c r="E1156" s="562"/>
      <c r="F1156" s="562">
        <v>53513000</v>
      </c>
      <c r="G1156" s="562">
        <f t="shared" si="28"/>
        <v>73</v>
      </c>
      <c r="H1156" s="562"/>
      <c r="I1156" s="562"/>
      <c r="J1156" s="562"/>
    </row>
    <row r="1157" spans="1:10" hidden="1" x14ac:dyDescent="0.25">
      <c r="A1157" s="362">
        <v>15</v>
      </c>
      <c r="B1157" s="364">
        <v>44041</v>
      </c>
      <c r="C1157" s="362" t="s">
        <v>3435</v>
      </c>
      <c r="D1157" s="562"/>
      <c r="E1157" s="562"/>
      <c r="F1157" s="562">
        <v>55819200</v>
      </c>
      <c r="G1157" s="562">
        <f t="shared" si="28"/>
        <v>-55819200</v>
      </c>
      <c r="H1157" s="562"/>
      <c r="I1157" s="562"/>
      <c r="J1157" s="562"/>
    </row>
    <row r="1158" spans="1:10" hidden="1" x14ac:dyDescent="0.25">
      <c r="A1158" s="532"/>
      <c r="B1158" s="591"/>
      <c r="C1158" s="532"/>
      <c r="D1158" s="564"/>
      <c r="E1158" s="564"/>
      <c r="F1158" s="564"/>
      <c r="G1158" s="564">
        <f t="shared" si="28"/>
        <v>0</v>
      </c>
      <c r="H1158" s="564"/>
      <c r="I1158" s="564"/>
      <c r="J1158" s="564"/>
    </row>
    <row r="1159" spans="1:10" hidden="1" x14ac:dyDescent="0.25">
      <c r="A1159" s="362">
        <v>1</v>
      </c>
      <c r="B1159" s="364">
        <v>44042</v>
      </c>
      <c r="C1159" s="362" t="s">
        <v>80</v>
      </c>
      <c r="D1159" s="562">
        <v>257787938</v>
      </c>
      <c r="E1159" s="562"/>
      <c r="F1159" s="562">
        <v>257786500</v>
      </c>
      <c r="G1159" s="562">
        <f t="shared" ref="G1159:G1172" si="29">D1159+E1159-F1159</f>
        <v>1438</v>
      </c>
      <c r="H1159" s="562">
        <v>7349873</v>
      </c>
      <c r="I1159" s="562">
        <v>7349873</v>
      </c>
      <c r="J1159" s="562"/>
    </row>
    <row r="1160" spans="1:10" hidden="1" x14ac:dyDescent="0.25">
      <c r="A1160" s="362">
        <v>2</v>
      </c>
      <c r="B1160" s="364">
        <v>44042</v>
      </c>
      <c r="C1160" s="362" t="s">
        <v>83</v>
      </c>
      <c r="D1160" s="562">
        <v>324087526</v>
      </c>
      <c r="E1160" s="562">
        <v>19585350</v>
      </c>
      <c r="F1160" s="562">
        <v>343327600</v>
      </c>
      <c r="G1160" s="562">
        <f t="shared" si="29"/>
        <v>345276</v>
      </c>
      <c r="H1160" s="562">
        <v>8178577</v>
      </c>
      <c r="I1160" s="562">
        <v>6094478</v>
      </c>
      <c r="J1160" s="562"/>
    </row>
    <row r="1161" spans="1:10" hidden="1" x14ac:dyDescent="0.25">
      <c r="A1161" s="362">
        <v>3</v>
      </c>
      <c r="B1161" s="364">
        <v>44042</v>
      </c>
      <c r="C1161" s="362" t="s">
        <v>88</v>
      </c>
      <c r="D1161" s="562">
        <v>189275077</v>
      </c>
      <c r="E1161" s="562">
        <v>92813197</v>
      </c>
      <c r="F1161" s="562">
        <v>282088300</v>
      </c>
      <c r="G1161" s="562">
        <f t="shared" si="29"/>
        <v>-26</v>
      </c>
      <c r="H1161" s="562">
        <v>2008231</v>
      </c>
      <c r="I1161" s="562">
        <v>2008234</v>
      </c>
      <c r="J1161" s="562"/>
    </row>
    <row r="1162" spans="1:10" hidden="1" x14ac:dyDescent="0.25">
      <c r="A1162" s="362">
        <v>4</v>
      </c>
      <c r="B1162" s="364">
        <v>44042</v>
      </c>
      <c r="C1162" s="362" t="s">
        <v>146</v>
      </c>
      <c r="D1162" s="562">
        <v>87586573</v>
      </c>
      <c r="E1162" s="562">
        <v>122112079</v>
      </c>
      <c r="F1162" s="562">
        <v>209748900</v>
      </c>
      <c r="G1162" s="562">
        <f t="shared" si="29"/>
        <v>-50248</v>
      </c>
      <c r="H1162" s="562">
        <v>2795105</v>
      </c>
      <c r="I1162" s="562">
        <v>2795105</v>
      </c>
      <c r="J1162" s="562"/>
    </row>
    <row r="1163" spans="1:10" hidden="1" x14ac:dyDescent="0.25">
      <c r="A1163" s="362">
        <v>5</v>
      </c>
      <c r="B1163" s="364">
        <v>44042</v>
      </c>
      <c r="C1163" s="362" t="s">
        <v>86</v>
      </c>
      <c r="D1163" s="562">
        <v>127478585</v>
      </c>
      <c r="E1163" s="562">
        <v>44863296</v>
      </c>
      <c r="F1163" s="562">
        <v>172341700</v>
      </c>
      <c r="G1163" s="562">
        <f t="shared" si="29"/>
        <v>181</v>
      </c>
      <c r="H1163" s="562">
        <v>3919217</v>
      </c>
      <c r="I1163" s="562">
        <v>3919217</v>
      </c>
      <c r="J1163" s="562"/>
    </row>
    <row r="1164" spans="1:10" hidden="1" x14ac:dyDescent="0.25">
      <c r="A1164" s="362">
        <v>6</v>
      </c>
      <c r="B1164" s="364">
        <v>44042</v>
      </c>
      <c r="C1164" s="362" t="s">
        <v>89</v>
      </c>
      <c r="D1164" s="562">
        <v>161534434</v>
      </c>
      <c r="E1164" s="562">
        <v>2676266</v>
      </c>
      <c r="F1164" s="562">
        <v>164210700</v>
      </c>
      <c r="G1164" s="562">
        <f t="shared" si="29"/>
        <v>0</v>
      </c>
      <c r="H1164" s="562">
        <v>4044689</v>
      </c>
      <c r="I1164" s="562">
        <v>4044689</v>
      </c>
      <c r="J1164" s="562"/>
    </row>
    <row r="1165" spans="1:10" hidden="1" x14ac:dyDescent="0.25">
      <c r="A1165" s="362">
        <v>7</v>
      </c>
      <c r="B1165" s="364">
        <v>44042</v>
      </c>
      <c r="C1165" s="362" t="s">
        <v>4751</v>
      </c>
      <c r="D1165" s="562">
        <v>245715407</v>
      </c>
      <c r="E1165" s="562">
        <v>11453493</v>
      </c>
      <c r="F1165" s="562">
        <v>257168900</v>
      </c>
      <c r="G1165" s="562">
        <f t="shared" si="29"/>
        <v>0</v>
      </c>
      <c r="H1165" s="562">
        <v>4390455</v>
      </c>
      <c r="I1165" s="562">
        <v>4390455</v>
      </c>
      <c r="J1165" s="562"/>
    </row>
    <row r="1166" spans="1:10" hidden="1" x14ac:dyDescent="0.25">
      <c r="A1166" s="362">
        <v>8</v>
      </c>
      <c r="B1166" s="364">
        <v>44042</v>
      </c>
      <c r="C1166" s="362" t="s">
        <v>84</v>
      </c>
      <c r="D1166" s="562">
        <v>248132168</v>
      </c>
      <c r="E1166" s="562">
        <v>8843785</v>
      </c>
      <c r="F1166" s="562">
        <v>256975900</v>
      </c>
      <c r="G1166" s="562">
        <f t="shared" si="29"/>
        <v>53</v>
      </c>
      <c r="H1166" s="562">
        <v>3665048</v>
      </c>
      <c r="I1166" s="562">
        <v>3665048</v>
      </c>
      <c r="J1166" s="562"/>
    </row>
    <row r="1167" spans="1:10" hidden="1" x14ac:dyDescent="0.25">
      <c r="A1167" s="362">
        <v>9</v>
      </c>
      <c r="B1167" s="364">
        <v>44042</v>
      </c>
      <c r="C1167" s="362" t="s">
        <v>81</v>
      </c>
      <c r="D1167" s="562">
        <v>172167746</v>
      </c>
      <c r="E1167" s="562">
        <v>12350968</v>
      </c>
      <c r="F1167" s="562">
        <v>184518800</v>
      </c>
      <c r="G1167" s="562">
        <f t="shared" si="29"/>
        <v>-86</v>
      </c>
      <c r="H1167" s="562">
        <v>8256280</v>
      </c>
      <c r="I1167" s="562">
        <v>8256280</v>
      </c>
      <c r="J1167" s="562"/>
    </row>
    <row r="1168" spans="1:10" hidden="1" x14ac:dyDescent="0.25">
      <c r="A1168" s="362">
        <v>10</v>
      </c>
      <c r="B1168" s="364">
        <v>44042</v>
      </c>
      <c r="C1168" s="362" t="s">
        <v>79</v>
      </c>
      <c r="D1168" s="562">
        <v>85522430</v>
      </c>
      <c r="E1168" s="562">
        <v>2927865</v>
      </c>
      <c r="F1168" s="562">
        <v>88450300</v>
      </c>
      <c r="G1168" s="562">
        <f t="shared" si="29"/>
        <v>-5</v>
      </c>
      <c r="H1168" s="562">
        <v>2589866</v>
      </c>
      <c r="I1168" s="562"/>
      <c r="J1168" s="562"/>
    </row>
    <row r="1169" spans="1:10" hidden="1" x14ac:dyDescent="0.25">
      <c r="A1169" s="362">
        <v>11</v>
      </c>
      <c r="B1169" s="364">
        <v>44042</v>
      </c>
      <c r="C1169" s="362" t="s">
        <v>82</v>
      </c>
      <c r="D1169" s="562">
        <v>99181801</v>
      </c>
      <c r="E1169" s="562">
        <v>2488800</v>
      </c>
      <c r="F1169" s="562">
        <v>101670700</v>
      </c>
      <c r="G1169" s="562">
        <f t="shared" si="29"/>
        <v>-99</v>
      </c>
      <c r="H1169" s="562">
        <v>11422648</v>
      </c>
      <c r="I1169" s="562"/>
      <c r="J1169" s="562"/>
    </row>
    <row r="1170" spans="1:10" hidden="1" x14ac:dyDescent="0.25">
      <c r="A1170" s="362">
        <v>12</v>
      </c>
      <c r="B1170" s="364">
        <v>44042</v>
      </c>
      <c r="C1170" s="362" t="s">
        <v>78</v>
      </c>
      <c r="D1170" s="562">
        <v>176563039</v>
      </c>
      <c r="E1170" s="562">
        <v>6519861</v>
      </c>
      <c r="F1170" s="562">
        <v>183082900</v>
      </c>
      <c r="G1170" s="562">
        <f t="shared" si="29"/>
        <v>0</v>
      </c>
      <c r="H1170" s="562">
        <v>3561826</v>
      </c>
      <c r="I1170" s="562">
        <v>3567826</v>
      </c>
      <c r="J1170" s="562"/>
    </row>
    <row r="1171" spans="1:10" hidden="1" x14ac:dyDescent="0.25">
      <c r="A1171" s="362">
        <v>13</v>
      </c>
      <c r="B1171" s="364">
        <v>44042</v>
      </c>
      <c r="C1171" s="362" t="s">
        <v>85</v>
      </c>
      <c r="D1171" s="562">
        <v>34063300</v>
      </c>
      <c r="E1171" s="562"/>
      <c r="F1171" s="562">
        <v>34063300</v>
      </c>
      <c r="G1171" s="562">
        <f t="shared" si="29"/>
        <v>0</v>
      </c>
      <c r="H1171" s="562"/>
      <c r="I1171" s="562"/>
      <c r="J1171" s="562"/>
    </row>
    <row r="1172" spans="1:10" hidden="1" x14ac:dyDescent="0.25">
      <c r="A1172" s="362">
        <v>14</v>
      </c>
      <c r="B1172" s="364">
        <v>44042</v>
      </c>
      <c r="C1172" s="362" t="s">
        <v>166</v>
      </c>
      <c r="D1172" s="562"/>
      <c r="E1172" s="562"/>
      <c r="F1172" s="562"/>
      <c r="G1172" s="562">
        <f t="shared" si="29"/>
        <v>0</v>
      </c>
      <c r="H1172" s="562"/>
      <c r="I1172" s="562"/>
      <c r="J1172" s="562"/>
    </row>
    <row r="1173" spans="1:10" hidden="1" x14ac:dyDescent="0.25">
      <c r="A1173" s="362">
        <v>15</v>
      </c>
      <c r="B1173" s="364">
        <v>44042</v>
      </c>
      <c r="C1173" s="362" t="s">
        <v>3435</v>
      </c>
      <c r="D1173" s="562"/>
      <c r="E1173" s="562"/>
      <c r="F1173" s="562"/>
      <c r="G1173" s="562"/>
      <c r="H1173" s="562"/>
      <c r="I1173" s="562"/>
      <c r="J1173" s="562"/>
    </row>
    <row r="1174" spans="1:10" hidden="1" x14ac:dyDescent="0.25">
      <c r="A1174" s="532"/>
      <c r="B1174" s="532"/>
      <c r="C1174" s="532"/>
      <c r="D1174" s="564"/>
      <c r="E1174" s="564"/>
      <c r="F1174" s="564"/>
      <c r="G1174" s="564"/>
      <c r="H1174" s="564"/>
      <c r="I1174" s="564"/>
      <c r="J1174" s="564"/>
    </row>
    <row r="1175" spans="1:10" hidden="1" x14ac:dyDescent="0.25">
      <c r="A1175" s="362">
        <v>1</v>
      </c>
      <c r="B1175" s="364">
        <v>44044</v>
      </c>
      <c r="C1175" s="362" t="s">
        <v>80</v>
      </c>
      <c r="D1175" s="562">
        <v>179677648</v>
      </c>
      <c r="E1175" s="562">
        <v>22791952</v>
      </c>
      <c r="F1175" s="562"/>
      <c r="G1175" s="562"/>
      <c r="H1175" s="562"/>
      <c r="I1175" s="562"/>
      <c r="J1175" s="562"/>
    </row>
    <row r="1176" spans="1:10" hidden="1" x14ac:dyDescent="0.25">
      <c r="A1176" s="362">
        <v>2</v>
      </c>
      <c r="B1176" s="364">
        <v>44044</v>
      </c>
      <c r="C1176" s="362" t="s">
        <v>83</v>
      </c>
      <c r="D1176" s="562">
        <v>220775636</v>
      </c>
      <c r="E1176" s="562">
        <v>41827532</v>
      </c>
      <c r="F1176" s="562"/>
      <c r="G1176" s="562"/>
      <c r="H1176" s="562"/>
      <c r="I1176" s="562"/>
      <c r="J1176" s="562"/>
    </row>
    <row r="1177" spans="1:10" hidden="1" x14ac:dyDescent="0.25">
      <c r="A1177" s="362">
        <v>3</v>
      </c>
      <c r="B1177" s="364">
        <v>44044</v>
      </c>
      <c r="C1177" s="362" t="s">
        <v>88</v>
      </c>
      <c r="D1177" s="562">
        <v>247422692</v>
      </c>
      <c r="E1177" s="562">
        <v>39840602</v>
      </c>
      <c r="F1177" s="562"/>
      <c r="G1177" s="562"/>
      <c r="H1177" s="562"/>
      <c r="I1177" s="562"/>
      <c r="J1177" s="562"/>
    </row>
    <row r="1178" spans="1:10" hidden="1" x14ac:dyDescent="0.25">
      <c r="A1178" s="362">
        <v>4</v>
      </c>
      <c r="B1178" s="364">
        <v>44044</v>
      </c>
      <c r="C1178" s="362" t="s">
        <v>146</v>
      </c>
      <c r="D1178" s="562">
        <v>47755215</v>
      </c>
      <c r="E1178" s="562">
        <v>85005572</v>
      </c>
      <c r="F1178" s="562"/>
      <c r="G1178" s="562"/>
      <c r="H1178" s="562"/>
      <c r="I1178" s="562"/>
      <c r="J1178" s="562"/>
    </row>
    <row r="1179" spans="1:10" hidden="1" x14ac:dyDescent="0.25">
      <c r="A1179" s="362">
        <v>5</v>
      </c>
      <c r="B1179" s="364">
        <v>44044</v>
      </c>
      <c r="C1179" s="362" t="s">
        <v>86</v>
      </c>
      <c r="D1179" s="562">
        <v>68303102</v>
      </c>
      <c r="E1179" s="562">
        <v>3162898</v>
      </c>
      <c r="F1179" s="562"/>
      <c r="G1179" s="562"/>
      <c r="H1179" s="562"/>
      <c r="I1179" s="562"/>
      <c r="J1179" s="562"/>
    </row>
    <row r="1180" spans="1:10" hidden="1" x14ac:dyDescent="0.25">
      <c r="A1180" s="362">
        <v>6</v>
      </c>
      <c r="B1180" s="364">
        <v>44044</v>
      </c>
      <c r="C1180" s="362" t="s">
        <v>89</v>
      </c>
      <c r="D1180" s="562">
        <v>136202654</v>
      </c>
      <c r="E1180" s="562">
        <v>4270850</v>
      </c>
      <c r="F1180" s="562"/>
      <c r="G1180" s="562"/>
      <c r="H1180" s="562"/>
      <c r="I1180" s="562"/>
      <c r="J1180" s="562"/>
    </row>
    <row r="1181" spans="1:10" hidden="1" x14ac:dyDescent="0.25">
      <c r="A1181" s="362">
        <v>7</v>
      </c>
      <c r="B1181" s="364">
        <v>44044</v>
      </c>
      <c r="C1181" s="362" t="s">
        <v>4751</v>
      </c>
      <c r="D1181" s="562">
        <v>212804050</v>
      </c>
      <c r="E1181" s="562">
        <v>9277350</v>
      </c>
      <c r="F1181" s="562"/>
      <c r="G1181" s="562"/>
      <c r="H1181" s="562"/>
      <c r="I1181" s="562"/>
      <c r="J1181" s="562"/>
    </row>
    <row r="1182" spans="1:10" hidden="1" x14ac:dyDescent="0.25">
      <c r="A1182" s="362">
        <v>8</v>
      </c>
      <c r="B1182" s="364">
        <v>44044</v>
      </c>
      <c r="C1182" s="362" t="s">
        <v>84</v>
      </c>
      <c r="D1182" s="562">
        <v>188265719</v>
      </c>
      <c r="E1182" s="562">
        <v>48597893</v>
      </c>
      <c r="F1182" s="562"/>
      <c r="G1182" s="562"/>
      <c r="H1182" s="562"/>
      <c r="I1182" s="562"/>
      <c r="J1182" s="562"/>
    </row>
    <row r="1183" spans="1:10" hidden="1" x14ac:dyDescent="0.25">
      <c r="A1183" s="362">
        <v>9</v>
      </c>
      <c r="B1183" s="364">
        <v>44044</v>
      </c>
      <c r="C1183" s="362" t="s">
        <v>81</v>
      </c>
      <c r="D1183" s="562">
        <v>110137535</v>
      </c>
      <c r="E1183" s="562">
        <v>16732515</v>
      </c>
      <c r="F1183" s="562"/>
      <c r="G1183" s="562"/>
      <c r="H1183" s="562"/>
      <c r="I1183" s="562"/>
      <c r="J1183" s="562"/>
    </row>
    <row r="1184" spans="1:10" hidden="1" x14ac:dyDescent="0.25">
      <c r="A1184" s="362">
        <v>10</v>
      </c>
      <c r="B1184" s="364">
        <v>44044</v>
      </c>
      <c r="C1184" s="362" t="s">
        <v>79</v>
      </c>
      <c r="D1184" s="562">
        <v>59985852</v>
      </c>
      <c r="E1184" s="562">
        <v>2994944</v>
      </c>
      <c r="F1184" s="562"/>
      <c r="G1184" s="562"/>
      <c r="H1184" s="562"/>
      <c r="I1184" s="562"/>
      <c r="J1184" s="562"/>
    </row>
    <row r="1185" spans="1:10" hidden="1" x14ac:dyDescent="0.25">
      <c r="A1185" s="362">
        <v>11</v>
      </c>
      <c r="B1185" s="364">
        <v>44044</v>
      </c>
      <c r="C1185" s="362" t="s">
        <v>82</v>
      </c>
      <c r="D1185" s="562">
        <v>23809612</v>
      </c>
      <c r="E1185" s="562"/>
      <c r="F1185" s="562"/>
      <c r="G1185" s="562"/>
      <c r="H1185" s="562"/>
      <c r="I1185" s="562"/>
      <c r="J1185" s="562"/>
    </row>
    <row r="1186" spans="1:10" hidden="1" x14ac:dyDescent="0.25">
      <c r="A1186" s="362">
        <v>12</v>
      </c>
      <c r="B1186" s="364">
        <v>44044</v>
      </c>
      <c r="C1186" s="362" t="s">
        <v>78</v>
      </c>
      <c r="D1186" s="562">
        <v>113029570</v>
      </c>
      <c r="E1186" s="562">
        <v>5952430</v>
      </c>
      <c r="F1186" s="562"/>
      <c r="G1186" s="562"/>
      <c r="H1186" s="562"/>
      <c r="I1186" s="562"/>
      <c r="J1186" s="562"/>
    </row>
    <row r="1187" spans="1:10" hidden="1" x14ac:dyDescent="0.25">
      <c r="A1187" s="362">
        <v>13</v>
      </c>
      <c r="B1187" s="364">
        <v>44044</v>
      </c>
      <c r="C1187" s="362" t="s">
        <v>85</v>
      </c>
      <c r="D1187" s="562">
        <v>29287900</v>
      </c>
      <c r="E1187" s="562"/>
      <c r="F1187" s="562"/>
      <c r="G1187" s="562"/>
      <c r="H1187" s="562"/>
      <c r="I1187" s="562"/>
      <c r="J1187" s="562"/>
    </row>
    <row r="1188" spans="1:10" hidden="1" x14ac:dyDescent="0.25">
      <c r="A1188" s="362">
        <v>14</v>
      </c>
      <c r="B1188" s="364">
        <v>44044</v>
      </c>
      <c r="C1188" s="362" t="s">
        <v>166</v>
      </c>
      <c r="D1188" s="562"/>
      <c r="E1188" s="562"/>
      <c r="F1188" s="562"/>
      <c r="G1188" s="562"/>
      <c r="H1188" s="562"/>
      <c r="I1188" s="562"/>
      <c r="J1188" s="562"/>
    </row>
    <row r="1189" spans="1:10" hidden="1" x14ac:dyDescent="0.25">
      <c r="A1189" s="362">
        <v>15</v>
      </c>
      <c r="B1189" s="364">
        <v>44044</v>
      </c>
      <c r="C1189" s="362" t="s">
        <v>3435</v>
      </c>
      <c r="D1189" s="562"/>
      <c r="E1189" s="562"/>
      <c r="F1189" s="562"/>
      <c r="G1189" s="562"/>
      <c r="H1189" s="562"/>
      <c r="I1189" s="562"/>
      <c r="J1189" s="562"/>
    </row>
    <row r="1190" spans="1:10" hidden="1" x14ac:dyDescent="0.25">
      <c r="A1190" s="532"/>
      <c r="B1190" s="532"/>
      <c r="C1190" s="532"/>
      <c r="D1190" s="564"/>
      <c r="E1190" s="564"/>
      <c r="F1190" s="564"/>
      <c r="G1190" s="564"/>
      <c r="H1190" s="564"/>
      <c r="I1190" s="564"/>
      <c r="J1190" s="564"/>
    </row>
    <row r="1191" spans="1:10" hidden="1" x14ac:dyDescent="0.25">
      <c r="A1191" s="362">
        <v>1</v>
      </c>
      <c r="B1191" s="611">
        <v>44046</v>
      </c>
      <c r="C1191" s="362" t="s">
        <v>80</v>
      </c>
      <c r="D1191" s="562"/>
      <c r="E1191" s="562"/>
      <c r="F1191" s="562"/>
      <c r="G1191" s="562"/>
      <c r="H1191" s="562"/>
      <c r="I1191" s="562"/>
      <c r="J1191" s="562"/>
    </row>
    <row r="1192" spans="1:10" hidden="1" x14ac:dyDescent="0.25">
      <c r="A1192" s="362">
        <v>2</v>
      </c>
      <c r="B1192" s="611">
        <v>44046</v>
      </c>
      <c r="C1192" s="362" t="s">
        <v>83</v>
      </c>
      <c r="D1192" s="562"/>
      <c r="E1192" s="562"/>
      <c r="F1192" s="562"/>
      <c r="G1192" s="562"/>
      <c r="H1192" s="562"/>
      <c r="I1192" s="562"/>
      <c r="J1192" s="562"/>
    </row>
    <row r="1193" spans="1:10" hidden="1" x14ac:dyDescent="0.25">
      <c r="A1193" s="362">
        <v>3</v>
      </c>
      <c r="B1193" s="611">
        <v>44046</v>
      </c>
      <c r="C1193" s="362" t="s">
        <v>88</v>
      </c>
      <c r="D1193" s="562"/>
      <c r="E1193" s="562"/>
      <c r="F1193" s="562"/>
      <c r="G1193" s="562"/>
      <c r="H1193" s="562"/>
      <c r="I1193" s="562"/>
      <c r="J1193" s="562"/>
    </row>
    <row r="1194" spans="1:10" hidden="1" x14ac:dyDescent="0.25">
      <c r="A1194" s="362">
        <v>4</v>
      </c>
      <c r="B1194" s="611">
        <v>44046</v>
      </c>
      <c r="C1194" s="362" t="s">
        <v>146</v>
      </c>
      <c r="D1194" s="562"/>
      <c r="E1194" s="562"/>
      <c r="F1194" s="562"/>
      <c r="G1194" s="562"/>
      <c r="H1194" s="562"/>
      <c r="I1194" s="562"/>
      <c r="J1194" s="562"/>
    </row>
    <row r="1195" spans="1:10" hidden="1" x14ac:dyDescent="0.25">
      <c r="A1195" s="362">
        <v>5</v>
      </c>
      <c r="B1195" s="611">
        <v>44046</v>
      </c>
      <c r="C1195" s="362" t="s">
        <v>86</v>
      </c>
      <c r="D1195" s="562"/>
      <c r="E1195" s="562"/>
      <c r="F1195" s="562"/>
      <c r="G1195" s="562"/>
      <c r="H1195" s="562"/>
      <c r="I1195" s="562"/>
      <c r="J1195" s="562"/>
    </row>
    <row r="1196" spans="1:10" hidden="1" x14ac:dyDescent="0.25">
      <c r="A1196" s="362">
        <v>6</v>
      </c>
      <c r="B1196" s="611">
        <v>44046</v>
      </c>
      <c r="C1196" s="362" t="s">
        <v>89</v>
      </c>
      <c r="D1196" s="562"/>
      <c r="E1196" s="562"/>
      <c r="F1196" s="562"/>
      <c r="G1196" s="562"/>
      <c r="H1196" s="562"/>
      <c r="I1196" s="562"/>
      <c r="J1196" s="562"/>
    </row>
    <row r="1197" spans="1:10" hidden="1" x14ac:dyDescent="0.25">
      <c r="A1197" s="362">
        <v>7</v>
      </c>
      <c r="B1197" s="611">
        <v>44046</v>
      </c>
      <c r="C1197" s="362" t="s">
        <v>4751</v>
      </c>
      <c r="D1197" s="562"/>
      <c r="E1197" s="562"/>
      <c r="F1197" s="562"/>
      <c r="G1197" s="562"/>
      <c r="H1197" s="562"/>
      <c r="I1197" s="562"/>
      <c r="J1197" s="562"/>
    </row>
    <row r="1198" spans="1:10" hidden="1" x14ac:dyDescent="0.25">
      <c r="A1198" s="362">
        <v>8</v>
      </c>
      <c r="B1198" s="611">
        <v>44046</v>
      </c>
      <c r="C1198" s="362" t="s">
        <v>84</v>
      </c>
      <c r="D1198" s="562"/>
      <c r="E1198" s="562"/>
      <c r="F1198" s="562"/>
      <c r="G1198" s="562"/>
      <c r="H1198" s="562"/>
      <c r="I1198" s="562"/>
      <c r="J1198" s="562"/>
    </row>
    <row r="1199" spans="1:10" hidden="1" x14ac:dyDescent="0.25">
      <c r="A1199" s="362">
        <v>9</v>
      </c>
      <c r="B1199" s="611">
        <v>44046</v>
      </c>
      <c r="C1199" s="362" t="s">
        <v>81</v>
      </c>
      <c r="D1199" s="562"/>
      <c r="E1199" s="562"/>
      <c r="F1199" s="562"/>
      <c r="G1199" s="562"/>
      <c r="H1199" s="562"/>
      <c r="I1199" s="562"/>
      <c r="J1199" s="562"/>
    </row>
    <row r="1200" spans="1:10" hidden="1" x14ac:dyDescent="0.25">
      <c r="A1200" s="362">
        <v>10</v>
      </c>
      <c r="B1200" s="611">
        <v>44046</v>
      </c>
      <c r="C1200" s="362" t="s">
        <v>79</v>
      </c>
      <c r="D1200" s="562"/>
      <c r="E1200" s="562"/>
      <c r="F1200" s="562"/>
      <c r="G1200" s="562"/>
      <c r="H1200" s="562"/>
      <c r="I1200" s="562"/>
      <c r="J1200" s="562"/>
    </row>
    <row r="1201" spans="1:10" hidden="1" x14ac:dyDescent="0.25">
      <c r="A1201" s="362">
        <v>11</v>
      </c>
      <c r="B1201" s="611">
        <v>44046</v>
      </c>
      <c r="C1201" s="362" t="s">
        <v>82</v>
      </c>
      <c r="D1201" s="562"/>
      <c r="E1201" s="562"/>
      <c r="F1201" s="562"/>
      <c r="G1201" s="562"/>
      <c r="H1201" s="562"/>
      <c r="I1201" s="562"/>
      <c r="J1201" s="562"/>
    </row>
    <row r="1202" spans="1:10" hidden="1" x14ac:dyDescent="0.25">
      <c r="A1202" s="362">
        <v>12</v>
      </c>
      <c r="B1202" s="611">
        <v>44046</v>
      </c>
      <c r="C1202" s="362" t="s">
        <v>78</v>
      </c>
      <c r="D1202" s="562"/>
      <c r="E1202" s="562"/>
      <c r="F1202" s="562"/>
      <c r="G1202" s="562"/>
      <c r="H1202" s="562"/>
      <c r="I1202" s="562"/>
      <c r="J1202" s="562"/>
    </row>
    <row r="1203" spans="1:10" hidden="1" x14ac:dyDescent="0.25">
      <c r="A1203" s="362">
        <v>13</v>
      </c>
      <c r="B1203" s="611">
        <v>44046</v>
      </c>
      <c r="C1203" s="362" t="s">
        <v>85</v>
      </c>
      <c r="D1203" s="562"/>
      <c r="E1203" s="562"/>
      <c r="F1203" s="562"/>
      <c r="G1203" s="562"/>
      <c r="H1203" s="562"/>
      <c r="I1203" s="562"/>
      <c r="J1203" s="562"/>
    </row>
    <row r="1204" spans="1:10" hidden="1" x14ac:dyDescent="0.25">
      <c r="A1204" s="362">
        <v>14</v>
      </c>
      <c r="B1204" s="611">
        <v>44046</v>
      </c>
      <c r="C1204" s="362" t="s">
        <v>166</v>
      </c>
      <c r="D1204" s="562"/>
      <c r="E1204" s="562"/>
      <c r="F1204" s="562"/>
      <c r="G1204" s="562"/>
      <c r="H1204" s="562"/>
      <c r="I1204" s="562"/>
      <c r="J1204" s="562"/>
    </row>
    <row r="1205" spans="1:10" hidden="1" x14ac:dyDescent="0.25">
      <c r="A1205" s="362">
        <v>15</v>
      </c>
      <c r="B1205" s="611">
        <v>44046</v>
      </c>
      <c r="C1205" s="362" t="s">
        <v>3435</v>
      </c>
      <c r="D1205" s="562"/>
      <c r="E1205" s="562"/>
      <c r="F1205" s="562"/>
      <c r="G1205" s="562"/>
      <c r="H1205" s="562"/>
      <c r="I1205" s="562"/>
      <c r="J1205" s="562"/>
    </row>
    <row r="1206" spans="1:10" hidden="1" x14ac:dyDescent="0.25">
      <c r="A1206" s="532"/>
      <c r="B1206" s="532"/>
      <c r="C1206" s="532"/>
      <c r="D1206" s="564"/>
      <c r="E1206" s="564"/>
      <c r="F1206" s="564"/>
      <c r="G1206" s="564"/>
      <c r="H1206" s="564"/>
      <c r="I1206" s="564"/>
      <c r="J1206" s="564"/>
    </row>
    <row r="1207" spans="1:10" hidden="1" x14ac:dyDescent="0.25">
      <c r="A1207" s="362">
        <v>1</v>
      </c>
      <c r="B1207" s="611">
        <v>44047</v>
      </c>
      <c r="C1207" s="362" t="s">
        <v>80</v>
      </c>
      <c r="D1207" s="562"/>
      <c r="E1207" s="562"/>
      <c r="F1207" s="562"/>
      <c r="G1207" s="562"/>
      <c r="H1207" s="562"/>
      <c r="I1207" s="562"/>
      <c r="J1207" s="562"/>
    </row>
    <row r="1208" spans="1:10" hidden="1" x14ac:dyDescent="0.25">
      <c r="A1208" s="362">
        <v>2</v>
      </c>
      <c r="B1208" s="611">
        <v>44047</v>
      </c>
      <c r="C1208" s="362" t="s">
        <v>83</v>
      </c>
      <c r="D1208" s="562"/>
      <c r="E1208" s="562"/>
      <c r="F1208" s="562"/>
      <c r="G1208" s="562"/>
      <c r="H1208" s="562"/>
      <c r="I1208" s="562"/>
      <c r="J1208" s="562"/>
    </row>
    <row r="1209" spans="1:10" hidden="1" x14ac:dyDescent="0.25">
      <c r="A1209" s="362">
        <v>3</v>
      </c>
      <c r="B1209" s="611">
        <v>44047</v>
      </c>
      <c r="C1209" s="362" t="s">
        <v>88</v>
      </c>
      <c r="D1209" s="562"/>
      <c r="E1209" s="562"/>
      <c r="F1209" s="562"/>
      <c r="G1209" s="562"/>
      <c r="H1209" s="562"/>
      <c r="I1209" s="562"/>
      <c r="J1209" s="562"/>
    </row>
    <row r="1210" spans="1:10" hidden="1" x14ac:dyDescent="0.25">
      <c r="A1210" s="362">
        <v>4</v>
      </c>
      <c r="B1210" s="611">
        <v>44047</v>
      </c>
      <c r="C1210" s="362" t="s">
        <v>146</v>
      </c>
      <c r="D1210" s="562"/>
      <c r="E1210" s="562"/>
      <c r="F1210" s="562"/>
      <c r="G1210" s="562"/>
      <c r="H1210" s="562"/>
      <c r="I1210" s="562"/>
      <c r="J1210" s="562"/>
    </row>
    <row r="1211" spans="1:10" hidden="1" x14ac:dyDescent="0.25">
      <c r="A1211" s="362">
        <v>5</v>
      </c>
      <c r="B1211" s="611">
        <v>44047</v>
      </c>
      <c r="C1211" s="362" t="s">
        <v>86</v>
      </c>
      <c r="D1211" s="562"/>
      <c r="E1211" s="562"/>
      <c r="F1211" s="562"/>
      <c r="G1211" s="562"/>
      <c r="H1211" s="562"/>
      <c r="I1211" s="562"/>
      <c r="J1211" s="562"/>
    </row>
    <row r="1212" spans="1:10" hidden="1" x14ac:dyDescent="0.25">
      <c r="A1212" s="362">
        <v>6</v>
      </c>
      <c r="B1212" s="611">
        <v>44047</v>
      </c>
      <c r="C1212" s="362" t="s">
        <v>89</v>
      </c>
      <c r="D1212" s="562"/>
      <c r="E1212" s="562"/>
      <c r="F1212" s="562"/>
      <c r="G1212" s="562"/>
      <c r="H1212" s="562"/>
      <c r="I1212" s="562"/>
      <c r="J1212" s="562"/>
    </row>
    <row r="1213" spans="1:10" hidden="1" x14ac:dyDescent="0.25">
      <c r="A1213" s="362">
        <v>7</v>
      </c>
      <c r="B1213" s="611">
        <v>44047</v>
      </c>
      <c r="C1213" s="362" t="s">
        <v>4751</v>
      </c>
      <c r="D1213" s="562"/>
      <c r="E1213" s="562"/>
      <c r="F1213" s="562"/>
      <c r="G1213" s="562"/>
      <c r="H1213" s="562"/>
      <c r="I1213" s="562"/>
      <c r="J1213" s="562"/>
    </row>
    <row r="1214" spans="1:10" hidden="1" x14ac:dyDescent="0.25">
      <c r="A1214" s="362">
        <v>8</v>
      </c>
      <c r="B1214" s="611">
        <v>44047</v>
      </c>
      <c r="C1214" s="362" t="s">
        <v>84</v>
      </c>
      <c r="D1214" s="562"/>
      <c r="E1214" s="562"/>
      <c r="F1214" s="562"/>
      <c r="G1214" s="562"/>
      <c r="H1214" s="562"/>
      <c r="I1214" s="562"/>
      <c r="J1214" s="562"/>
    </row>
    <row r="1215" spans="1:10" hidden="1" x14ac:dyDescent="0.25">
      <c r="A1215" s="362">
        <v>9</v>
      </c>
      <c r="B1215" s="611">
        <v>44047</v>
      </c>
      <c r="C1215" s="362" t="s">
        <v>81</v>
      </c>
      <c r="D1215" s="562"/>
      <c r="E1215" s="562"/>
      <c r="F1215" s="562"/>
      <c r="G1215" s="562"/>
      <c r="H1215" s="562"/>
      <c r="I1215" s="562"/>
      <c r="J1215" s="562"/>
    </row>
    <row r="1216" spans="1:10" hidden="1" x14ac:dyDescent="0.25">
      <c r="A1216" s="362">
        <v>10</v>
      </c>
      <c r="B1216" s="611">
        <v>44047</v>
      </c>
      <c r="C1216" s="362" t="s">
        <v>79</v>
      </c>
      <c r="D1216" s="562"/>
      <c r="E1216" s="562"/>
      <c r="F1216" s="562"/>
      <c r="G1216" s="562"/>
      <c r="H1216" s="562"/>
      <c r="I1216" s="562"/>
      <c r="J1216" s="562"/>
    </row>
    <row r="1217" spans="1:10" hidden="1" x14ac:dyDescent="0.25">
      <c r="A1217" s="362">
        <v>11</v>
      </c>
      <c r="B1217" s="611">
        <v>44047</v>
      </c>
      <c r="C1217" s="362" t="s">
        <v>82</v>
      </c>
      <c r="D1217" s="562"/>
      <c r="E1217" s="562"/>
      <c r="F1217" s="562"/>
      <c r="G1217" s="562"/>
      <c r="H1217" s="562"/>
      <c r="I1217" s="562"/>
      <c r="J1217" s="562"/>
    </row>
    <row r="1218" spans="1:10" hidden="1" x14ac:dyDescent="0.25">
      <c r="A1218" s="362">
        <v>12</v>
      </c>
      <c r="B1218" s="611">
        <v>44047</v>
      </c>
      <c r="C1218" s="362" t="s">
        <v>78</v>
      </c>
      <c r="D1218" s="562"/>
      <c r="E1218" s="562"/>
      <c r="F1218" s="562"/>
      <c r="G1218" s="562"/>
      <c r="H1218" s="562"/>
      <c r="I1218" s="562"/>
      <c r="J1218" s="562"/>
    </row>
    <row r="1219" spans="1:10" hidden="1" x14ac:dyDescent="0.25">
      <c r="A1219" s="362">
        <v>13</v>
      </c>
      <c r="B1219" s="611">
        <v>44047</v>
      </c>
      <c r="C1219" s="362" t="s">
        <v>85</v>
      </c>
      <c r="D1219" s="562"/>
      <c r="E1219" s="562"/>
      <c r="F1219" s="562"/>
      <c r="G1219" s="562"/>
      <c r="H1219" s="562"/>
      <c r="I1219" s="562"/>
      <c r="J1219" s="562"/>
    </row>
    <row r="1220" spans="1:10" hidden="1" x14ac:dyDescent="0.25">
      <c r="A1220" s="362">
        <v>14</v>
      </c>
      <c r="B1220" s="611">
        <v>44047</v>
      </c>
      <c r="C1220" s="362" t="s">
        <v>166</v>
      </c>
      <c r="D1220" s="562"/>
      <c r="E1220" s="562"/>
      <c r="F1220" s="562"/>
      <c r="G1220" s="562"/>
      <c r="H1220" s="562"/>
      <c r="I1220" s="562"/>
      <c r="J1220" s="562"/>
    </row>
    <row r="1221" spans="1:10" hidden="1" x14ac:dyDescent="0.25">
      <c r="A1221" s="362">
        <v>15</v>
      </c>
      <c r="B1221" s="611">
        <v>44047</v>
      </c>
      <c r="C1221" s="362" t="s">
        <v>3435</v>
      </c>
      <c r="D1221" s="562"/>
      <c r="E1221" s="562"/>
      <c r="F1221" s="562"/>
      <c r="G1221" s="562"/>
      <c r="H1221" s="562"/>
      <c r="I1221" s="562"/>
      <c r="J1221" s="562"/>
    </row>
    <row r="1222" spans="1:10" hidden="1" x14ac:dyDescent="0.25">
      <c r="A1222" s="532"/>
      <c r="B1222" s="532"/>
      <c r="C1222" s="532"/>
      <c r="D1222" s="564"/>
      <c r="E1222" s="564"/>
      <c r="F1222" s="564"/>
      <c r="G1222" s="564"/>
      <c r="H1222" s="564"/>
      <c r="I1222" s="564"/>
      <c r="J1222" s="564"/>
    </row>
    <row r="1223" spans="1:10" hidden="1" x14ac:dyDescent="0.25">
      <c r="A1223" s="362">
        <v>1</v>
      </c>
      <c r="B1223" s="611">
        <v>44048</v>
      </c>
      <c r="C1223" s="362" t="s">
        <v>80</v>
      </c>
      <c r="D1223" s="562"/>
      <c r="E1223" s="562"/>
      <c r="F1223" s="562"/>
      <c r="G1223" s="562"/>
      <c r="H1223" s="562"/>
      <c r="I1223" s="562"/>
      <c r="J1223" s="562"/>
    </row>
    <row r="1224" spans="1:10" hidden="1" x14ac:dyDescent="0.25">
      <c r="A1224" s="362">
        <v>2</v>
      </c>
      <c r="B1224" s="611">
        <v>44048</v>
      </c>
      <c r="C1224" s="362" t="s">
        <v>83</v>
      </c>
      <c r="D1224" s="562"/>
      <c r="E1224" s="562"/>
      <c r="F1224" s="562"/>
      <c r="G1224" s="562"/>
      <c r="H1224" s="562"/>
      <c r="I1224" s="562"/>
      <c r="J1224" s="562"/>
    </row>
    <row r="1225" spans="1:10" hidden="1" x14ac:dyDescent="0.25">
      <c r="A1225" s="362">
        <v>3</v>
      </c>
      <c r="B1225" s="611">
        <v>44048</v>
      </c>
      <c r="C1225" s="362" t="s">
        <v>88</v>
      </c>
      <c r="D1225" s="562"/>
      <c r="E1225" s="562"/>
      <c r="F1225" s="562"/>
      <c r="G1225" s="562"/>
      <c r="H1225" s="562"/>
      <c r="I1225" s="562"/>
      <c r="J1225" s="562"/>
    </row>
    <row r="1226" spans="1:10" hidden="1" x14ac:dyDescent="0.25">
      <c r="A1226" s="362">
        <v>4</v>
      </c>
      <c r="B1226" s="611">
        <v>44048</v>
      </c>
      <c r="C1226" s="362" t="s">
        <v>146</v>
      </c>
      <c r="D1226" s="562"/>
      <c r="E1226" s="562"/>
      <c r="F1226" s="562"/>
      <c r="G1226" s="562"/>
      <c r="H1226" s="562"/>
      <c r="I1226" s="562"/>
      <c r="J1226" s="562"/>
    </row>
    <row r="1227" spans="1:10" hidden="1" x14ac:dyDescent="0.25">
      <c r="A1227" s="362">
        <v>5</v>
      </c>
      <c r="B1227" s="611">
        <v>44048</v>
      </c>
      <c r="C1227" s="362" t="s">
        <v>86</v>
      </c>
      <c r="D1227" s="562"/>
      <c r="E1227" s="562"/>
      <c r="F1227" s="562"/>
      <c r="G1227" s="562"/>
      <c r="H1227" s="562"/>
      <c r="I1227" s="562"/>
      <c r="J1227" s="562"/>
    </row>
    <row r="1228" spans="1:10" hidden="1" x14ac:dyDescent="0.25">
      <c r="A1228" s="362">
        <v>6</v>
      </c>
      <c r="B1228" s="611">
        <v>44048</v>
      </c>
      <c r="C1228" s="362" t="s">
        <v>89</v>
      </c>
      <c r="D1228" s="562"/>
      <c r="E1228" s="562"/>
      <c r="F1228" s="562"/>
      <c r="G1228" s="562"/>
      <c r="H1228" s="562"/>
      <c r="I1228" s="562"/>
      <c r="J1228" s="562"/>
    </row>
    <row r="1229" spans="1:10" hidden="1" x14ac:dyDescent="0.25">
      <c r="A1229" s="362">
        <v>7</v>
      </c>
      <c r="B1229" s="611">
        <v>44048</v>
      </c>
      <c r="C1229" s="362" t="s">
        <v>4751</v>
      </c>
      <c r="D1229" s="562"/>
      <c r="E1229" s="562"/>
      <c r="F1229" s="562"/>
      <c r="G1229" s="562"/>
      <c r="H1229" s="562"/>
      <c r="I1229" s="562"/>
      <c r="J1229" s="562"/>
    </row>
    <row r="1230" spans="1:10" hidden="1" x14ac:dyDescent="0.25">
      <c r="A1230" s="362">
        <v>8</v>
      </c>
      <c r="B1230" s="611">
        <v>44048</v>
      </c>
      <c r="C1230" s="362" t="s">
        <v>84</v>
      </c>
      <c r="D1230" s="562"/>
      <c r="E1230" s="562"/>
      <c r="F1230" s="562"/>
      <c r="G1230" s="562"/>
      <c r="H1230" s="562"/>
      <c r="I1230" s="562"/>
      <c r="J1230" s="562"/>
    </row>
    <row r="1231" spans="1:10" hidden="1" x14ac:dyDescent="0.25">
      <c r="A1231" s="362">
        <v>9</v>
      </c>
      <c r="B1231" s="611">
        <v>44048</v>
      </c>
      <c r="C1231" s="362" t="s">
        <v>81</v>
      </c>
      <c r="D1231" s="562"/>
      <c r="E1231" s="562"/>
      <c r="F1231" s="562"/>
      <c r="G1231" s="562"/>
      <c r="H1231" s="562"/>
      <c r="I1231" s="562"/>
      <c r="J1231" s="562"/>
    </row>
    <row r="1232" spans="1:10" hidden="1" x14ac:dyDescent="0.25">
      <c r="A1232" s="362">
        <v>10</v>
      </c>
      <c r="B1232" s="611">
        <v>44048</v>
      </c>
      <c r="C1232" s="362" t="s">
        <v>79</v>
      </c>
      <c r="D1232" s="562"/>
      <c r="E1232" s="562"/>
      <c r="F1232" s="562"/>
      <c r="G1232" s="562"/>
      <c r="H1232" s="562"/>
      <c r="I1232" s="562"/>
      <c r="J1232" s="562"/>
    </row>
    <row r="1233" spans="1:10" hidden="1" x14ac:dyDescent="0.25">
      <c r="A1233" s="362">
        <v>11</v>
      </c>
      <c r="B1233" s="611">
        <v>44048</v>
      </c>
      <c r="C1233" s="362" t="s">
        <v>82</v>
      </c>
      <c r="D1233" s="562"/>
      <c r="E1233" s="562"/>
      <c r="F1233" s="562"/>
      <c r="G1233" s="562"/>
      <c r="H1233" s="562"/>
      <c r="I1233" s="562"/>
      <c r="J1233" s="562"/>
    </row>
    <row r="1234" spans="1:10" hidden="1" x14ac:dyDescent="0.25">
      <c r="A1234" s="362">
        <v>12</v>
      </c>
      <c r="B1234" s="611">
        <v>44048</v>
      </c>
      <c r="C1234" s="362" t="s">
        <v>78</v>
      </c>
      <c r="D1234" s="562"/>
      <c r="E1234" s="562"/>
      <c r="F1234" s="562"/>
      <c r="G1234" s="562"/>
      <c r="H1234" s="562"/>
      <c r="I1234" s="562"/>
      <c r="J1234" s="562"/>
    </row>
    <row r="1235" spans="1:10" hidden="1" x14ac:dyDescent="0.25">
      <c r="A1235" s="362">
        <v>13</v>
      </c>
      <c r="B1235" s="611">
        <v>44048</v>
      </c>
      <c r="C1235" s="362" t="s">
        <v>85</v>
      </c>
      <c r="D1235" s="562"/>
      <c r="E1235" s="562"/>
      <c r="F1235" s="562"/>
      <c r="G1235" s="562"/>
      <c r="H1235" s="562"/>
      <c r="I1235" s="562"/>
      <c r="J1235" s="562"/>
    </row>
    <row r="1236" spans="1:10" hidden="1" x14ac:dyDescent="0.25">
      <c r="A1236" s="362">
        <v>14</v>
      </c>
      <c r="B1236" s="611">
        <v>44048</v>
      </c>
      <c r="C1236" s="362" t="s">
        <v>166</v>
      </c>
      <c r="D1236" s="562"/>
      <c r="E1236" s="562"/>
      <c r="F1236" s="562"/>
      <c r="G1236" s="562"/>
      <c r="H1236" s="562"/>
      <c r="I1236" s="562"/>
      <c r="J1236" s="562"/>
    </row>
    <row r="1237" spans="1:10" hidden="1" x14ac:dyDescent="0.25">
      <c r="A1237" s="362">
        <v>15</v>
      </c>
      <c r="B1237" s="611">
        <v>44048</v>
      </c>
      <c r="C1237" s="362" t="s">
        <v>3435</v>
      </c>
      <c r="D1237" s="562"/>
      <c r="E1237" s="562"/>
      <c r="F1237" s="562"/>
      <c r="G1237" s="562"/>
      <c r="H1237" s="562"/>
      <c r="I1237" s="562"/>
      <c r="J1237" s="562"/>
    </row>
    <row r="1238" spans="1:10" hidden="1" x14ac:dyDescent="0.25">
      <c r="A1238" s="532"/>
      <c r="B1238" s="532"/>
      <c r="C1238" s="532"/>
      <c r="D1238" s="564"/>
      <c r="E1238" s="564"/>
      <c r="F1238" s="564"/>
      <c r="G1238" s="564"/>
      <c r="H1238" s="564"/>
      <c r="I1238" s="564"/>
      <c r="J1238" s="564"/>
    </row>
    <row r="1239" spans="1:10" hidden="1" x14ac:dyDescent="0.25">
      <c r="A1239" s="362">
        <v>1</v>
      </c>
      <c r="B1239" s="611">
        <v>44049</v>
      </c>
      <c r="C1239" s="362" t="s">
        <v>80</v>
      </c>
      <c r="D1239" s="562"/>
      <c r="E1239" s="562"/>
      <c r="F1239" s="562"/>
      <c r="G1239" s="562"/>
      <c r="H1239" s="562"/>
      <c r="I1239" s="562">
        <v>5764452</v>
      </c>
      <c r="J1239" s="562"/>
    </row>
    <row r="1240" spans="1:10" hidden="1" x14ac:dyDescent="0.25">
      <c r="A1240" s="362">
        <v>2</v>
      </c>
      <c r="B1240" s="611">
        <v>44049</v>
      </c>
      <c r="C1240" s="362" t="s">
        <v>83</v>
      </c>
      <c r="D1240" s="562"/>
      <c r="E1240" s="562"/>
      <c r="F1240" s="562"/>
      <c r="G1240" s="562"/>
      <c r="H1240" s="562"/>
      <c r="I1240" s="562">
        <v>3140867</v>
      </c>
      <c r="J1240" s="562"/>
    </row>
    <row r="1241" spans="1:10" hidden="1" x14ac:dyDescent="0.25">
      <c r="A1241" s="362">
        <v>3</v>
      </c>
      <c r="B1241" s="611">
        <v>44049</v>
      </c>
      <c r="C1241" s="362" t="s">
        <v>88</v>
      </c>
      <c r="D1241" s="562"/>
      <c r="E1241" s="562"/>
      <c r="F1241" s="562"/>
      <c r="G1241" s="562"/>
      <c r="H1241" s="562"/>
      <c r="I1241" s="562">
        <v>2116949</v>
      </c>
      <c r="J1241" s="562"/>
    </row>
    <row r="1242" spans="1:10" hidden="1" x14ac:dyDescent="0.25">
      <c r="A1242" s="362">
        <v>4</v>
      </c>
      <c r="B1242" s="611">
        <v>44049</v>
      </c>
      <c r="C1242" s="362" t="s">
        <v>146</v>
      </c>
      <c r="D1242" s="562"/>
      <c r="E1242" s="562"/>
      <c r="F1242" s="562"/>
      <c r="G1242" s="562"/>
      <c r="H1242" s="562"/>
      <c r="I1242" s="562"/>
      <c r="J1242" s="562"/>
    </row>
    <row r="1243" spans="1:10" hidden="1" x14ac:dyDescent="0.25">
      <c r="A1243" s="362">
        <v>5</v>
      </c>
      <c r="B1243" s="611">
        <v>44049</v>
      </c>
      <c r="C1243" s="362" t="s">
        <v>86</v>
      </c>
      <c r="D1243" s="562"/>
      <c r="E1243" s="562"/>
      <c r="F1243" s="562"/>
      <c r="G1243" s="562"/>
      <c r="H1243" s="562"/>
      <c r="I1243" s="562"/>
      <c r="J1243" s="562"/>
    </row>
    <row r="1244" spans="1:10" hidden="1" x14ac:dyDescent="0.25">
      <c r="A1244" s="362">
        <v>6</v>
      </c>
      <c r="B1244" s="611">
        <v>44049</v>
      </c>
      <c r="C1244" s="362" t="s">
        <v>89</v>
      </c>
      <c r="D1244" s="562"/>
      <c r="E1244" s="562"/>
      <c r="F1244" s="562"/>
      <c r="G1244" s="562"/>
      <c r="H1244" s="562"/>
      <c r="I1244" s="562"/>
      <c r="J1244" s="562"/>
    </row>
    <row r="1245" spans="1:10" hidden="1" x14ac:dyDescent="0.25">
      <c r="A1245" s="362">
        <v>7</v>
      </c>
      <c r="B1245" s="611">
        <v>44049</v>
      </c>
      <c r="C1245" s="362" t="s">
        <v>4751</v>
      </c>
      <c r="D1245" s="562"/>
      <c r="E1245" s="562"/>
      <c r="F1245" s="562"/>
      <c r="G1245" s="562"/>
      <c r="H1245" s="562"/>
      <c r="I1245" s="562"/>
      <c r="J1245" s="562"/>
    </row>
    <row r="1246" spans="1:10" hidden="1" x14ac:dyDescent="0.25">
      <c r="A1246" s="362">
        <v>8</v>
      </c>
      <c r="B1246" s="611">
        <v>44049</v>
      </c>
      <c r="C1246" s="362" t="s">
        <v>84</v>
      </c>
      <c r="D1246" s="562"/>
      <c r="E1246" s="562"/>
      <c r="F1246" s="562"/>
      <c r="G1246" s="562"/>
      <c r="H1246" s="562"/>
      <c r="I1246" s="562">
        <v>2292101</v>
      </c>
      <c r="J1246" s="562"/>
    </row>
    <row r="1247" spans="1:10" hidden="1" x14ac:dyDescent="0.25">
      <c r="A1247" s="362">
        <v>9</v>
      </c>
      <c r="B1247" s="611">
        <v>44049</v>
      </c>
      <c r="C1247" s="362" t="s">
        <v>81</v>
      </c>
      <c r="D1247" s="562"/>
      <c r="E1247" s="562"/>
      <c r="F1247" s="562"/>
      <c r="G1247" s="562"/>
      <c r="H1247" s="562"/>
      <c r="I1247" s="562"/>
      <c r="J1247" s="562"/>
    </row>
    <row r="1248" spans="1:10" hidden="1" x14ac:dyDescent="0.25">
      <c r="A1248" s="362">
        <v>10</v>
      </c>
      <c r="B1248" s="611">
        <v>44049</v>
      </c>
      <c r="C1248" s="362" t="s">
        <v>79</v>
      </c>
      <c r="D1248" s="562"/>
      <c r="E1248" s="562"/>
      <c r="F1248" s="562"/>
      <c r="G1248" s="562"/>
      <c r="H1248" s="562"/>
      <c r="I1248" s="562">
        <v>727613</v>
      </c>
      <c r="J1248" s="562"/>
    </row>
    <row r="1249" spans="1:10" hidden="1" x14ac:dyDescent="0.25">
      <c r="A1249" s="362">
        <v>11</v>
      </c>
      <c r="B1249" s="611">
        <v>44049</v>
      </c>
      <c r="C1249" s="362" t="s">
        <v>82</v>
      </c>
      <c r="D1249" s="562"/>
      <c r="E1249" s="562"/>
      <c r="F1249" s="562"/>
      <c r="G1249" s="562"/>
      <c r="H1249" s="562"/>
      <c r="I1249" s="562">
        <v>4372394</v>
      </c>
      <c r="J1249" s="562"/>
    </row>
    <row r="1250" spans="1:10" hidden="1" x14ac:dyDescent="0.25">
      <c r="A1250" s="362">
        <v>12</v>
      </c>
      <c r="B1250" s="611">
        <v>44049</v>
      </c>
      <c r="C1250" s="362" t="s">
        <v>78</v>
      </c>
      <c r="D1250" s="562"/>
      <c r="E1250" s="562"/>
      <c r="F1250" s="562"/>
      <c r="G1250" s="562"/>
      <c r="H1250" s="562"/>
      <c r="I1250" s="562">
        <v>2725875</v>
      </c>
      <c r="J1250" s="562"/>
    </row>
    <row r="1251" spans="1:10" hidden="1" x14ac:dyDescent="0.25">
      <c r="A1251" s="362">
        <v>13</v>
      </c>
      <c r="B1251" s="611">
        <v>44049</v>
      </c>
      <c r="C1251" s="362" t="s">
        <v>85</v>
      </c>
      <c r="D1251" s="562"/>
      <c r="E1251" s="562"/>
      <c r="F1251" s="562"/>
      <c r="G1251" s="562"/>
      <c r="H1251" s="562"/>
      <c r="I1251" s="562"/>
      <c r="J1251" s="562"/>
    </row>
    <row r="1252" spans="1:10" hidden="1" x14ac:dyDescent="0.25">
      <c r="A1252" s="362">
        <v>14</v>
      </c>
      <c r="B1252" s="611">
        <v>44049</v>
      </c>
      <c r="C1252" s="362" t="s">
        <v>166</v>
      </c>
      <c r="D1252" s="562"/>
      <c r="E1252" s="562"/>
      <c r="F1252" s="562"/>
      <c r="G1252" s="562"/>
      <c r="H1252" s="562"/>
      <c r="I1252" s="562"/>
      <c r="J1252" s="562"/>
    </row>
    <row r="1253" spans="1:10" hidden="1" x14ac:dyDescent="0.25">
      <c r="A1253" s="362">
        <v>15</v>
      </c>
      <c r="B1253" s="611">
        <v>44049</v>
      </c>
      <c r="C1253" s="362" t="s">
        <v>3435</v>
      </c>
      <c r="D1253" s="562"/>
      <c r="E1253" s="562"/>
      <c r="F1253" s="562"/>
      <c r="G1253" s="562"/>
      <c r="H1253" s="562"/>
      <c r="I1253" s="562"/>
      <c r="J1253" s="562"/>
    </row>
    <row r="1254" spans="1:10" hidden="1" x14ac:dyDescent="0.25">
      <c r="A1254" s="532"/>
      <c r="B1254" s="532"/>
      <c r="C1254" s="532"/>
      <c r="D1254" s="564"/>
      <c r="E1254" s="564"/>
      <c r="F1254" s="564"/>
      <c r="G1254" s="564"/>
      <c r="H1254" s="564"/>
      <c r="I1254" s="564"/>
      <c r="J1254" s="564"/>
    </row>
    <row r="1255" spans="1:10" hidden="1" x14ac:dyDescent="0.25">
      <c r="A1255" s="362">
        <v>1</v>
      </c>
      <c r="B1255" s="611">
        <v>44050</v>
      </c>
      <c r="C1255" s="362" t="s">
        <v>80</v>
      </c>
      <c r="D1255" s="562"/>
      <c r="E1255" s="562"/>
      <c r="F1255" s="562"/>
      <c r="G1255" s="562"/>
      <c r="H1255" s="562"/>
      <c r="I1255" s="562">
        <v>1909890</v>
      </c>
      <c r="J1255" s="562"/>
    </row>
    <row r="1256" spans="1:10" hidden="1" x14ac:dyDescent="0.25">
      <c r="A1256" s="362">
        <v>2</v>
      </c>
      <c r="B1256" s="611">
        <v>44050</v>
      </c>
      <c r="C1256" s="362" t="s">
        <v>83</v>
      </c>
      <c r="D1256" s="562"/>
      <c r="E1256" s="562"/>
      <c r="F1256" s="562"/>
      <c r="G1256" s="562"/>
      <c r="H1256" s="562"/>
      <c r="I1256" s="562"/>
      <c r="J1256" s="562"/>
    </row>
    <row r="1257" spans="1:10" hidden="1" x14ac:dyDescent="0.25">
      <c r="A1257" s="362">
        <v>3</v>
      </c>
      <c r="B1257" s="611">
        <v>44050</v>
      </c>
      <c r="C1257" s="362" t="s">
        <v>88</v>
      </c>
      <c r="D1257" s="562"/>
      <c r="E1257" s="562"/>
      <c r="F1257" s="562"/>
      <c r="G1257" s="562"/>
      <c r="H1257" s="562"/>
      <c r="I1257" s="562"/>
      <c r="J1257" s="562"/>
    </row>
    <row r="1258" spans="1:10" hidden="1" x14ac:dyDescent="0.25">
      <c r="A1258" s="362">
        <v>4</v>
      </c>
      <c r="B1258" s="611">
        <v>44050</v>
      </c>
      <c r="C1258" s="362" t="s">
        <v>146</v>
      </c>
      <c r="D1258" s="562"/>
      <c r="E1258" s="562"/>
      <c r="F1258" s="562"/>
      <c r="G1258" s="562"/>
      <c r="H1258" s="562"/>
      <c r="I1258" s="562">
        <v>1174621</v>
      </c>
      <c r="J1258" s="562"/>
    </row>
    <row r="1259" spans="1:10" hidden="1" x14ac:dyDescent="0.25">
      <c r="A1259" s="362">
        <v>5</v>
      </c>
      <c r="B1259" s="611">
        <v>44050</v>
      </c>
      <c r="C1259" s="362" t="s">
        <v>86</v>
      </c>
      <c r="D1259" s="562"/>
      <c r="E1259" s="562"/>
      <c r="F1259" s="562"/>
      <c r="G1259" s="562"/>
      <c r="H1259" s="562"/>
      <c r="I1259" s="562">
        <v>145397</v>
      </c>
      <c r="J1259" s="562"/>
    </row>
    <row r="1260" spans="1:10" hidden="1" x14ac:dyDescent="0.25">
      <c r="A1260" s="362">
        <v>6</v>
      </c>
      <c r="B1260" s="611">
        <v>44050</v>
      </c>
      <c r="C1260" s="362" t="s">
        <v>89</v>
      </c>
      <c r="D1260" s="562"/>
      <c r="E1260" s="562"/>
      <c r="F1260" s="562"/>
      <c r="G1260" s="562"/>
      <c r="H1260" s="562"/>
      <c r="I1260" s="562">
        <v>1448567</v>
      </c>
      <c r="J1260" s="562"/>
    </row>
    <row r="1261" spans="1:10" hidden="1" x14ac:dyDescent="0.25">
      <c r="A1261" s="362">
        <v>7</v>
      </c>
      <c r="B1261" s="611">
        <v>44050</v>
      </c>
      <c r="C1261" s="362" t="s">
        <v>4751</v>
      </c>
      <c r="D1261" s="562"/>
      <c r="E1261" s="562"/>
      <c r="F1261" s="562"/>
      <c r="G1261" s="562"/>
      <c r="H1261" s="562"/>
      <c r="I1261" s="562"/>
      <c r="J1261" s="562"/>
    </row>
    <row r="1262" spans="1:10" hidden="1" x14ac:dyDescent="0.25">
      <c r="A1262" s="362">
        <v>8</v>
      </c>
      <c r="B1262" s="611">
        <v>44050</v>
      </c>
      <c r="C1262" s="362" t="s">
        <v>84</v>
      </c>
      <c r="D1262" s="562"/>
      <c r="E1262" s="562"/>
      <c r="F1262" s="562"/>
      <c r="G1262" s="562"/>
      <c r="H1262" s="562"/>
      <c r="I1262" s="562"/>
      <c r="J1262" s="562"/>
    </row>
    <row r="1263" spans="1:10" hidden="1" x14ac:dyDescent="0.25">
      <c r="A1263" s="362">
        <v>9</v>
      </c>
      <c r="B1263" s="611">
        <v>44050</v>
      </c>
      <c r="C1263" s="362" t="s">
        <v>81</v>
      </c>
      <c r="D1263" s="562"/>
      <c r="E1263" s="562"/>
      <c r="F1263" s="562"/>
      <c r="G1263" s="562"/>
      <c r="H1263" s="562"/>
      <c r="I1263" s="562">
        <v>4092990</v>
      </c>
      <c r="J1263" s="562"/>
    </row>
    <row r="1264" spans="1:10" hidden="1" x14ac:dyDescent="0.25">
      <c r="A1264" s="362">
        <v>10</v>
      </c>
      <c r="B1264" s="611">
        <v>44050</v>
      </c>
      <c r="C1264" s="362" t="s">
        <v>79</v>
      </c>
      <c r="D1264" s="562"/>
      <c r="E1264" s="562"/>
      <c r="F1264" s="562"/>
      <c r="G1264" s="562"/>
      <c r="H1264" s="562"/>
      <c r="I1264" s="562"/>
      <c r="J1264" s="562"/>
    </row>
    <row r="1265" spans="1:10" hidden="1" x14ac:dyDescent="0.25">
      <c r="A1265" s="362">
        <v>11</v>
      </c>
      <c r="B1265" s="611">
        <v>44050</v>
      </c>
      <c r="C1265" s="362" t="s">
        <v>82</v>
      </c>
      <c r="D1265" s="562"/>
      <c r="E1265" s="562"/>
      <c r="F1265" s="562"/>
      <c r="G1265" s="562"/>
      <c r="H1265" s="562"/>
      <c r="I1265" s="562"/>
      <c r="J1265" s="562"/>
    </row>
    <row r="1266" spans="1:10" hidden="1" x14ac:dyDescent="0.25">
      <c r="A1266" s="362">
        <v>12</v>
      </c>
      <c r="B1266" s="611">
        <v>44050</v>
      </c>
      <c r="C1266" s="362" t="s">
        <v>78</v>
      </c>
      <c r="D1266" s="562"/>
      <c r="E1266" s="562"/>
      <c r="F1266" s="562"/>
      <c r="G1266" s="562"/>
      <c r="H1266" s="562"/>
      <c r="I1266" s="562"/>
      <c r="J1266" s="562"/>
    </row>
    <row r="1267" spans="1:10" hidden="1" x14ac:dyDescent="0.25">
      <c r="A1267" s="362">
        <v>13</v>
      </c>
      <c r="B1267" s="611">
        <v>44050</v>
      </c>
      <c r="C1267" s="362" t="s">
        <v>85</v>
      </c>
      <c r="D1267" s="562"/>
      <c r="E1267" s="562"/>
      <c r="F1267" s="562"/>
      <c r="G1267" s="562"/>
      <c r="H1267" s="562"/>
      <c r="I1267" s="562"/>
      <c r="J1267" s="562"/>
    </row>
    <row r="1268" spans="1:10" hidden="1" x14ac:dyDescent="0.25">
      <c r="A1268" s="362">
        <v>14</v>
      </c>
      <c r="B1268" s="611">
        <v>44050</v>
      </c>
      <c r="C1268" s="362" t="s">
        <v>166</v>
      </c>
      <c r="D1268" s="562"/>
      <c r="E1268" s="562"/>
      <c r="F1268" s="562"/>
      <c r="G1268" s="562"/>
      <c r="H1268" s="562"/>
      <c r="I1268" s="562"/>
      <c r="J1268" s="562"/>
    </row>
    <row r="1269" spans="1:10" hidden="1" x14ac:dyDescent="0.25">
      <c r="A1269" s="362">
        <v>15</v>
      </c>
      <c r="B1269" s="611">
        <v>44050</v>
      </c>
      <c r="C1269" s="362" t="s">
        <v>3435</v>
      </c>
      <c r="D1269" s="562"/>
      <c r="E1269" s="562"/>
      <c r="F1269" s="562"/>
      <c r="G1269" s="562"/>
      <c r="H1269" s="562"/>
      <c r="I1269" s="562"/>
      <c r="J1269" s="562"/>
    </row>
    <row r="1270" spans="1:10" hidden="1" x14ac:dyDescent="0.25">
      <c r="A1270" s="532"/>
      <c r="B1270" s="532"/>
      <c r="C1270" s="532"/>
      <c r="D1270" s="564"/>
      <c r="E1270" s="564"/>
      <c r="F1270" s="564"/>
      <c r="G1270" s="564"/>
      <c r="H1270" s="564"/>
      <c r="I1270" s="564"/>
      <c r="J1270" s="564"/>
    </row>
    <row r="1271" spans="1:10" hidden="1" x14ac:dyDescent="0.25">
      <c r="A1271" s="362">
        <v>1</v>
      </c>
      <c r="B1271" s="611">
        <v>44051</v>
      </c>
      <c r="C1271" s="362" t="s">
        <v>80</v>
      </c>
      <c r="D1271" s="562"/>
      <c r="E1271" s="562"/>
      <c r="F1271" s="562"/>
      <c r="G1271" s="562"/>
      <c r="H1271" s="562"/>
      <c r="I1271" s="562"/>
      <c r="J1271" s="562"/>
    </row>
    <row r="1272" spans="1:10" hidden="1" x14ac:dyDescent="0.25">
      <c r="A1272" s="362">
        <v>2</v>
      </c>
      <c r="B1272" s="611">
        <v>44051</v>
      </c>
      <c r="C1272" s="362" t="s">
        <v>83</v>
      </c>
      <c r="D1272" s="562"/>
      <c r="E1272" s="562"/>
      <c r="F1272" s="562"/>
      <c r="G1272" s="562"/>
      <c r="H1272" s="562"/>
      <c r="I1272" s="562"/>
      <c r="J1272" s="562"/>
    </row>
    <row r="1273" spans="1:10" hidden="1" x14ac:dyDescent="0.25">
      <c r="A1273" s="362">
        <v>3</v>
      </c>
      <c r="B1273" s="611">
        <v>44051</v>
      </c>
      <c r="C1273" s="362" t="s">
        <v>88</v>
      </c>
      <c r="D1273" s="562"/>
      <c r="E1273" s="562"/>
      <c r="F1273" s="562"/>
      <c r="G1273" s="562"/>
      <c r="H1273" s="562"/>
      <c r="I1273" s="562"/>
      <c r="J1273" s="562"/>
    </row>
    <row r="1274" spans="1:10" hidden="1" x14ac:dyDescent="0.25">
      <c r="A1274" s="362">
        <v>4</v>
      </c>
      <c r="B1274" s="611">
        <v>44051</v>
      </c>
      <c r="C1274" s="362" t="s">
        <v>146</v>
      </c>
      <c r="D1274" s="562"/>
      <c r="E1274" s="562"/>
      <c r="F1274" s="562"/>
      <c r="G1274" s="562"/>
      <c r="H1274" s="562"/>
      <c r="I1274" s="562"/>
      <c r="J1274" s="562"/>
    </row>
    <row r="1275" spans="1:10" hidden="1" x14ac:dyDescent="0.25">
      <c r="A1275" s="362">
        <v>5</v>
      </c>
      <c r="B1275" s="611">
        <v>44051</v>
      </c>
      <c r="C1275" s="362" t="s">
        <v>86</v>
      </c>
      <c r="D1275" s="562"/>
      <c r="E1275" s="562"/>
      <c r="F1275" s="562"/>
      <c r="G1275" s="562"/>
      <c r="H1275" s="562"/>
      <c r="I1275" s="562"/>
      <c r="J1275" s="562"/>
    </row>
    <row r="1276" spans="1:10" hidden="1" x14ac:dyDescent="0.25">
      <c r="A1276" s="362">
        <v>6</v>
      </c>
      <c r="B1276" s="611">
        <v>44051</v>
      </c>
      <c r="C1276" s="362" t="s">
        <v>89</v>
      </c>
      <c r="D1276" s="562"/>
      <c r="E1276" s="562"/>
      <c r="F1276" s="562"/>
      <c r="G1276" s="562"/>
      <c r="H1276" s="562"/>
      <c r="I1276" s="562"/>
      <c r="J1276" s="562"/>
    </row>
    <row r="1277" spans="1:10" hidden="1" x14ac:dyDescent="0.25">
      <c r="A1277" s="362">
        <v>7</v>
      </c>
      <c r="B1277" s="611">
        <v>44051</v>
      </c>
      <c r="C1277" s="362" t="s">
        <v>4751</v>
      </c>
      <c r="D1277" s="562"/>
      <c r="E1277" s="562"/>
      <c r="F1277" s="562"/>
      <c r="G1277" s="562"/>
      <c r="H1277" s="562"/>
      <c r="I1277" s="562"/>
      <c r="J1277" s="562"/>
    </row>
    <row r="1278" spans="1:10" hidden="1" x14ac:dyDescent="0.25">
      <c r="A1278" s="362">
        <v>8</v>
      </c>
      <c r="B1278" s="611">
        <v>44051</v>
      </c>
      <c r="C1278" s="362" t="s">
        <v>84</v>
      </c>
      <c r="D1278" s="562"/>
      <c r="E1278" s="562"/>
      <c r="F1278" s="562"/>
      <c r="G1278" s="562"/>
      <c r="H1278" s="562"/>
      <c r="I1278" s="562"/>
      <c r="J1278" s="562"/>
    </row>
    <row r="1279" spans="1:10" hidden="1" x14ac:dyDescent="0.25">
      <c r="A1279" s="362">
        <v>9</v>
      </c>
      <c r="B1279" s="611">
        <v>44051</v>
      </c>
      <c r="C1279" s="362" t="s">
        <v>81</v>
      </c>
      <c r="D1279" s="562"/>
      <c r="E1279" s="562"/>
      <c r="F1279" s="562"/>
      <c r="G1279" s="562"/>
      <c r="H1279" s="562"/>
      <c r="I1279" s="562"/>
      <c r="J1279" s="562"/>
    </row>
    <row r="1280" spans="1:10" hidden="1" x14ac:dyDescent="0.25">
      <c r="A1280" s="362">
        <v>10</v>
      </c>
      <c r="B1280" s="611">
        <v>44051</v>
      </c>
      <c r="C1280" s="362" t="s">
        <v>79</v>
      </c>
      <c r="D1280" s="562"/>
      <c r="E1280" s="562"/>
      <c r="F1280" s="562"/>
      <c r="G1280" s="562"/>
      <c r="H1280" s="562"/>
      <c r="I1280" s="562"/>
      <c r="J1280" s="562"/>
    </row>
    <row r="1281" spans="1:10" hidden="1" x14ac:dyDescent="0.25">
      <c r="A1281" s="362">
        <v>11</v>
      </c>
      <c r="B1281" s="611">
        <v>44051</v>
      </c>
      <c r="C1281" s="362" t="s">
        <v>82</v>
      </c>
      <c r="D1281" s="562"/>
      <c r="E1281" s="562"/>
      <c r="F1281" s="562"/>
      <c r="G1281" s="562"/>
      <c r="H1281" s="562"/>
      <c r="I1281" s="562"/>
      <c r="J1281" s="562"/>
    </row>
    <row r="1282" spans="1:10" hidden="1" x14ac:dyDescent="0.25">
      <c r="A1282" s="362">
        <v>12</v>
      </c>
      <c r="B1282" s="611">
        <v>44051</v>
      </c>
      <c r="C1282" s="362" t="s">
        <v>78</v>
      </c>
      <c r="D1282" s="562"/>
      <c r="E1282" s="562"/>
      <c r="F1282" s="562"/>
      <c r="G1282" s="562"/>
      <c r="H1282" s="562"/>
      <c r="I1282" s="562"/>
      <c r="J1282" s="562"/>
    </row>
    <row r="1283" spans="1:10" hidden="1" x14ac:dyDescent="0.25">
      <c r="A1283" s="362">
        <v>13</v>
      </c>
      <c r="B1283" s="611">
        <v>44051</v>
      </c>
      <c r="C1283" s="362" t="s">
        <v>85</v>
      </c>
      <c r="D1283" s="562"/>
      <c r="E1283" s="562"/>
      <c r="F1283" s="562"/>
      <c r="G1283" s="562"/>
      <c r="H1283" s="562"/>
      <c r="I1283" s="562"/>
      <c r="J1283" s="562"/>
    </row>
    <row r="1284" spans="1:10" hidden="1" x14ac:dyDescent="0.25">
      <c r="A1284" s="362">
        <v>14</v>
      </c>
      <c r="B1284" s="611">
        <v>44051</v>
      </c>
      <c r="C1284" s="362" t="s">
        <v>166</v>
      </c>
      <c r="D1284" s="562"/>
      <c r="E1284" s="562"/>
      <c r="F1284" s="562"/>
      <c r="G1284" s="562"/>
      <c r="H1284" s="562"/>
      <c r="I1284" s="562"/>
      <c r="J1284" s="562"/>
    </row>
    <row r="1285" spans="1:10" hidden="1" x14ac:dyDescent="0.25">
      <c r="A1285" s="362">
        <v>15</v>
      </c>
      <c r="B1285" s="611">
        <v>44051</v>
      </c>
      <c r="C1285" s="362" t="s">
        <v>3435</v>
      </c>
      <c r="D1285" s="562"/>
      <c r="E1285" s="562"/>
      <c r="F1285" s="562"/>
      <c r="G1285" s="562"/>
      <c r="H1285" s="562"/>
      <c r="I1285" s="562"/>
      <c r="J1285" s="562"/>
    </row>
    <row r="1286" spans="1:10" hidden="1" x14ac:dyDescent="0.25">
      <c r="A1286" s="532"/>
      <c r="B1286" s="532"/>
      <c r="C1286" s="532"/>
      <c r="D1286" s="564"/>
      <c r="E1286" s="564"/>
      <c r="F1286" s="564"/>
      <c r="G1286" s="564"/>
      <c r="H1286" s="564"/>
      <c r="I1286" s="564"/>
      <c r="J1286" s="564"/>
    </row>
    <row r="1287" spans="1:10" hidden="1" x14ac:dyDescent="0.25">
      <c r="A1287" s="362">
        <v>1</v>
      </c>
      <c r="B1287" s="611">
        <v>44053</v>
      </c>
      <c r="C1287" s="362" t="s">
        <v>80</v>
      </c>
      <c r="D1287" s="562"/>
      <c r="E1287" s="562"/>
      <c r="F1287" s="562"/>
      <c r="G1287" s="562"/>
      <c r="H1287" s="562"/>
      <c r="I1287" s="562"/>
      <c r="J1287" s="562"/>
    </row>
    <row r="1288" spans="1:10" hidden="1" x14ac:dyDescent="0.25">
      <c r="A1288" s="362">
        <v>2</v>
      </c>
      <c r="B1288" s="611">
        <v>44053</v>
      </c>
      <c r="C1288" s="362" t="s">
        <v>83</v>
      </c>
      <c r="D1288" s="562"/>
      <c r="E1288" s="562"/>
      <c r="F1288" s="562"/>
      <c r="G1288" s="562"/>
      <c r="H1288" s="562"/>
      <c r="I1288" s="562"/>
      <c r="J1288" s="562"/>
    </row>
    <row r="1289" spans="1:10" hidden="1" x14ac:dyDescent="0.25">
      <c r="A1289" s="362">
        <v>3</v>
      </c>
      <c r="B1289" s="611">
        <v>44053</v>
      </c>
      <c r="C1289" s="362" t="s">
        <v>88</v>
      </c>
      <c r="D1289" s="562"/>
      <c r="E1289" s="562"/>
      <c r="F1289" s="562"/>
      <c r="G1289" s="562"/>
      <c r="H1289" s="562"/>
      <c r="I1289" s="562"/>
      <c r="J1289" s="562"/>
    </row>
    <row r="1290" spans="1:10" hidden="1" x14ac:dyDescent="0.25">
      <c r="A1290" s="362">
        <v>4</v>
      </c>
      <c r="B1290" s="611">
        <v>44053</v>
      </c>
      <c r="C1290" s="362" t="s">
        <v>146</v>
      </c>
      <c r="D1290" s="562"/>
      <c r="E1290" s="562"/>
      <c r="F1290" s="562"/>
      <c r="G1290" s="562"/>
      <c r="H1290" s="562"/>
      <c r="I1290" s="562"/>
      <c r="J1290" s="562"/>
    </row>
    <row r="1291" spans="1:10" hidden="1" x14ac:dyDescent="0.25">
      <c r="A1291" s="362">
        <v>5</v>
      </c>
      <c r="B1291" s="611">
        <v>44053</v>
      </c>
      <c r="C1291" s="362" t="s">
        <v>86</v>
      </c>
      <c r="D1291" s="562"/>
      <c r="E1291" s="562"/>
      <c r="F1291" s="562"/>
      <c r="G1291" s="562"/>
      <c r="H1291" s="562"/>
      <c r="I1291" s="562"/>
      <c r="J1291" s="562"/>
    </row>
    <row r="1292" spans="1:10" hidden="1" x14ac:dyDescent="0.25">
      <c r="A1292" s="362">
        <v>6</v>
      </c>
      <c r="B1292" s="611">
        <v>44053</v>
      </c>
      <c r="C1292" s="362" t="s">
        <v>89</v>
      </c>
      <c r="D1292" s="562"/>
      <c r="E1292" s="562"/>
      <c r="F1292" s="562"/>
      <c r="G1292" s="562"/>
      <c r="H1292" s="562"/>
      <c r="I1292" s="562"/>
      <c r="J1292" s="562"/>
    </row>
    <row r="1293" spans="1:10" hidden="1" x14ac:dyDescent="0.25">
      <c r="A1293" s="362">
        <v>7</v>
      </c>
      <c r="B1293" s="611">
        <v>44053</v>
      </c>
      <c r="C1293" s="362" t="s">
        <v>4751</v>
      </c>
      <c r="D1293" s="562"/>
      <c r="E1293" s="562"/>
      <c r="F1293" s="562"/>
      <c r="G1293" s="562"/>
      <c r="H1293" s="562"/>
      <c r="I1293" s="562"/>
      <c r="J1293" s="562"/>
    </row>
    <row r="1294" spans="1:10" hidden="1" x14ac:dyDescent="0.25">
      <c r="A1294" s="362">
        <v>8</v>
      </c>
      <c r="B1294" s="611">
        <v>44053</v>
      </c>
      <c r="C1294" s="362" t="s">
        <v>84</v>
      </c>
      <c r="D1294" s="562"/>
      <c r="E1294" s="562"/>
      <c r="F1294" s="562"/>
      <c r="G1294" s="562"/>
      <c r="H1294" s="562"/>
      <c r="I1294" s="562"/>
      <c r="J1294" s="562"/>
    </row>
    <row r="1295" spans="1:10" hidden="1" x14ac:dyDescent="0.25">
      <c r="A1295" s="362">
        <v>9</v>
      </c>
      <c r="B1295" s="611">
        <v>44053</v>
      </c>
      <c r="C1295" s="362" t="s">
        <v>81</v>
      </c>
      <c r="D1295" s="562"/>
      <c r="E1295" s="562"/>
      <c r="F1295" s="562"/>
      <c r="G1295" s="562"/>
      <c r="H1295" s="562"/>
      <c r="I1295" s="562"/>
      <c r="J1295" s="562"/>
    </row>
    <row r="1296" spans="1:10" hidden="1" x14ac:dyDescent="0.25">
      <c r="A1296" s="362">
        <v>10</v>
      </c>
      <c r="B1296" s="611">
        <v>44053</v>
      </c>
      <c r="C1296" s="362" t="s">
        <v>79</v>
      </c>
      <c r="D1296" s="562"/>
      <c r="E1296" s="562"/>
      <c r="F1296" s="562"/>
      <c r="G1296" s="562"/>
      <c r="H1296" s="562"/>
      <c r="I1296" s="562"/>
      <c r="J1296" s="562"/>
    </row>
    <row r="1297" spans="1:10" hidden="1" x14ac:dyDescent="0.25">
      <c r="A1297" s="362">
        <v>11</v>
      </c>
      <c r="B1297" s="611">
        <v>44053</v>
      </c>
      <c r="C1297" s="362" t="s">
        <v>82</v>
      </c>
      <c r="D1297" s="562"/>
      <c r="E1297" s="562"/>
      <c r="F1297" s="562"/>
      <c r="G1297" s="562"/>
      <c r="H1297" s="562"/>
      <c r="I1297" s="562"/>
      <c r="J1297" s="562"/>
    </row>
    <row r="1298" spans="1:10" hidden="1" x14ac:dyDescent="0.25">
      <c r="A1298" s="362">
        <v>12</v>
      </c>
      <c r="B1298" s="611">
        <v>44053</v>
      </c>
      <c r="C1298" s="362" t="s">
        <v>78</v>
      </c>
      <c r="D1298" s="562"/>
      <c r="E1298" s="562"/>
      <c r="F1298" s="562"/>
      <c r="G1298" s="562"/>
      <c r="H1298" s="562"/>
      <c r="I1298" s="562"/>
      <c r="J1298" s="562"/>
    </row>
    <row r="1299" spans="1:10" hidden="1" x14ac:dyDescent="0.25">
      <c r="A1299" s="362">
        <v>13</v>
      </c>
      <c r="B1299" s="611">
        <v>44053</v>
      </c>
      <c r="C1299" s="362" t="s">
        <v>85</v>
      </c>
      <c r="D1299" s="562"/>
      <c r="E1299" s="562"/>
      <c r="F1299" s="562"/>
      <c r="G1299" s="562"/>
      <c r="H1299" s="562"/>
      <c r="I1299" s="562"/>
      <c r="J1299" s="562"/>
    </row>
    <row r="1300" spans="1:10" hidden="1" x14ac:dyDescent="0.25">
      <c r="A1300" s="362">
        <v>14</v>
      </c>
      <c r="B1300" s="611">
        <v>44053</v>
      </c>
      <c r="C1300" s="362" t="s">
        <v>166</v>
      </c>
      <c r="D1300" s="562"/>
      <c r="E1300" s="562"/>
      <c r="F1300" s="562"/>
      <c r="G1300" s="562"/>
      <c r="H1300" s="562"/>
      <c r="I1300" s="562"/>
      <c r="J1300" s="562"/>
    </row>
    <row r="1301" spans="1:10" hidden="1" x14ac:dyDescent="0.25">
      <c r="A1301" s="362">
        <v>15</v>
      </c>
      <c r="B1301" s="611">
        <v>44053</v>
      </c>
      <c r="C1301" s="362" t="s">
        <v>3435</v>
      </c>
      <c r="D1301" s="562"/>
      <c r="E1301" s="562"/>
      <c r="F1301" s="562"/>
      <c r="G1301" s="562"/>
      <c r="H1301" s="562"/>
      <c r="I1301" s="562"/>
      <c r="J1301" s="562"/>
    </row>
    <row r="1302" spans="1:10" hidden="1" x14ac:dyDescent="0.25">
      <c r="A1302" s="532"/>
      <c r="B1302" s="532"/>
      <c r="C1302" s="532"/>
      <c r="D1302" s="564"/>
      <c r="E1302" s="564"/>
      <c r="F1302" s="564"/>
      <c r="G1302" s="564"/>
      <c r="H1302" s="564"/>
      <c r="I1302" s="564"/>
      <c r="J1302" s="564"/>
    </row>
    <row r="1303" spans="1:10" hidden="1" x14ac:dyDescent="0.25">
      <c r="A1303" s="362">
        <v>1</v>
      </c>
      <c r="B1303" s="611">
        <v>44054</v>
      </c>
      <c r="C1303" s="362" t="s">
        <v>80</v>
      </c>
      <c r="D1303" s="562"/>
      <c r="E1303" s="562"/>
      <c r="F1303" s="562"/>
      <c r="G1303" s="562"/>
      <c r="H1303" s="562"/>
      <c r="I1303" s="562"/>
      <c r="J1303" s="562"/>
    </row>
    <row r="1304" spans="1:10" hidden="1" x14ac:dyDescent="0.25">
      <c r="A1304" s="362">
        <v>2</v>
      </c>
      <c r="B1304" s="611">
        <v>44054</v>
      </c>
      <c r="C1304" s="362" t="s">
        <v>83</v>
      </c>
      <c r="D1304" s="562"/>
      <c r="E1304" s="562"/>
      <c r="F1304" s="562"/>
      <c r="G1304" s="562"/>
      <c r="H1304" s="562"/>
      <c r="I1304" s="562"/>
      <c r="J1304" s="562"/>
    </row>
    <row r="1305" spans="1:10" hidden="1" x14ac:dyDescent="0.25">
      <c r="A1305" s="362">
        <v>3</v>
      </c>
      <c r="B1305" s="611">
        <v>44054</v>
      </c>
      <c r="C1305" s="362" t="s">
        <v>88</v>
      </c>
      <c r="D1305" s="562"/>
      <c r="E1305" s="562"/>
      <c r="F1305" s="562"/>
      <c r="G1305" s="562"/>
      <c r="H1305" s="562"/>
      <c r="I1305" s="562"/>
      <c r="J1305" s="562"/>
    </row>
    <row r="1306" spans="1:10" hidden="1" x14ac:dyDescent="0.25">
      <c r="A1306" s="362">
        <v>4</v>
      </c>
      <c r="B1306" s="611">
        <v>44054</v>
      </c>
      <c r="C1306" s="362" t="s">
        <v>146</v>
      </c>
      <c r="D1306" s="562"/>
      <c r="E1306" s="562"/>
      <c r="F1306" s="562"/>
      <c r="G1306" s="562"/>
      <c r="H1306" s="562"/>
      <c r="I1306" s="562"/>
      <c r="J1306" s="562"/>
    </row>
    <row r="1307" spans="1:10" hidden="1" x14ac:dyDescent="0.25">
      <c r="A1307" s="362">
        <v>5</v>
      </c>
      <c r="B1307" s="611">
        <v>44054</v>
      </c>
      <c r="C1307" s="362" t="s">
        <v>86</v>
      </c>
      <c r="D1307" s="562"/>
      <c r="E1307" s="562"/>
      <c r="F1307" s="562"/>
      <c r="G1307" s="562"/>
      <c r="H1307" s="562"/>
      <c r="I1307" s="562"/>
      <c r="J1307" s="562"/>
    </row>
    <row r="1308" spans="1:10" hidden="1" x14ac:dyDescent="0.25">
      <c r="A1308" s="362">
        <v>6</v>
      </c>
      <c r="B1308" s="611">
        <v>44054</v>
      </c>
      <c r="C1308" s="362" t="s">
        <v>89</v>
      </c>
      <c r="D1308" s="562"/>
      <c r="E1308" s="562"/>
      <c r="F1308" s="562"/>
      <c r="G1308" s="562"/>
      <c r="H1308" s="562"/>
      <c r="I1308" s="562"/>
      <c r="J1308" s="562"/>
    </row>
    <row r="1309" spans="1:10" hidden="1" x14ac:dyDescent="0.25">
      <c r="A1309" s="362">
        <v>7</v>
      </c>
      <c r="B1309" s="611">
        <v>44054</v>
      </c>
      <c r="C1309" s="362" t="s">
        <v>4751</v>
      </c>
      <c r="D1309" s="562"/>
      <c r="E1309" s="562"/>
      <c r="F1309" s="562"/>
      <c r="G1309" s="562"/>
      <c r="H1309" s="562"/>
      <c r="I1309" s="562"/>
      <c r="J1309" s="562"/>
    </row>
    <row r="1310" spans="1:10" hidden="1" x14ac:dyDescent="0.25">
      <c r="A1310" s="362">
        <v>8</v>
      </c>
      <c r="B1310" s="611">
        <v>44054</v>
      </c>
      <c r="C1310" s="362" t="s">
        <v>84</v>
      </c>
      <c r="D1310" s="562"/>
      <c r="E1310" s="562"/>
      <c r="F1310" s="562"/>
      <c r="G1310" s="562"/>
      <c r="H1310" s="562"/>
      <c r="I1310" s="562"/>
      <c r="J1310" s="562"/>
    </row>
    <row r="1311" spans="1:10" hidden="1" x14ac:dyDescent="0.25">
      <c r="A1311" s="362">
        <v>9</v>
      </c>
      <c r="B1311" s="611">
        <v>44054</v>
      </c>
      <c r="C1311" s="362" t="s">
        <v>81</v>
      </c>
      <c r="D1311" s="562"/>
      <c r="E1311" s="562"/>
      <c r="F1311" s="562"/>
      <c r="G1311" s="562"/>
      <c r="H1311" s="562"/>
      <c r="I1311" s="562"/>
      <c r="J1311" s="562"/>
    </row>
    <row r="1312" spans="1:10" hidden="1" x14ac:dyDescent="0.25">
      <c r="A1312" s="362">
        <v>10</v>
      </c>
      <c r="B1312" s="611">
        <v>44054</v>
      </c>
      <c r="C1312" s="362" t="s">
        <v>79</v>
      </c>
      <c r="D1312" s="562"/>
      <c r="E1312" s="562"/>
      <c r="F1312" s="562"/>
      <c r="G1312" s="562"/>
      <c r="H1312" s="562"/>
      <c r="I1312" s="562"/>
      <c r="J1312" s="562"/>
    </row>
    <row r="1313" spans="1:10" hidden="1" x14ac:dyDescent="0.25">
      <c r="A1313" s="362">
        <v>11</v>
      </c>
      <c r="B1313" s="611">
        <v>44054</v>
      </c>
      <c r="C1313" s="362" t="s">
        <v>82</v>
      </c>
      <c r="D1313" s="562"/>
      <c r="E1313" s="562"/>
      <c r="F1313" s="562"/>
      <c r="G1313" s="562"/>
      <c r="H1313" s="562"/>
      <c r="I1313" s="562"/>
      <c r="J1313" s="562"/>
    </row>
    <row r="1314" spans="1:10" hidden="1" x14ac:dyDescent="0.25">
      <c r="A1314" s="362">
        <v>12</v>
      </c>
      <c r="B1314" s="611">
        <v>44054</v>
      </c>
      <c r="C1314" s="362" t="s">
        <v>78</v>
      </c>
      <c r="D1314" s="562"/>
      <c r="E1314" s="562"/>
      <c r="F1314" s="562"/>
      <c r="G1314" s="562"/>
      <c r="H1314" s="562"/>
      <c r="I1314" s="562"/>
      <c r="J1314" s="562"/>
    </row>
    <row r="1315" spans="1:10" hidden="1" x14ac:dyDescent="0.25">
      <c r="A1315" s="362">
        <v>13</v>
      </c>
      <c r="B1315" s="611">
        <v>44054</v>
      </c>
      <c r="C1315" s="362" t="s">
        <v>85</v>
      </c>
      <c r="D1315" s="562"/>
      <c r="E1315" s="562"/>
      <c r="F1315" s="562"/>
      <c r="G1315" s="562"/>
      <c r="H1315" s="562"/>
      <c r="I1315" s="562"/>
      <c r="J1315" s="562"/>
    </row>
    <row r="1316" spans="1:10" hidden="1" x14ac:dyDescent="0.25">
      <c r="A1316" s="362">
        <v>14</v>
      </c>
      <c r="B1316" s="611">
        <v>44054</v>
      </c>
      <c r="C1316" s="362" t="s">
        <v>166</v>
      </c>
      <c r="D1316" s="562"/>
      <c r="E1316" s="562"/>
      <c r="F1316" s="562"/>
      <c r="G1316" s="562"/>
      <c r="H1316" s="562"/>
      <c r="I1316" s="562"/>
      <c r="J1316" s="562"/>
    </row>
    <row r="1317" spans="1:10" hidden="1" x14ac:dyDescent="0.25">
      <c r="A1317" s="362">
        <v>15</v>
      </c>
      <c r="B1317" s="611">
        <v>44054</v>
      </c>
      <c r="C1317" s="362" t="s">
        <v>3435</v>
      </c>
      <c r="D1317" s="562"/>
      <c r="E1317" s="562"/>
      <c r="F1317" s="562"/>
      <c r="G1317" s="562"/>
      <c r="H1317" s="562"/>
      <c r="I1317" s="562"/>
      <c r="J1317" s="562"/>
    </row>
    <row r="1318" spans="1:10" hidden="1" x14ac:dyDescent="0.25">
      <c r="A1318" s="532"/>
      <c r="B1318" s="532"/>
      <c r="C1318" s="532"/>
      <c r="D1318" s="564"/>
      <c r="E1318" s="564"/>
      <c r="F1318" s="564"/>
      <c r="G1318" s="564"/>
      <c r="H1318" s="564"/>
      <c r="I1318" s="564"/>
      <c r="J1318" s="564"/>
    </row>
    <row r="1319" spans="1:10" hidden="1" x14ac:dyDescent="0.25">
      <c r="A1319" s="362">
        <v>1</v>
      </c>
      <c r="B1319" s="611">
        <v>44055</v>
      </c>
      <c r="C1319" s="362" t="s">
        <v>80</v>
      </c>
      <c r="D1319" s="562"/>
      <c r="E1319" s="562"/>
      <c r="F1319" s="562"/>
      <c r="G1319" s="562"/>
      <c r="H1319" s="562"/>
      <c r="I1319" s="562"/>
      <c r="J1319" s="562"/>
    </row>
    <row r="1320" spans="1:10" hidden="1" x14ac:dyDescent="0.25">
      <c r="A1320" s="362">
        <v>2</v>
      </c>
      <c r="B1320" s="611">
        <v>44055</v>
      </c>
      <c r="C1320" s="362" t="s">
        <v>83</v>
      </c>
      <c r="D1320" s="562"/>
      <c r="E1320" s="562"/>
      <c r="F1320" s="562"/>
      <c r="G1320" s="562"/>
      <c r="H1320" s="562"/>
      <c r="I1320" s="562"/>
      <c r="J1320" s="562"/>
    </row>
    <row r="1321" spans="1:10" hidden="1" x14ac:dyDescent="0.25">
      <c r="A1321" s="362">
        <v>3</v>
      </c>
      <c r="B1321" s="611">
        <v>44055</v>
      </c>
      <c r="C1321" s="362" t="s">
        <v>88</v>
      </c>
      <c r="D1321" s="562"/>
      <c r="E1321" s="562"/>
      <c r="F1321" s="562"/>
      <c r="G1321" s="562"/>
      <c r="H1321" s="562"/>
      <c r="I1321" s="562"/>
      <c r="J1321" s="562"/>
    </row>
    <row r="1322" spans="1:10" hidden="1" x14ac:dyDescent="0.25">
      <c r="A1322" s="362">
        <v>4</v>
      </c>
      <c r="B1322" s="611">
        <v>44055</v>
      </c>
      <c r="C1322" s="362" t="s">
        <v>146</v>
      </c>
      <c r="D1322" s="562"/>
      <c r="E1322" s="562"/>
      <c r="F1322" s="562"/>
      <c r="G1322" s="562"/>
      <c r="H1322" s="562"/>
      <c r="I1322" s="562"/>
      <c r="J1322" s="562"/>
    </row>
    <row r="1323" spans="1:10" hidden="1" x14ac:dyDescent="0.25">
      <c r="A1323" s="362">
        <v>5</v>
      </c>
      <c r="B1323" s="611">
        <v>44055</v>
      </c>
      <c r="C1323" s="362" t="s">
        <v>86</v>
      </c>
      <c r="D1323" s="562"/>
      <c r="E1323" s="562"/>
      <c r="F1323" s="562"/>
      <c r="G1323" s="562"/>
      <c r="H1323" s="562"/>
      <c r="I1323" s="562"/>
      <c r="J1323" s="562"/>
    </row>
    <row r="1324" spans="1:10" hidden="1" x14ac:dyDescent="0.25">
      <c r="A1324" s="362">
        <v>6</v>
      </c>
      <c r="B1324" s="611">
        <v>44055</v>
      </c>
      <c r="C1324" s="362" t="s">
        <v>89</v>
      </c>
      <c r="D1324" s="562"/>
      <c r="E1324" s="562"/>
      <c r="F1324" s="562"/>
      <c r="G1324" s="562"/>
      <c r="H1324" s="562"/>
      <c r="I1324" s="562"/>
      <c r="J1324" s="562"/>
    </row>
    <row r="1325" spans="1:10" hidden="1" x14ac:dyDescent="0.25">
      <c r="A1325" s="362">
        <v>7</v>
      </c>
      <c r="B1325" s="611">
        <v>44055</v>
      </c>
      <c r="C1325" s="362" t="s">
        <v>4751</v>
      </c>
      <c r="D1325" s="562"/>
      <c r="E1325" s="562"/>
      <c r="F1325" s="562"/>
      <c r="G1325" s="562"/>
      <c r="H1325" s="562"/>
      <c r="I1325" s="562"/>
      <c r="J1325" s="562"/>
    </row>
    <row r="1326" spans="1:10" hidden="1" x14ac:dyDescent="0.25">
      <c r="A1326" s="362">
        <v>8</v>
      </c>
      <c r="B1326" s="611">
        <v>44055</v>
      </c>
      <c r="C1326" s="362" t="s">
        <v>84</v>
      </c>
      <c r="D1326" s="562"/>
      <c r="E1326" s="562"/>
      <c r="F1326" s="562"/>
      <c r="G1326" s="562"/>
      <c r="H1326" s="562"/>
      <c r="I1326" s="562"/>
      <c r="J1326" s="562"/>
    </row>
    <row r="1327" spans="1:10" hidden="1" x14ac:dyDescent="0.25">
      <c r="A1327" s="362">
        <v>9</v>
      </c>
      <c r="B1327" s="611">
        <v>44055</v>
      </c>
      <c r="C1327" s="362" t="s">
        <v>81</v>
      </c>
      <c r="D1327" s="562"/>
      <c r="E1327" s="562"/>
      <c r="F1327" s="562"/>
      <c r="G1327" s="562"/>
      <c r="H1327" s="562"/>
      <c r="I1327" s="562"/>
      <c r="J1327" s="562"/>
    </row>
    <row r="1328" spans="1:10" hidden="1" x14ac:dyDescent="0.25">
      <c r="A1328" s="362">
        <v>10</v>
      </c>
      <c r="B1328" s="611">
        <v>44055</v>
      </c>
      <c r="C1328" s="362" t="s">
        <v>79</v>
      </c>
      <c r="D1328" s="562"/>
      <c r="E1328" s="562"/>
      <c r="F1328" s="562"/>
      <c r="G1328" s="562"/>
      <c r="H1328" s="562"/>
      <c r="I1328" s="562"/>
      <c r="J1328" s="562"/>
    </row>
    <row r="1329" spans="1:10" hidden="1" x14ac:dyDescent="0.25">
      <c r="A1329" s="362">
        <v>11</v>
      </c>
      <c r="B1329" s="611">
        <v>44055</v>
      </c>
      <c r="C1329" s="362" t="s">
        <v>82</v>
      </c>
      <c r="D1329" s="562"/>
      <c r="E1329" s="562"/>
      <c r="F1329" s="562"/>
      <c r="G1329" s="562"/>
      <c r="H1329" s="562"/>
      <c r="I1329" s="562"/>
      <c r="J1329" s="562"/>
    </row>
    <row r="1330" spans="1:10" hidden="1" x14ac:dyDescent="0.25">
      <c r="A1330" s="362">
        <v>12</v>
      </c>
      <c r="B1330" s="611">
        <v>44055</v>
      </c>
      <c r="C1330" s="362" t="s">
        <v>78</v>
      </c>
      <c r="D1330" s="562"/>
      <c r="E1330" s="562"/>
      <c r="F1330" s="562"/>
      <c r="G1330" s="562"/>
      <c r="H1330" s="562"/>
      <c r="I1330" s="562"/>
      <c r="J1330" s="562"/>
    </row>
    <row r="1331" spans="1:10" hidden="1" x14ac:dyDescent="0.25">
      <c r="A1331" s="362">
        <v>13</v>
      </c>
      <c r="B1331" s="611">
        <v>44055</v>
      </c>
      <c r="C1331" s="362" t="s">
        <v>85</v>
      </c>
      <c r="D1331" s="562"/>
      <c r="E1331" s="562"/>
      <c r="F1331" s="562"/>
      <c r="G1331" s="562"/>
      <c r="H1331" s="562"/>
      <c r="I1331" s="562"/>
      <c r="J1331" s="562"/>
    </row>
    <row r="1332" spans="1:10" hidden="1" x14ac:dyDescent="0.25">
      <c r="A1332" s="362">
        <v>14</v>
      </c>
      <c r="B1332" s="611">
        <v>44055</v>
      </c>
      <c r="C1332" s="362" t="s">
        <v>166</v>
      </c>
      <c r="D1332" s="562"/>
      <c r="E1332" s="562"/>
      <c r="F1332" s="562"/>
      <c r="G1332" s="562"/>
      <c r="H1332" s="562"/>
      <c r="I1332" s="562"/>
      <c r="J1332" s="562"/>
    </row>
    <row r="1333" spans="1:10" hidden="1" x14ac:dyDescent="0.25">
      <c r="A1333" s="362">
        <v>15</v>
      </c>
      <c r="B1333" s="611">
        <v>44055</v>
      </c>
      <c r="C1333" s="362" t="s">
        <v>3435</v>
      </c>
      <c r="D1333" s="562"/>
      <c r="E1333" s="562"/>
      <c r="F1333" s="562"/>
      <c r="G1333" s="562"/>
      <c r="H1333" s="562"/>
      <c r="I1333" s="562"/>
      <c r="J1333" s="562"/>
    </row>
    <row r="1334" spans="1:10" hidden="1" x14ac:dyDescent="0.25">
      <c r="A1334" s="532"/>
      <c r="B1334" s="532"/>
      <c r="C1334" s="532"/>
      <c r="D1334" s="564"/>
      <c r="E1334" s="564"/>
      <c r="F1334" s="564"/>
      <c r="G1334" s="564"/>
      <c r="H1334" s="564"/>
      <c r="I1334" s="564"/>
      <c r="J1334" s="564"/>
    </row>
    <row r="1335" spans="1:10" hidden="1" x14ac:dyDescent="0.25">
      <c r="A1335" s="362">
        <v>1</v>
      </c>
      <c r="B1335" s="611">
        <v>44056</v>
      </c>
      <c r="C1335" s="362" t="s">
        <v>80</v>
      </c>
      <c r="D1335" s="562"/>
      <c r="E1335" s="562"/>
      <c r="F1335" s="562"/>
      <c r="G1335" s="562"/>
      <c r="H1335" s="562"/>
      <c r="I1335" s="562"/>
      <c r="J1335" s="562"/>
    </row>
    <row r="1336" spans="1:10" hidden="1" x14ac:dyDescent="0.25">
      <c r="A1336" s="362">
        <v>2</v>
      </c>
      <c r="B1336" s="611">
        <v>44056</v>
      </c>
      <c r="C1336" s="362" t="s">
        <v>83</v>
      </c>
      <c r="D1336" s="562"/>
      <c r="E1336" s="562"/>
      <c r="F1336" s="562"/>
      <c r="G1336" s="562"/>
      <c r="H1336" s="562"/>
      <c r="I1336" s="562"/>
      <c r="J1336" s="562"/>
    </row>
    <row r="1337" spans="1:10" hidden="1" x14ac:dyDescent="0.25">
      <c r="A1337" s="362">
        <v>3</v>
      </c>
      <c r="B1337" s="611">
        <v>44056</v>
      </c>
      <c r="C1337" s="362" t="s">
        <v>88</v>
      </c>
      <c r="D1337" s="562"/>
      <c r="E1337" s="562"/>
      <c r="F1337" s="562"/>
      <c r="G1337" s="562"/>
      <c r="H1337" s="562"/>
      <c r="I1337" s="562"/>
      <c r="J1337" s="562"/>
    </row>
    <row r="1338" spans="1:10" hidden="1" x14ac:dyDescent="0.25">
      <c r="A1338" s="362">
        <v>4</v>
      </c>
      <c r="B1338" s="611">
        <v>44056</v>
      </c>
      <c r="C1338" s="362" t="s">
        <v>146</v>
      </c>
      <c r="D1338" s="562"/>
      <c r="E1338" s="562"/>
      <c r="F1338" s="562"/>
      <c r="G1338" s="562"/>
      <c r="H1338" s="562"/>
      <c r="I1338" s="562"/>
      <c r="J1338" s="562"/>
    </row>
    <row r="1339" spans="1:10" hidden="1" x14ac:dyDescent="0.25">
      <c r="A1339" s="362">
        <v>5</v>
      </c>
      <c r="B1339" s="611">
        <v>44056</v>
      </c>
      <c r="C1339" s="362" t="s">
        <v>86</v>
      </c>
      <c r="D1339" s="562"/>
      <c r="E1339" s="562"/>
      <c r="F1339" s="562"/>
      <c r="G1339" s="562"/>
      <c r="H1339" s="562"/>
      <c r="I1339" s="562"/>
      <c r="J1339" s="562"/>
    </row>
    <row r="1340" spans="1:10" hidden="1" x14ac:dyDescent="0.25">
      <c r="A1340" s="362">
        <v>6</v>
      </c>
      <c r="B1340" s="611">
        <v>44056</v>
      </c>
      <c r="C1340" s="362" t="s">
        <v>89</v>
      </c>
      <c r="D1340" s="562"/>
      <c r="E1340" s="562"/>
      <c r="F1340" s="562"/>
      <c r="G1340" s="562"/>
      <c r="H1340" s="562"/>
      <c r="I1340" s="562"/>
      <c r="J1340" s="562"/>
    </row>
    <row r="1341" spans="1:10" hidden="1" x14ac:dyDescent="0.25">
      <c r="A1341" s="362">
        <v>7</v>
      </c>
      <c r="B1341" s="611">
        <v>44056</v>
      </c>
      <c r="C1341" s="362" t="s">
        <v>4751</v>
      </c>
      <c r="D1341" s="562"/>
      <c r="E1341" s="562"/>
      <c r="F1341" s="562"/>
      <c r="G1341" s="562"/>
      <c r="H1341" s="562"/>
      <c r="I1341" s="562"/>
      <c r="J1341" s="562"/>
    </row>
    <row r="1342" spans="1:10" hidden="1" x14ac:dyDescent="0.25">
      <c r="A1342" s="362">
        <v>8</v>
      </c>
      <c r="B1342" s="611">
        <v>44056</v>
      </c>
      <c r="C1342" s="362" t="s">
        <v>84</v>
      </c>
      <c r="D1342" s="562"/>
      <c r="E1342" s="562"/>
      <c r="F1342" s="562"/>
      <c r="G1342" s="562"/>
      <c r="H1342" s="562"/>
      <c r="I1342" s="562"/>
      <c r="J1342" s="562"/>
    </row>
    <row r="1343" spans="1:10" hidden="1" x14ac:dyDescent="0.25">
      <c r="A1343" s="362">
        <v>9</v>
      </c>
      <c r="B1343" s="611">
        <v>44056</v>
      </c>
      <c r="C1343" s="362" t="s">
        <v>81</v>
      </c>
      <c r="D1343" s="562"/>
      <c r="E1343" s="562"/>
      <c r="F1343" s="562"/>
      <c r="G1343" s="562"/>
      <c r="H1343" s="562"/>
      <c r="I1343" s="562"/>
      <c r="J1343" s="562"/>
    </row>
    <row r="1344" spans="1:10" hidden="1" x14ac:dyDescent="0.25">
      <c r="A1344" s="362">
        <v>10</v>
      </c>
      <c r="B1344" s="611">
        <v>44056</v>
      </c>
      <c r="C1344" s="362" t="s">
        <v>79</v>
      </c>
      <c r="D1344" s="562"/>
      <c r="E1344" s="562"/>
      <c r="F1344" s="562"/>
      <c r="G1344" s="562"/>
      <c r="H1344" s="562"/>
      <c r="I1344" s="562"/>
      <c r="J1344" s="562"/>
    </row>
    <row r="1345" spans="1:10" hidden="1" x14ac:dyDescent="0.25">
      <c r="A1345" s="362">
        <v>11</v>
      </c>
      <c r="B1345" s="611">
        <v>44056</v>
      </c>
      <c r="C1345" s="362" t="s">
        <v>82</v>
      </c>
      <c r="D1345" s="562"/>
      <c r="E1345" s="562"/>
      <c r="F1345" s="562"/>
      <c r="G1345" s="562"/>
      <c r="H1345" s="562"/>
      <c r="I1345" s="562"/>
      <c r="J1345" s="562"/>
    </row>
    <row r="1346" spans="1:10" hidden="1" x14ac:dyDescent="0.25">
      <c r="A1346" s="362">
        <v>12</v>
      </c>
      <c r="B1346" s="611">
        <v>44056</v>
      </c>
      <c r="C1346" s="362" t="s">
        <v>78</v>
      </c>
      <c r="D1346" s="562"/>
      <c r="E1346" s="562"/>
      <c r="F1346" s="562"/>
      <c r="G1346" s="562"/>
      <c r="H1346" s="562"/>
      <c r="I1346" s="562"/>
      <c r="J1346" s="562"/>
    </row>
    <row r="1347" spans="1:10" hidden="1" x14ac:dyDescent="0.25">
      <c r="A1347" s="362">
        <v>13</v>
      </c>
      <c r="B1347" s="611">
        <v>44056</v>
      </c>
      <c r="C1347" s="362" t="s">
        <v>85</v>
      </c>
      <c r="D1347" s="562"/>
      <c r="E1347" s="562"/>
      <c r="F1347" s="562"/>
      <c r="G1347" s="562"/>
      <c r="H1347" s="562"/>
      <c r="I1347" s="562"/>
      <c r="J1347" s="562"/>
    </row>
    <row r="1348" spans="1:10" hidden="1" x14ac:dyDescent="0.25">
      <c r="A1348" s="362">
        <v>14</v>
      </c>
      <c r="B1348" s="611">
        <v>44056</v>
      </c>
      <c r="C1348" s="362" t="s">
        <v>166</v>
      </c>
      <c r="D1348" s="562"/>
      <c r="E1348" s="562"/>
      <c r="F1348" s="562"/>
      <c r="G1348" s="562"/>
      <c r="H1348" s="562"/>
      <c r="I1348" s="562"/>
      <c r="J1348" s="562"/>
    </row>
    <row r="1349" spans="1:10" hidden="1" x14ac:dyDescent="0.25">
      <c r="A1349" s="362">
        <v>15</v>
      </c>
      <c r="B1349" s="611">
        <v>44056</v>
      </c>
      <c r="C1349" s="362" t="s">
        <v>3435</v>
      </c>
      <c r="D1349" s="562"/>
      <c r="E1349" s="562"/>
      <c r="F1349" s="562"/>
      <c r="G1349" s="562"/>
      <c r="H1349" s="562"/>
      <c r="I1349" s="562"/>
      <c r="J1349" s="562"/>
    </row>
    <row r="1350" spans="1:10" hidden="1" x14ac:dyDescent="0.25">
      <c r="A1350" s="532"/>
      <c r="B1350" s="532"/>
      <c r="C1350" s="532"/>
      <c r="D1350" s="564"/>
      <c r="E1350" s="564"/>
      <c r="F1350" s="564"/>
      <c r="G1350" s="564"/>
      <c r="H1350" s="564"/>
      <c r="I1350" s="564"/>
      <c r="J1350" s="564"/>
    </row>
    <row r="1351" spans="1:10" hidden="1" x14ac:dyDescent="0.25">
      <c r="A1351" s="362">
        <v>1</v>
      </c>
      <c r="B1351" s="611">
        <v>44057</v>
      </c>
      <c r="C1351" s="362" t="s">
        <v>80</v>
      </c>
      <c r="D1351" s="562"/>
      <c r="E1351" s="562"/>
      <c r="F1351" s="562"/>
      <c r="G1351" s="562"/>
      <c r="H1351" s="562"/>
      <c r="I1351" s="562"/>
      <c r="J1351" s="562"/>
    </row>
    <row r="1352" spans="1:10" hidden="1" x14ac:dyDescent="0.25">
      <c r="A1352" s="362">
        <v>2</v>
      </c>
      <c r="B1352" s="611">
        <v>44057</v>
      </c>
      <c r="C1352" s="362" t="s">
        <v>83</v>
      </c>
      <c r="D1352" s="562"/>
      <c r="E1352" s="562"/>
      <c r="F1352" s="562"/>
      <c r="G1352" s="562"/>
      <c r="H1352" s="562"/>
      <c r="I1352" s="562"/>
      <c r="J1352" s="562"/>
    </row>
    <row r="1353" spans="1:10" hidden="1" x14ac:dyDescent="0.25">
      <c r="A1353" s="362">
        <v>3</v>
      </c>
      <c r="B1353" s="611">
        <v>44057</v>
      </c>
      <c r="C1353" s="362" t="s">
        <v>88</v>
      </c>
      <c r="D1353" s="562"/>
      <c r="E1353" s="562"/>
      <c r="F1353" s="562"/>
      <c r="G1353" s="562"/>
      <c r="H1353" s="562"/>
      <c r="I1353" s="562"/>
      <c r="J1353" s="562"/>
    </row>
    <row r="1354" spans="1:10" hidden="1" x14ac:dyDescent="0.25">
      <c r="A1354" s="362">
        <v>4</v>
      </c>
      <c r="B1354" s="611">
        <v>44057</v>
      </c>
      <c r="C1354" s="362" t="s">
        <v>146</v>
      </c>
      <c r="D1354" s="562"/>
      <c r="E1354" s="562"/>
      <c r="F1354" s="562"/>
      <c r="G1354" s="562"/>
      <c r="H1354" s="562"/>
      <c r="I1354" s="562"/>
      <c r="J1354" s="562"/>
    </row>
    <row r="1355" spans="1:10" hidden="1" x14ac:dyDescent="0.25">
      <c r="A1355" s="362">
        <v>5</v>
      </c>
      <c r="B1355" s="611">
        <v>44057</v>
      </c>
      <c r="C1355" s="362" t="s">
        <v>86</v>
      </c>
      <c r="D1355" s="562"/>
      <c r="E1355" s="562"/>
      <c r="F1355" s="562"/>
      <c r="G1355" s="562"/>
      <c r="H1355" s="562"/>
      <c r="I1355" s="562"/>
      <c r="J1355" s="562"/>
    </row>
    <row r="1356" spans="1:10" hidden="1" x14ac:dyDescent="0.25">
      <c r="A1356" s="362">
        <v>6</v>
      </c>
      <c r="B1356" s="611">
        <v>44057</v>
      </c>
      <c r="C1356" s="362" t="s">
        <v>89</v>
      </c>
      <c r="D1356" s="562"/>
      <c r="E1356" s="562"/>
      <c r="F1356" s="562"/>
      <c r="G1356" s="562"/>
      <c r="H1356" s="562"/>
      <c r="I1356" s="562"/>
      <c r="J1356" s="562"/>
    </row>
    <row r="1357" spans="1:10" hidden="1" x14ac:dyDescent="0.25">
      <c r="A1357" s="362">
        <v>7</v>
      </c>
      <c r="B1357" s="611">
        <v>44057</v>
      </c>
      <c r="C1357" s="362" t="s">
        <v>4751</v>
      </c>
      <c r="D1357" s="562"/>
      <c r="E1357" s="562"/>
      <c r="F1357" s="562"/>
      <c r="G1357" s="562"/>
      <c r="H1357" s="562"/>
      <c r="I1357" s="562"/>
      <c r="J1357" s="562"/>
    </row>
    <row r="1358" spans="1:10" hidden="1" x14ac:dyDescent="0.25">
      <c r="A1358" s="362">
        <v>8</v>
      </c>
      <c r="B1358" s="611">
        <v>44057</v>
      </c>
      <c r="C1358" s="362" t="s">
        <v>84</v>
      </c>
      <c r="D1358" s="562"/>
      <c r="E1358" s="562"/>
      <c r="F1358" s="562"/>
      <c r="G1358" s="562"/>
      <c r="H1358" s="562"/>
      <c r="I1358" s="562"/>
      <c r="J1358" s="562"/>
    </row>
    <row r="1359" spans="1:10" hidden="1" x14ac:dyDescent="0.25">
      <c r="A1359" s="362">
        <v>9</v>
      </c>
      <c r="B1359" s="611">
        <v>44057</v>
      </c>
      <c r="C1359" s="362" t="s">
        <v>81</v>
      </c>
      <c r="D1359" s="562"/>
      <c r="E1359" s="562"/>
      <c r="F1359" s="562"/>
      <c r="G1359" s="562"/>
      <c r="H1359" s="562"/>
      <c r="I1359" s="562"/>
      <c r="J1359" s="562"/>
    </row>
    <row r="1360" spans="1:10" hidden="1" x14ac:dyDescent="0.25">
      <c r="A1360" s="362">
        <v>10</v>
      </c>
      <c r="B1360" s="611">
        <v>44057</v>
      </c>
      <c r="C1360" s="362" t="s">
        <v>79</v>
      </c>
      <c r="D1360" s="562"/>
      <c r="E1360" s="562"/>
      <c r="F1360" s="562"/>
      <c r="G1360" s="562"/>
      <c r="H1360" s="562"/>
      <c r="I1360" s="562"/>
      <c r="J1360" s="562"/>
    </row>
    <row r="1361" spans="1:10" hidden="1" x14ac:dyDescent="0.25">
      <c r="A1361" s="362">
        <v>11</v>
      </c>
      <c r="B1361" s="611">
        <v>44057</v>
      </c>
      <c r="C1361" s="362" t="s">
        <v>82</v>
      </c>
      <c r="D1361" s="562"/>
      <c r="E1361" s="562"/>
      <c r="F1361" s="562"/>
      <c r="G1361" s="562"/>
      <c r="H1361" s="562"/>
      <c r="I1361" s="562"/>
      <c r="J1361" s="562"/>
    </row>
    <row r="1362" spans="1:10" hidden="1" x14ac:dyDescent="0.25">
      <c r="A1362" s="362">
        <v>12</v>
      </c>
      <c r="B1362" s="611">
        <v>44057</v>
      </c>
      <c r="C1362" s="362" t="s">
        <v>78</v>
      </c>
      <c r="D1362" s="562"/>
      <c r="E1362" s="562"/>
      <c r="F1362" s="562"/>
      <c r="G1362" s="562"/>
      <c r="H1362" s="562"/>
      <c r="I1362" s="562"/>
      <c r="J1362" s="562"/>
    </row>
    <row r="1363" spans="1:10" hidden="1" x14ac:dyDescent="0.25">
      <c r="A1363" s="362">
        <v>13</v>
      </c>
      <c r="B1363" s="611">
        <v>44057</v>
      </c>
      <c r="C1363" s="362" t="s">
        <v>85</v>
      </c>
      <c r="D1363" s="562"/>
      <c r="E1363" s="562"/>
      <c r="F1363" s="562"/>
      <c r="G1363" s="562"/>
      <c r="H1363" s="562"/>
      <c r="I1363" s="562"/>
      <c r="J1363" s="562"/>
    </row>
    <row r="1364" spans="1:10" hidden="1" x14ac:dyDescent="0.25">
      <c r="A1364" s="362">
        <v>14</v>
      </c>
      <c r="B1364" s="611">
        <v>44057</v>
      </c>
      <c r="C1364" s="362" t="s">
        <v>166</v>
      </c>
      <c r="D1364" s="562"/>
      <c r="E1364" s="562"/>
      <c r="F1364" s="562"/>
      <c r="G1364" s="562"/>
      <c r="H1364" s="562"/>
      <c r="I1364" s="562"/>
      <c r="J1364" s="562"/>
    </row>
    <row r="1365" spans="1:10" hidden="1" x14ac:dyDescent="0.25">
      <c r="A1365" s="362">
        <v>15</v>
      </c>
      <c r="B1365" s="611">
        <v>44057</v>
      </c>
      <c r="C1365" s="362" t="s">
        <v>3435</v>
      </c>
      <c r="D1365" s="562"/>
      <c r="E1365" s="562"/>
      <c r="F1365" s="562"/>
      <c r="G1365" s="562"/>
      <c r="H1365" s="562"/>
      <c r="I1365" s="562"/>
      <c r="J1365" s="562"/>
    </row>
    <row r="1366" spans="1:10" hidden="1" x14ac:dyDescent="0.25">
      <c r="A1366" s="532"/>
      <c r="B1366" s="532"/>
      <c r="C1366" s="532"/>
      <c r="D1366" s="564"/>
      <c r="E1366" s="564"/>
      <c r="F1366" s="564"/>
      <c r="G1366" s="564"/>
      <c r="H1366" s="564"/>
      <c r="I1366" s="564"/>
      <c r="J1366" s="564"/>
    </row>
    <row r="1367" spans="1:10" hidden="1" x14ac:dyDescent="0.25">
      <c r="A1367" s="362">
        <v>1</v>
      </c>
      <c r="B1367" s="611">
        <v>44058</v>
      </c>
      <c r="C1367" s="362" t="s">
        <v>80</v>
      </c>
      <c r="D1367" s="562"/>
      <c r="E1367" s="562"/>
      <c r="F1367" s="562"/>
      <c r="G1367" s="562"/>
      <c r="H1367" s="562"/>
      <c r="I1367" s="562"/>
      <c r="J1367" s="562"/>
    </row>
    <row r="1368" spans="1:10" hidden="1" x14ac:dyDescent="0.25">
      <c r="A1368" s="362">
        <v>2</v>
      </c>
      <c r="B1368" s="611">
        <v>44058</v>
      </c>
      <c r="C1368" s="362" t="s">
        <v>83</v>
      </c>
      <c r="D1368" s="562"/>
      <c r="E1368" s="562"/>
      <c r="F1368" s="562"/>
      <c r="G1368" s="562"/>
      <c r="H1368" s="562"/>
      <c r="I1368" s="562"/>
      <c r="J1368" s="562"/>
    </row>
    <row r="1369" spans="1:10" hidden="1" x14ac:dyDescent="0.25">
      <c r="A1369" s="362">
        <v>3</v>
      </c>
      <c r="B1369" s="611">
        <v>44058</v>
      </c>
      <c r="C1369" s="362" t="s">
        <v>88</v>
      </c>
      <c r="D1369" s="562"/>
      <c r="E1369" s="562"/>
      <c r="F1369" s="562"/>
      <c r="G1369" s="562"/>
      <c r="H1369" s="562"/>
      <c r="I1369" s="562"/>
      <c r="J1369" s="562"/>
    </row>
    <row r="1370" spans="1:10" hidden="1" x14ac:dyDescent="0.25">
      <c r="A1370" s="362">
        <v>4</v>
      </c>
      <c r="B1370" s="611">
        <v>44058</v>
      </c>
      <c r="C1370" s="362" t="s">
        <v>146</v>
      </c>
      <c r="D1370" s="562"/>
      <c r="E1370" s="562"/>
      <c r="F1370" s="562"/>
      <c r="G1370" s="562"/>
      <c r="H1370" s="562"/>
      <c r="I1370" s="562"/>
      <c r="J1370" s="562"/>
    </row>
    <row r="1371" spans="1:10" hidden="1" x14ac:dyDescent="0.25">
      <c r="A1371" s="362">
        <v>5</v>
      </c>
      <c r="B1371" s="611">
        <v>44058</v>
      </c>
      <c r="C1371" s="362" t="s">
        <v>86</v>
      </c>
      <c r="D1371" s="562"/>
      <c r="E1371" s="562"/>
      <c r="F1371" s="562"/>
      <c r="G1371" s="562"/>
      <c r="H1371" s="562"/>
      <c r="I1371" s="562"/>
      <c r="J1371" s="562"/>
    </row>
    <row r="1372" spans="1:10" hidden="1" x14ac:dyDescent="0.25">
      <c r="A1372" s="362">
        <v>6</v>
      </c>
      <c r="B1372" s="611">
        <v>44058</v>
      </c>
      <c r="C1372" s="362" t="s">
        <v>89</v>
      </c>
      <c r="D1372" s="562"/>
      <c r="E1372" s="562"/>
      <c r="F1372" s="562"/>
      <c r="G1372" s="562"/>
      <c r="H1372" s="562"/>
      <c r="I1372" s="562"/>
      <c r="J1372" s="562"/>
    </row>
    <row r="1373" spans="1:10" hidden="1" x14ac:dyDescent="0.25">
      <c r="A1373" s="362">
        <v>7</v>
      </c>
      <c r="B1373" s="611">
        <v>44058</v>
      </c>
      <c r="C1373" s="362" t="s">
        <v>4751</v>
      </c>
      <c r="D1373" s="562"/>
      <c r="E1373" s="562"/>
      <c r="F1373" s="562"/>
      <c r="G1373" s="562"/>
      <c r="H1373" s="562"/>
      <c r="I1373" s="562"/>
      <c r="J1373" s="562"/>
    </row>
    <row r="1374" spans="1:10" hidden="1" x14ac:dyDescent="0.25">
      <c r="A1374" s="362">
        <v>8</v>
      </c>
      <c r="B1374" s="611">
        <v>44058</v>
      </c>
      <c r="C1374" s="362" t="s">
        <v>84</v>
      </c>
      <c r="D1374" s="562"/>
      <c r="E1374" s="562"/>
      <c r="F1374" s="562"/>
      <c r="G1374" s="562"/>
      <c r="H1374" s="562"/>
      <c r="I1374" s="562"/>
      <c r="J1374" s="562"/>
    </row>
    <row r="1375" spans="1:10" hidden="1" x14ac:dyDescent="0.25">
      <c r="A1375" s="362">
        <v>9</v>
      </c>
      <c r="B1375" s="611">
        <v>44058</v>
      </c>
      <c r="C1375" s="362" t="s">
        <v>81</v>
      </c>
      <c r="D1375" s="562"/>
      <c r="E1375" s="562"/>
      <c r="F1375" s="562"/>
      <c r="G1375" s="562"/>
      <c r="H1375" s="562"/>
      <c r="I1375" s="562"/>
      <c r="J1375" s="562"/>
    </row>
    <row r="1376" spans="1:10" hidden="1" x14ac:dyDescent="0.25">
      <c r="A1376" s="362">
        <v>10</v>
      </c>
      <c r="B1376" s="611">
        <v>44058</v>
      </c>
      <c r="C1376" s="362" t="s">
        <v>79</v>
      </c>
      <c r="D1376" s="562"/>
      <c r="E1376" s="562"/>
      <c r="F1376" s="562"/>
      <c r="G1376" s="562"/>
      <c r="H1376" s="562"/>
      <c r="I1376" s="562"/>
      <c r="J1376" s="562"/>
    </row>
    <row r="1377" spans="1:10" hidden="1" x14ac:dyDescent="0.25">
      <c r="A1377" s="362">
        <v>11</v>
      </c>
      <c r="B1377" s="611">
        <v>44058</v>
      </c>
      <c r="C1377" s="362" t="s">
        <v>82</v>
      </c>
      <c r="D1377" s="562"/>
      <c r="E1377" s="562"/>
      <c r="F1377" s="562"/>
      <c r="G1377" s="562"/>
      <c r="H1377" s="562"/>
      <c r="I1377" s="562"/>
      <c r="J1377" s="562"/>
    </row>
    <row r="1378" spans="1:10" hidden="1" x14ac:dyDescent="0.25">
      <c r="A1378" s="362">
        <v>12</v>
      </c>
      <c r="B1378" s="611">
        <v>44058</v>
      </c>
      <c r="C1378" s="362" t="s">
        <v>78</v>
      </c>
      <c r="D1378" s="562"/>
      <c r="E1378" s="562"/>
      <c r="F1378" s="562"/>
      <c r="G1378" s="562"/>
      <c r="H1378" s="562"/>
      <c r="I1378" s="562"/>
      <c r="J1378" s="562"/>
    </row>
    <row r="1379" spans="1:10" hidden="1" x14ac:dyDescent="0.25">
      <c r="A1379" s="362">
        <v>13</v>
      </c>
      <c r="B1379" s="611">
        <v>44058</v>
      </c>
      <c r="C1379" s="362" t="s">
        <v>85</v>
      </c>
      <c r="D1379" s="562"/>
      <c r="E1379" s="562"/>
      <c r="F1379" s="562"/>
      <c r="G1379" s="562"/>
      <c r="H1379" s="562"/>
      <c r="I1379" s="562"/>
      <c r="J1379" s="562"/>
    </row>
    <row r="1380" spans="1:10" hidden="1" x14ac:dyDescent="0.25">
      <c r="A1380" s="362">
        <v>14</v>
      </c>
      <c r="B1380" s="611">
        <v>44058</v>
      </c>
      <c r="C1380" s="362" t="s">
        <v>166</v>
      </c>
      <c r="D1380" s="562"/>
      <c r="E1380" s="562"/>
      <c r="F1380" s="562"/>
      <c r="G1380" s="562"/>
      <c r="H1380" s="562"/>
      <c r="I1380" s="562"/>
      <c r="J1380" s="562"/>
    </row>
    <row r="1381" spans="1:10" hidden="1" x14ac:dyDescent="0.25">
      <c r="A1381" s="362">
        <v>15</v>
      </c>
      <c r="B1381" s="611">
        <v>44058</v>
      </c>
      <c r="C1381" s="362" t="s">
        <v>3435</v>
      </c>
      <c r="D1381" s="562"/>
      <c r="E1381" s="562"/>
      <c r="F1381" s="562"/>
      <c r="G1381" s="562"/>
      <c r="H1381" s="562"/>
      <c r="I1381" s="562"/>
      <c r="J1381" s="562"/>
    </row>
    <row r="1382" spans="1:10" hidden="1" x14ac:dyDescent="0.25">
      <c r="A1382" s="532"/>
      <c r="B1382" s="532"/>
      <c r="C1382" s="532"/>
      <c r="D1382" s="564"/>
      <c r="E1382" s="564"/>
      <c r="F1382" s="564"/>
      <c r="G1382" s="564"/>
      <c r="H1382" s="564"/>
      <c r="I1382" s="564"/>
      <c r="J1382" s="564"/>
    </row>
    <row r="1383" spans="1:10" hidden="1" x14ac:dyDescent="0.25">
      <c r="A1383" s="362">
        <v>1</v>
      </c>
      <c r="B1383" s="611">
        <v>44060</v>
      </c>
      <c r="C1383" s="362" t="s">
        <v>80</v>
      </c>
      <c r="D1383" s="562"/>
      <c r="E1383" s="562"/>
      <c r="F1383" s="562"/>
      <c r="G1383" s="562"/>
      <c r="H1383" s="562"/>
      <c r="I1383" s="562"/>
      <c r="J1383" s="562"/>
    </row>
    <row r="1384" spans="1:10" hidden="1" x14ac:dyDescent="0.25">
      <c r="A1384" s="362">
        <v>2</v>
      </c>
      <c r="B1384" s="611">
        <v>44060</v>
      </c>
      <c r="C1384" s="362" t="s">
        <v>83</v>
      </c>
      <c r="D1384" s="562"/>
      <c r="E1384" s="562"/>
      <c r="F1384" s="562"/>
      <c r="G1384" s="562"/>
      <c r="H1384" s="562"/>
      <c r="I1384" s="562"/>
      <c r="J1384" s="562"/>
    </row>
    <row r="1385" spans="1:10" hidden="1" x14ac:dyDescent="0.25">
      <c r="A1385" s="362">
        <v>3</v>
      </c>
      <c r="B1385" s="611">
        <v>44060</v>
      </c>
      <c r="C1385" s="362" t="s">
        <v>88</v>
      </c>
      <c r="D1385" s="562"/>
      <c r="E1385" s="562"/>
      <c r="F1385" s="562"/>
      <c r="G1385" s="562"/>
      <c r="H1385" s="562"/>
      <c r="I1385" s="562"/>
      <c r="J1385" s="562"/>
    </row>
    <row r="1386" spans="1:10" hidden="1" x14ac:dyDescent="0.25">
      <c r="A1386" s="362">
        <v>4</v>
      </c>
      <c r="B1386" s="611">
        <v>44060</v>
      </c>
      <c r="C1386" s="362" t="s">
        <v>146</v>
      </c>
      <c r="D1386" s="562"/>
      <c r="E1386" s="562"/>
      <c r="F1386" s="562"/>
      <c r="G1386" s="562"/>
      <c r="H1386" s="562"/>
      <c r="I1386" s="562"/>
      <c r="J1386" s="562"/>
    </row>
    <row r="1387" spans="1:10" hidden="1" x14ac:dyDescent="0.25">
      <c r="A1387" s="362">
        <v>5</v>
      </c>
      <c r="B1387" s="611">
        <v>44060</v>
      </c>
      <c r="C1387" s="362" t="s">
        <v>86</v>
      </c>
      <c r="D1387" s="562"/>
      <c r="E1387" s="562"/>
      <c r="F1387" s="562"/>
      <c r="G1387" s="562"/>
      <c r="H1387" s="562"/>
      <c r="I1387" s="562"/>
      <c r="J1387" s="562"/>
    </row>
    <row r="1388" spans="1:10" hidden="1" x14ac:dyDescent="0.25">
      <c r="A1388" s="362">
        <v>6</v>
      </c>
      <c r="B1388" s="611">
        <v>44060</v>
      </c>
      <c r="C1388" s="362" t="s">
        <v>89</v>
      </c>
      <c r="D1388" s="562"/>
      <c r="E1388" s="562"/>
      <c r="F1388" s="562"/>
      <c r="G1388" s="562"/>
      <c r="H1388" s="562"/>
      <c r="I1388" s="562"/>
      <c r="J1388" s="562"/>
    </row>
    <row r="1389" spans="1:10" hidden="1" x14ac:dyDescent="0.25">
      <c r="A1389" s="362">
        <v>7</v>
      </c>
      <c r="B1389" s="611">
        <v>44060</v>
      </c>
      <c r="C1389" s="362" t="s">
        <v>4751</v>
      </c>
      <c r="D1389" s="562"/>
      <c r="E1389" s="562"/>
      <c r="F1389" s="562"/>
      <c r="G1389" s="562"/>
      <c r="H1389" s="562"/>
      <c r="I1389" s="562"/>
      <c r="J1389" s="562"/>
    </row>
    <row r="1390" spans="1:10" hidden="1" x14ac:dyDescent="0.25">
      <c r="A1390" s="362">
        <v>8</v>
      </c>
      <c r="B1390" s="611">
        <v>44060</v>
      </c>
      <c r="C1390" s="362" t="s">
        <v>84</v>
      </c>
      <c r="D1390" s="562"/>
      <c r="E1390" s="562"/>
      <c r="F1390" s="562"/>
      <c r="G1390" s="562"/>
      <c r="H1390" s="562"/>
      <c r="I1390" s="562"/>
      <c r="J1390" s="562"/>
    </row>
    <row r="1391" spans="1:10" hidden="1" x14ac:dyDescent="0.25">
      <c r="A1391" s="362">
        <v>9</v>
      </c>
      <c r="B1391" s="611">
        <v>44060</v>
      </c>
      <c r="C1391" s="362" t="s">
        <v>81</v>
      </c>
      <c r="D1391" s="562"/>
      <c r="E1391" s="562"/>
      <c r="F1391" s="562"/>
      <c r="G1391" s="562"/>
      <c r="H1391" s="562"/>
      <c r="I1391" s="562"/>
      <c r="J1391" s="562"/>
    </row>
    <row r="1392" spans="1:10" hidden="1" x14ac:dyDescent="0.25">
      <c r="A1392" s="362">
        <v>10</v>
      </c>
      <c r="B1392" s="611">
        <v>44060</v>
      </c>
      <c r="C1392" s="362" t="s">
        <v>79</v>
      </c>
      <c r="D1392" s="562"/>
      <c r="E1392" s="562"/>
      <c r="F1392" s="562"/>
      <c r="G1392" s="562"/>
      <c r="H1392" s="562"/>
      <c r="I1392" s="562"/>
      <c r="J1392" s="562"/>
    </row>
    <row r="1393" spans="1:10" hidden="1" x14ac:dyDescent="0.25">
      <c r="A1393" s="362">
        <v>11</v>
      </c>
      <c r="B1393" s="611">
        <v>44060</v>
      </c>
      <c r="C1393" s="362" t="s">
        <v>82</v>
      </c>
      <c r="D1393" s="562"/>
      <c r="E1393" s="562"/>
      <c r="F1393" s="562"/>
      <c r="G1393" s="562"/>
      <c r="H1393" s="562"/>
      <c r="I1393" s="562"/>
      <c r="J1393" s="562"/>
    </row>
    <row r="1394" spans="1:10" hidden="1" x14ac:dyDescent="0.25">
      <c r="A1394" s="362">
        <v>12</v>
      </c>
      <c r="B1394" s="611">
        <v>44060</v>
      </c>
      <c r="C1394" s="362" t="s">
        <v>78</v>
      </c>
      <c r="D1394" s="562"/>
      <c r="E1394" s="562"/>
      <c r="F1394" s="562"/>
      <c r="G1394" s="562"/>
      <c r="H1394" s="562"/>
      <c r="I1394" s="562"/>
      <c r="J1394" s="562"/>
    </row>
    <row r="1395" spans="1:10" hidden="1" x14ac:dyDescent="0.25">
      <c r="A1395" s="362">
        <v>13</v>
      </c>
      <c r="B1395" s="611">
        <v>44060</v>
      </c>
      <c r="C1395" s="362" t="s">
        <v>85</v>
      </c>
      <c r="D1395" s="562"/>
      <c r="E1395" s="562"/>
      <c r="F1395" s="562"/>
      <c r="G1395" s="562"/>
      <c r="H1395" s="562"/>
      <c r="I1395" s="562"/>
      <c r="J1395" s="562"/>
    </row>
    <row r="1396" spans="1:10" hidden="1" x14ac:dyDescent="0.25">
      <c r="A1396" s="362">
        <v>14</v>
      </c>
      <c r="B1396" s="611">
        <v>44060</v>
      </c>
      <c r="C1396" s="362" t="s">
        <v>166</v>
      </c>
      <c r="D1396" s="562"/>
      <c r="E1396" s="562"/>
      <c r="F1396" s="562"/>
      <c r="G1396" s="562"/>
      <c r="H1396" s="562"/>
      <c r="I1396" s="562"/>
      <c r="J1396" s="562"/>
    </row>
    <row r="1397" spans="1:10" hidden="1" x14ac:dyDescent="0.25">
      <c r="A1397" s="362">
        <v>15</v>
      </c>
      <c r="B1397" s="611">
        <v>44060</v>
      </c>
      <c r="C1397" s="362" t="s">
        <v>3435</v>
      </c>
      <c r="D1397" s="562"/>
      <c r="E1397" s="562"/>
      <c r="F1397" s="562"/>
      <c r="G1397" s="562"/>
      <c r="H1397" s="562"/>
      <c r="I1397" s="562"/>
      <c r="J1397" s="562"/>
    </row>
    <row r="1398" spans="1:10" hidden="1" x14ac:dyDescent="0.25">
      <c r="A1398" s="532"/>
      <c r="B1398" s="532"/>
      <c r="C1398" s="532"/>
      <c r="D1398" s="564"/>
      <c r="E1398" s="564"/>
      <c r="F1398" s="564"/>
      <c r="G1398" s="564"/>
      <c r="H1398" s="564"/>
      <c r="I1398" s="564"/>
      <c r="J1398" s="564"/>
    </row>
    <row r="1399" spans="1:10" hidden="1" x14ac:dyDescent="0.25">
      <c r="A1399" s="362">
        <v>1</v>
      </c>
      <c r="B1399" s="611">
        <v>44061</v>
      </c>
      <c r="C1399" s="362" t="s">
        <v>80</v>
      </c>
      <c r="D1399" s="562"/>
      <c r="E1399" s="562"/>
      <c r="F1399" s="562"/>
      <c r="G1399" s="562"/>
      <c r="H1399" s="562"/>
      <c r="I1399" s="562"/>
      <c r="J1399" s="562"/>
    </row>
    <row r="1400" spans="1:10" hidden="1" x14ac:dyDescent="0.25">
      <c r="A1400" s="362">
        <v>2</v>
      </c>
      <c r="B1400" s="611">
        <v>44061</v>
      </c>
      <c r="C1400" s="362" t="s">
        <v>83</v>
      </c>
      <c r="D1400" s="562"/>
      <c r="E1400" s="562"/>
      <c r="F1400" s="562"/>
      <c r="G1400" s="562"/>
      <c r="H1400" s="562"/>
      <c r="I1400" s="562"/>
      <c r="J1400" s="562"/>
    </row>
    <row r="1401" spans="1:10" hidden="1" x14ac:dyDescent="0.25">
      <c r="A1401" s="362">
        <v>3</v>
      </c>
      <c r="B1401" s="611">
        <v>44061</v>
      </c>
      <c r="C1401" s="362" t="s">
        <v>88</v>
      </c>
      <c r="D1401" s="562"/>
      <c r="E1401" s="562"/>
      <c r="F1401" s="562"/>
      <c r="G1401" s="562"/>
      <c r="H1401" s="562"/>
      <c r="I1401" s="562"/>
      <c r="J1401" s="562"/>
    </row>
    <row r="1402" spans="1:10" hidden="1" x14ac:dyDescent="0.25">
      <c r="A1402" s="362">
        <v>4</v>
      </c>
      <c r="B1402" s="611">
        <v>44061</v>
      </c>
      <c r="C1402" s="362" t="s">
        <v>146</v>
      </c>
      <c r="D1402" s="562"/>
      <c r="E1402" s="562"/>
      <c r="F1402" s="562"/>
      <c r="G1402" s="562"/>
      <c r="H1402" s="562"/>
      <c r="I1402" s="562"/>
      <c r="J1402" s="562"/>
    </row>
    <row r="1403" spans="1:10" hidden="1" x14ac:dyDescent="0.25">
      <c r="A1403" s="362">
        <v>5</v>
      </c>
      <c r="B1403" s="611">
        <v>44061</v>
      </c>
      <c r="C1403" s="362" t="s">
        <v>86</v>
      </c>
      <c r="D1403" s="562"/>
      <c r="E1403" s="562"/>
      <c r="F1403" s="562"/>
      <c r="G1403" s="562"/>
      <c r="H1403" s="562"/>
      <c r="I1403" s="562"/>
      <c r="J1403" s="562"/>
    </row>
    <row r="1404" spans="1:10" hidden="1" x14ac:dyDescent="0.25">
      <c r="A1404" s="362">
        <v>6</v>
      </c>
      <c r="B1404" s="611">
        <v>44061</v>
      </c>
      <c r="C1404" s="362" t="s">
        <v>89</v>
      </c>
      <c r="D1404" s="562"/>
      <c r="E1404" s="562"/>
      <c r="F1404" s="562"/>
      <c r="G1404" s="562"/>
      <c r="H1404" s="562"/>
      <c r="I1404" s="562"/>
      <c r="J1404" s="562"/>
    </row>
    <row r="1405" spans="1:10" hidden="1" x14ac:dyDescent="0.25">
      <c r="A1405" s="362">
        <v>7</v>
      </c>
      <c r="B1405" s="611">
        <v>44061</v>
      </c>
      <c r="C1405" s="362" t="s">
        <v>4751</v>
      </c>
      <c r="D1405" s="562"/>
      <c r="E1405" s="562"/>
      <c r="F1405" s="562"/>
      <c r="G1405" s="562"/>
      <c r="H1405" s="562"/>
      <c r="I1405" s="562"/>
      <c r="J1405" s="562"/>
    </row>
    <row r="1406" spans="1:10" hidden="1" x14ac:dyDescent="0.25">
      <c r="A1406" s="362">
        <v>8</v>
      </c>
      <c r="B1406" s="611">
        <v>44061</v>
      </c>
      <c r="C1406" s="362" t="s">
        <v>84</v>
      </c>
      <c r="D1406" s="562"/>
      <c r="E1406" s="562"/>
      <c r="F1406" s="562"/>
      <c r="G1406" s="562"/>
      <c r="H1406" s="562"/>
      <c r="I1406" s="562"/>
      <c r="J1406" s="562"/>
    </row>
    <row r="1407" spans="1:10" hidden="1" x14ac:dyDescent="0.25">
      <c r="A1407" s="362">
        <v>9</v>
      </c>
      <c r="B1407" s="611">
        <v>44061</v>
      </c>
      <c r="C1407" s="362" t="s">
        <v>81</v>
      </c>
      <c r="D1407" s="562"/>
      <c r="E1407" s="562"/>
      <c r="F1407" s="562"/>
      <c r="G1407" s="562"/>
      <c r="H1407" s="562"/>
      <c r="I1407" s="562"/>
      <c r="J1407" s="562"/>
    </row>
    <row r="1408" spans="1:10" hidden="1" x14ac:dyDescent="0.25">
      <c r="A1408" s="362">
        <v>10</v>
      </c>
      <c r="B1408" s="611">
        <v>44061</v>
      </c>
      <c r="C1408" s="362" t="s">
        <v>79</v>
      </c>
      <c r="D1408" s="562"/>
      <c r="E1408" s="562"/>
      <c r="F1408" s="562"/>
      <c r="G1408" s="562"/>
      <c r="H1408" s="562"/>
      <c r="I1408" s="562"/>
      <c r="J1408" s="562"/>
    </row>
    <row r="1409" spans="1:10" hidden="1" x14ac:dyDescent="0.25">
      <c r="A1409" s="362">
        <v>11</v>
      </c>
      <c r="B1409" s="611">
        <v>44061</v>
      </c>
      <c r="C1409" s="362" t="s">
        <v>82</v>
      </c>
      <c r="D1409" s="562"/>
      <c r="E1409" s="562"/>
      <c r="F1409" s="562"/>
      <c r="G1409" s="562"/>
      <c r="H1409" s="562"/>
      <c r="I1409" s="562"/>
      <c r="J1409" s="562"/>
    </row>
    <row r="1410" spans="1:10" hidden="1" x14ac:dyDescent="0.25">
      <c r="A1410" s="362">
        <v>12</v>
      </c>
      <c r="B1410" s="611">
        <v>44061</v>
      </c>
      <c r="C1410" s="362" t="s">
        <v>78</v>
      </c>
      <c r="D1410" s="562"/>
      <c r="E1410" s="562"/>
      <c r="F1410" s="562"/>
      <c r="G1410" s="562"/>
      <c r="H1410" s="562"/>
      <c r="I1410" s="562"/>
      <c r="J1410" s="562"/>
    </row>
    <row r="1411" spans="1:10" hidden="1" x14ac:dyDescent="0.25">
      <c r="A1411" s="362">
        <v>13</v>
      </c>
      <c r="B1411" s="611">
        <v>44061</v>
      </c>
      <c r="C1411" s="362" t="s">
        <v>85</v>
      </c>
      <c r="D1411" s="562"/>
      <c r="E1411" s="562"/>
      <c r="F1411" s="562"/>
      <c r="G1411" s="562"/>
      <c r="H1411" s="562"/>
      <c r="I1411" s="562"/>
      <c r="J1411" s="562"/>
    </row>
    <row r="1412" spans="1:10" hidden="1" x14ac:dyDescent="0.25">
      <c r="A1412" s="362">
        <v>14</v>
      </c>
      <c r="B1412" s="611">
        <v>44061</v>
      </c>
      <c r="C1412" s="362" t="s">
        <v>166</v>
      </c>
      <c r="D1412" s="562"/>
      <c r="E1412" s="562"/>
      <c r="F1412" s="562"/>
      <c r="G1412" s="562"/>
      <c r="H1412" s="562"/>
      <c r="I1412" s="562"/>
      <c r="J1412" s="562"/>
    </row>
    <row r="1413" spans="1:10" hidden="1" x14ac:dyDescent="0.25">
      <c r="A1413" s="362">
        <v>15</v>
      </c>
      <c r="B1413" s="611">
        <v>44061</v>
      </c>
      <c r="C1413" s="362" t="s">
        <v>3435</v>
      </c>
      <c r="D1413" s="562"/>
      <c r="E1413" s="562"/>
      <c r="F1413" s="562"/>
      <c r="G1413" s="562"/>
      <c r="H1413" s="562"/>
      <c r="I1413" s="562"/>
      <c r="J1413" s="562"/>
    </row>
    <row r="1414" spans="1:10" hidden="1" x14ac:dyDescent="0.25">
      <c r="A1414" s="532"/>
      <c r="B1414" s="532"/>
      <c r="C1414" s="532"/>
      <c r="D1414" s="564"/>
      <c r="E1414" s="564"/>
      <c r="F1414" s="564"/>
      <c r="G1414" s="564"/>
      <c r="H1414" s="564"/>
      <c r="I1414" s="564"/>
      <c r="J1414" s="564"/>
    </row>
    <row r="1415" spans="1:10" hidden="1" x14ac:dyDescent="0.25">
      <c r="A1415" s="362">
        <v>1</v>
      </c>
      <c r="B1415" s="611">
        <v>44062</v>
      </c>
      <c r="C1415" s="362" t="s">
        <v>80</v>
      </c>
      <c r="D1415" s="562"/>
      <c r="E1415" s="562"/>
      <c r="F1415" s="562"/>
      <c r="G1415" s="562"/>
      <c r="H1415" s="562"/>
      <c r="I1415" s="562"/>
      <c r="J1415" s="562"/>
    </row>
    <row r="1416" spans="1:10" hidden="1" x14ac:dyDescent="0.25">
      <c r="A1416" s="362">
        <v>2</v>
      </c>
      <c r="B1416" s="611">
        <v>44062</v>
      </c>
      <c r="C1416" s="362" t="s">
        <v>83</v>
      </c>
      <c r="D1416" s="562"/>
      <c r="E1416" s="562"/>
      <c r="F1416" s="562"/>
      <c r="G1416" s="562"/>
      <c r="H1416" s="562"/>
      <c r="I1416" s="562"/>
      <c r="J1416" s="562"/>
    </row>
    <row r="1417" spans="1:10" hidden="1" x14ac:dyDescent="0.25">
      <c r="A1417" s="362">
        <v>3</v>
      </c>
      <c r="B1417" s="611">
        <v>44062</v>
      </c>
      <c r="C1417" s="362" t="s">
        <v>88</v>
      </c>
      <c r="D1417" s="562"/>
      <c r="E1417" s="562"/>
      <c r="F1417" s="562"/>
      <c r="G1417" s="562"/>
      <c r="H1417" s="562"/>
      <c r="I1417" s="562"/>
      <c r="J1417" s="562"/>
    </row>
    <row r="1418" spans="1:10" hidden="1" x14ac:dyDescent="0.25">
      <c r="A1418" s="362">
        <v>4</v>
      </c>
      <c r="B1418" s="611">
        <v>44062</v>
      </c>
      <c r="C1418" s="362" t="s">
        <v>146</v>
      </c>
      <c r="D1418" s="562"/>
      <c r="E1418" s="562"/>
      <c r="F1418" s="562"/>
      <c r="G1418" s="562"/>
      <c r="H1418" s="562"/>
      <c r="I1418" s="562"/>
      <c r="J1418" s="562"/>
    </row>
    <row r="1419" spans="1:10" hidden="1" x14ac:dyDescent="0.25">
      <c r="A1419" s="362">
        <v>5</v>
      </c>
      <c r="B1419" s="611">
        <v>44062</v>
      </c>
      <c r="C1419" s="362" t="s">
        <v>86</v>
      </c>
      <c r="D1419" s="562"/>
      <c r="E1419" s="562"/>
      <c r="F1419" s="562"/>
      <c r="G1419" s="562"/>
      <c r="H1419" s="562"/>
      <c r="I1419" s="562"/>
      <c r="J1419" s="562"/>
    </row>
    <row r="1420" spans="1:10" hidden="1" x14ac:dyDescent="0.25">
      <c r="A1420" s="362">
        <v>6</v>
      </c>
      <c r="B1420" s="611">
        <v>44062</v>
      </c>
      <c r="C1420" s="362" t="s">
        <v>89</v>
      </c>
      <c r="D1420" s="562"/>
      <c r="E1420" s="562"/>
      <c r="F1420" s="562"/>
      <c r="G1420" s="562"/>
      <c r="H1420" s="562"/>
      <c r="I1420" s="562"/>
      <c r="J1420" s="562"/>
    </row>
    <row r="1421" spans="1:10" hidden="1" x14ac:dyDescent="0.25">
      <c r="A1421" s="362">
        <v>7</v>
      </c>
      <c r="B1421" s="611">
        <v>44062</v>
      </c>
      <c r="C1421" s="362" t="s">
        <v>4751</v>
      </c>
      <c r="D1421" s="562"/>
      <c r="E1421" s="562"/>
      <c r="F1421" s="562"/>
      <c r="G1421" s="562"/>
      <c r="H1421" s="562"/>
      <c r="I1421" s="562"/>
      <c r="J1421" s="562"/>
    </row>
    <row r="1422" spans="1:10" hidden="1" x14ac:dyDescent="0.25">
      <c r="A1422" s="362">
        <v>8</v>
      </c>
      <c r="B1422" s="611">
        <v>44062</v>
      </c>
      <c r="C1422" s="362" t="s">
        <v>84</v>
      </c>
      <c r="D1422" s="562"/>
      <c r="E1422" s="562"/>
      <c r="F1422" s="562"/>
      <c r="G1422" s="562"/>
      <c r="H1422" s="562"/>
      <c r="I1422" s="562"/>
      <c r="J1422" s="562"/>
    </row>
    <row r="1423" spans="1:10" hidden="1" x14ac:dyDescent="0.25">
      <c r="A1423" s="362">
        <v>9</v>
      </c>
      <c r="B1423" s="611">
        <v>44062</v>
      </c>
      <c r="C1423" s="362" t="s">
        <v>81</v>
      </c>
      <c r="D1423" s="562"/>
      <c r="E1423" s="562"/>
      <c r="F1423" s="562"/>
      <c r="G1423" s="562"/>
      <c r="H1423" s="562"/>
      <c r="I1423" s="562"/>
      <c r="J1423" s="562"/>
    </row>
    <row r="1424" spans="1:10" hidden="1" x14ac:dyDescent="0.25">
      <c r="A1424" s="362">
        <v>10</v>
      </c>
      <c r="B1424" s="611">
        <v>44062</v>
      </c>
      <c r="C1424" s="362" t="s">
        <v>79</v>
      </c>
      <c r="D1424" s="562"/>
      <c r="E1424" s="562"/>
      <c r="F1424" s="562"/>
      <c r="G1424" s="562"/>
      <c r="H1424" s="562"/>
      <c r="I1424" s="562"/>
      <c r="J1424" s="562"/>
    </row>
    <row r="1425" spans="1:10" hidden="1" x14ac:dyDescent="0.25">
      <c r="A1425" s="362">
        <v>11</v>
      </c>
      <c r="B1425" s="611">
        <v>44062</v>
      </c>
      <c r="C1425" s="362" t="s">
        <v>82</v>
      </c>
      <c r="D1425" s="562"/>
      <c r="E1425" s="562"/>
      <c r="F1425" s="562"/>
      <c r="G1425" s="562"/>
      <c r="H1425" s="562"/>
      <c r="I1425" s="562"/>
      <c r="J1425" s="562"/>
    </row>
    <row r="1426" spans="1:10" hidden="1" x14ac:dyDescent="0.25">
      <c r="A1426" s="362">
        <v>12</v>
      </c>
      <c r="B1426" s="611">
        <v>44062</v>
      </c>
      <c r="C1426" s="362" t="s">
        <v>78</v>
      </c>
      <c r="D1426" s="562"/>
      <c r="E1426" s="562"/>
      <c r="F1426" s="562"/>
      <c r="G1426" s="562"/>
      <c r="H1426" s="562"/>
      <c r="I1426" s="562"/>
      <c r="J1426" s="562"/>
    </row>
    <row r="1427" spans="1:10" hidden="1" x14ac:dyDescent="0.25">
      <c r="A1427" s="362">
        <v>13</v>
      </c>
      <c r="B1427" s="611">
        <v>44062</v>
      </c>
      <c r="C1427" s="362" t="s">
        <v>85</v>
      </c>
      <c r="D1427" s="562"/>
      <c r="E1427" s="562"/>
      <c r="F1427" s="562"/>
      <c r="G1427" s="562"/>
      <c r="H1427" s="562"/>
      <c r="I1427" s="562"/>
      <c r="J1427" s="562"/>
    </row>
    <row r="1428" spans="1:10" hidden="1" x14ac:dyDescent="0.25">
      <c r="A1428" s="362">
        <v>14</v>
      </c>
      <c r="B1428" s="611">
        <v>44062</v>
      </c>
      <c r="C1428" s="362" t="s">
        <v>166</v>
      </c>
      <c r="D1428" s="562"/>
      <c r="E1428" s="562"/>
      <c r="F1428" s="562"/>
      <c r="G1428" s="562"/>
      <c r="H1428" s="562"/>
      <c r="I1428" s="562"/>
      <c r="J1428" s="562"/>
    </row>
    <row r="1429" spans="1:10" hidden="1" x14ac:dyDescent="0.25">
      <c r="A1429" s="362">
        <v>15</v>
      </c>
      <c r="B1429" s="611">
        <v>44062</v>
      </c>
      <c r="C1429" s="362" t="s">
        <v>3435</v>
      </c>
      <c r="D1429" s="562"/>
      <c r="E1429" s="562"/>
      <c r="F1429" s="562"/>
      <c r="G1429" s="562"/>
      <c r="H1429" s="562"/>
      <c r="I1429" s="562"/>
      <c r="J1429" s="562"/>
    </row>
    <row r="1430" spans="1:10" hidden="1" x14ac:dyDescent="0.25">
      <c r="A1430" s="532"/>
      <c r="B1430" s="532"/>
      <c r="C1430" s="532"/>
      <c r="D1430" s="564"/>
      <c r="E1430" s="564"/>
      <c r="F1430" s="564"/>
      <c r="G1430" s="564"/>
      <c r="H1430" s="564"/>
      <c r="I1430" s="564"/>
      <c r="J1430" s="564"/>
    </row>
    <row r="1431" spans="1:10" hidden="1" x14ac:dyDescent="0.25">
      <c r="A1431" s="362">
        <v>1</v>
      </c>
      <c r="B1431" s="611">
        <v>44063</v>
      </c>
      <c r="C1431" s="362" t="s">
        <v>80</v>
      </c>
      <c r="D1431" s="562"/>
      <c r="E1431" s="562"/>
      <c r="F1431" s="562"/>
      <c r="G1431" s="562"/>
      <c r="H1431" s="562"/>
      <c r="I1431" s="562">
        <v>4665941</v>
      </c>
      <c r="J1431" s="562"/>
    </row>
    <row r="1432" spans="1:10" hidden="1" x14ac:dyDescent="0.25">
      <c r="A1432" s="362">
        <v>2</v>
      </c>
      <c r="B1432" s="611">
        <v>44063</v>
      </c>
      <c r="C1432" s="362" t="s">
        <v>83</v>
      </c>
      <c r="D1432" s="562"/>
      <c r="E1432" s="562"/>
      <c r="F1432" s="562"/>
      <c r="G1432" s="562"/>
      <c r="H1432" s="562"/>
      <c r="I1432" s="562">
        <v>2088267</v>
      </c>
      <c r="J1432" s="562"/>
    </row>
    <row r="1433" spans="1:10" hidden="1" x14ac:dyDescent="0.25">
      <c r="A1433" s="362">
        <v>3</v>
      </c>
      <c r="B1433" s="611">
        <v>44063</v>
      </c>
      <c r="C1433" s="362" t="s">
        <v>88</v>
      </c>
      <c r="D1433" s="562"/>
      <c r="E1433" s="562"/>
      <c r="F1433" s="562"/>
      <c r="G1433" s="562"/>
      <c r="H1433" s="562"/>
      <c r="I1433" s="562"/>
      <c r="J1433" s="562"/>
    </row>
    <row r="1434" spans="1:10" hidden="1" x14ac:dyDescent="0.25">
      <c r="A1434" s="362">
        <v>4</v>
      </c>
      <c r="B1434" s="611">
        <v>44063</v>
      </c>
      <c r="C1434" s="362" t="s">
        <v>146</v>
      </c>
      <c r="D1434" s="562"/>
      <c r="E1434" s="562"/>
      <c r="F1434" s="562"/>
      <c r="G1434" s="562"/>
      <c r="H1434" s="562"/>
      <c r="I1434" s="562"/>
      <c r="J1434" s="562"/>
    </row>
    <row r="1435" spans="1:10" hidden="1" x14ac:dyDescent="0.25">
      <c r="A1435" s="362">
        <v>5</v>
      </c>
      <c r="B1435" s="611">
        <v>44063</v>
      </c>
      <c r="C1435" s="362" t="s">
        <v>86</v>
      </c>
      <c r="D1435" s="562"/>
      <c r="E1435" s="562"/>
      <c r="F1435" s="562"/>
      <c r="G1435" s="562"/>
      <c r="H1435" s="562"/>
      <c r="I1435" s="562"/>
      <c r="J1435" s="562"/>
    </row>
    <row r="1436" spans="1:10" hidden="1" x14ac:dyDescent="0.25">
      <c r="A1436" s="362">
        <v>6</v>
      </c>
      <c r="B1436" s="611">
        <v>44063</v>
      </c>
      <c r="C1436" s="362" t="s">
        <v>89</v>
      </c>
      <c r="D1436" s="562"/>
      <c r="E1436" s="562"/>
      <c r="F1436" s="562"/>
      <c r="G1436" s="562"/>
      <c r="H1436" s="562"/>
      <c r="I1436" s="562">
        <v>1243877</v>
      </c>
      <c r="J1436" s="562"/>
    </row>
    <row r="1437" spans="1:10" hidden="1" x14ac:dyDescent="0.25">
      <c r="A1437" s="362">
        <v>7</v>
      </c>
      <c r="B1437" s="611">
        <v>44063</v>
      </c>
      <c r="C1437" s="362" t="s">
        <v>4751</v>
      </c>
      <c r="D1437" s="562"/>
      <c r="E1437" s="562"/>
      <c r="F1437" s="562"/>
      <c r="G1437" s="562"/>
      <c r="H1437" s="562"/>
      <c r="I1437" s="562"/>
      <c r="J1437" s="562"/>
    </row>
    <row r="1438" spans="1:10" hidden="1" x14ac:dyDescent="0.25">
      <c r="A1438" s="362">
        <v>8</v>
      </c>
      <c r="B1438" s="611">
        <v>44063</v>
      </c>
      <c r="C1438" s="362" t="s">
        <v>84</v>
      </c>
      <c r="D1438" s="562"/>
      <c r="E1438" s="562"/>
      <c r="F1438" s="562"/>
      <c r="G1438" s="562"/>
      <c r="H1438" s="562"/>
      <c r="I1438" s="562">
        <v>1985274</v>
      </c>
      <c r="J1438" s="562"/>
    </row>
    <row r="1439" spans="1:10" hidden="1" x14ac:dyDescent="0.25">
      <c r="A1439" s="362">
        <v>9</v>
      </c>
      <c r="B1439" s="611">
        <v>44063</v>
      </c>
      <c r="C1439" s="362" t="s">
        <v>81</v>
      </c>
      <c r="D1439" s="562"/>
      <c r="E1439" s="562"/>
      <c r="F1439" s="562"/>
      <c r="G1439" s="562"/>
      <c r="H1439" s="562"/>
      <c r="I1439" s="562"/>
      <c r="J1439" s="562"/>
    </row>
    <row r="1440" spans="1:10" hidden="1" x14ac:dyDescent="0.25">
      <c r="A1440" s="362">
        <v>10</v>
      </c>
      <c r="B1440" s="611">
        <v>44063</v>
      </c>
      <c r="C1440" s="362" t="s">
        <v>79</v>
      </c>
      <c r="D1440" s="562"/>
      <c r="E1440" s="562"/>
      <c r="F1440" s="562"/>
      <c r="G1440" s="562"/>
      <c r="H1440" s="562"/>
      <c r="I1440" s="562">
        <v>1239110</v>
      </c>
      <c r="J1440" s="562"/>
    </row>
    <row r="1441" spans="1:10" hidden="1" x14ac:dyDescent="0.25">
      <c r="A1441" s="362">
        <v>11</v>
      </c>
      <c r="B1441" s="611">
        <v>44063</v>
      </c>
      <c r="C1441" s="362" t="s">
        <v>82</v>
      </c>
      <c r="D1441" s="562"/>
      <c r="E1441" s="562"/>
      <c r="F1441" s="562"/>
      <c r="G1441" s="562"/>
      <c r="H1441" s="562"/>
      <c r="I1441" s="562">
        <v>2007091</v>
      </c>
      <c r="J1441" s="562"/>
    </row>
    <row r="1442" spans="1:10" hidden="1" x14ac:dyDescent="0.25">
      <c r="A1442" s="362">
        <v>12</v>
      </c>
      <c r="B1442" s="611">
        <v>44063</v>
      </c>
      <c r="C1442" s="362" t="s">
        <v>78</v>
      </c>
      <c r="D1442" s="562"/>
      <c r="E1442" s="562"/>
      <c r="F1442" s="562"/>
      <c r="G1442" s="562"/>
      <c r="H1442" s="562"/>
      <c r="I1442" s="562">
        <v>2466281</v>
      </c>
      <c r="J1442" s="562"/>
    </row>
    <row r="1443" spans="1:10" hidden="1" x14ac:dyDescent="0.25">
      <c r="A1443" s="362">
        <v>13</v>
      </c>
      <c r="B1443" s="611">
        <v>44063</v>
      </c>
      <c r="C1443" s="362" t="s">
        <v>85</v>
      </c>
      <c r="D1443" s="562"/>
      <c r="E1443" s="562"/>
      <c r="F1443" s="562"/>
      <c r="G1443" s="562"/>
      <c r="H1443" s="562"/>
      <c r="I1443" s="562"/>
      <c r="J1443" s="562"/>
    </row>
    <row r="1444" spans="1:10" hidden="1" x14ac:dyDescent="0.25">
      <c r="A1444" s="362">
        <v>14</v>
      </c>
      <c r="B1444" s="611">
        <v>44063</v>
      </c>
      <c r="C1444" s="362" t="s">
        <v>166</v>
      </c>
      <c r="D1444" s="562"/>
      <c r="E1444" s="562"/>
      <c r="F1444" s="562"/>
      <c r="G1444" s="562"/>
      <c r="H1444" s="562"/>
      <c r="I1444" s="562"/>
      <c r="J1444" s="562"/>
    </row>
    <row r="1445" spans="1:10" hidden="1" x14ac:dyDescent="0.25">
      <c r="A1445" s="362">
        <v>15</v>
      </c>
      <c r="B1445" s="611">
        <v>44063</v>
      </c>
      <c r="C1445" s="362" t="s">
        <v>3435</v>
      </c>
      <c r="D1445" s="562"/>
      <c r="E1445" s="562"/>
      <c r="F1445" s="562"/>
      <c r="G1445" s="562"/>
      <c r="H1445" s="562"/>
      <c r="I1445" s="562"/>
      <c r="J1445" s="562"/>
    </row>
    <row r="1446" spans="1:10" hidden="1" x14ac:dyDescent="0.25">
      <c r="A1446" s="532"/>
      <c r="B1446" s="532"/>
      <c r="C1446" s="532"/>
      <c r="D1446" s="564"/>
      <c r="E1446" s="564"/>
      <c r="F1446" s="564"/>
      <c r="G1446" s="564"/>
      <c r="H1446" s="564"/>
      <c r="I1446" s="564"/>
      <c r="J1446" s="564"/>
    </row>
    <row r="1447" spans="1:10" hidden="1" x14ac:dyDescent="0.25">
      <c r="A1447" s="362">
        <v>1</v>
      </c>
      <c r="B1447" s="611">
        <v>44064</v>
      </c>
      <c r="C1447" s="362" t="s">
        <v>80</v>
      </c>
      <c r="D1447" s="562"/>
      <c r="E1447" s="562"/>
      <c r="F1447" s="562"/>
      <c r="G1447" s="562"/>
      <c r="H1447" s="562"/>
      <c r="I1447" s="562"/>
      <c r="J1447" s="562"/>
    </row>
    <row r="1448" spans="1:10" hidden="1" x14ac:dyDescent="0.25">
      <c r="A1448" s="362">
        <v>2</v>
      </c>
      <c r="B1448" s="611">
        <v>44064</v>
      </c>
      <c r="C1448" s="362" t="s">
        <v>83</v>
      </c>
      <c r="D1448" s="562"/>
      <c r="E1448" s="562"/>
      <c r="F1448" s="562"/>
      <c r="G1448" s="562"/>
      <c r="H1448" s="562"/>
      <c r="I1448" s="562"/>
      <c r="J1448" s="562"/>
    </row>
    <row r="1449" spans="1:10" hidden="1" x14ac:dyDescent="0.25">
      <c r="A1449" s="362">
        <v>3</v>
      </c>
      <c r="B1449" s="611">
        <v>44064</v>
      </c>
      <c r="C1449" s="362" t="s">
        <v>88</v>
      </c>
      <c r="D1449" s="562"/>
      <c r="E1449" s="562"/>
      <c r="F1449" s="562"/>
      <c r="G1449" s="562"/>
      <c r="H1449" s="562"/>
      <c r="I1449" s="562">
        <v>1201621</v>
      </c>
      <c r="J1449" s="562"/>
    </row>
    <row r="1450" spans="1:10" hidden="1" x14ac:dyDescent="0.25">
      <c r="A1450" s="362">
        <v>4</v>
      </c>
      <c r="B1450" s="611">
        <v>44064</v>
      </c>
      <c r="C1450" s="362" t="s">
        <v>146</v>
      </c>
      <c r="D1450" s="562"/>
      <c r="E1450" s="562"/>
      <c r="F1450" s="562"/>
      <c r="G1450" s="562"/>
      <c r="H1450" s="562"/>
      <c r="I1450" s="562">
        <v>1949600</v>
      </c>
      <c r="J1450" s="562"/>
    </row>
    <row r="1451" spans="1:10" hidden="1" x14ac:dyDescent="0.25">
      <c r="A1451" s="362">
        <v>5</v>
      </c>
      <c r="B1451" s="611">
        <v>44064</v>
      </c>
      <c r="C1451" s="362" t="s">
        <v>86</v>
      </c>
      <c r="D1451" s="562"/>
      <c r="E1451" s="562"/>
      <c r="F1451" s="562"/>
      <c r="G1451" s="562"/>
      <c r="H1451" s="562"/>
      <c r="I1451" s="562">
        <v>2256524</v>
      </c>
      <c r="J1451" s="562"/>
    </row>
    <row r="1452" spans="1:10" hidden="1" x14ac:dyDescent="0.25">
      <c r="A1452" s="362">
        <v>6</v>
      </c>
      <c r="B1452" s="611">
        <v>44064</v>
      </c>
      <c r="C1452" s="362" t="s">
        <v>89</v>
      </c>
      <c r="D1452" s="562"/>
      <c r="E1452" s="562"/>
      <c r="F1452" s="562"/>
      <c r="G1452" s="562"/>
      <c r="H1452" s="562"/>
      <c r="I1452" s="562"/>
      <c r="J1452" s="562"/>
    </row>
    <row r="1453" spans="1:10" hidden="1" x14ac:dyDescent="0.25">
      <c r="A1453" s="362">
        <v>7</v>
      </c>
      <c r="B1453" s="611">
        <v>44064</v>
      </c>
      <c r="C1453" s="362" t="s">
        <v>4751</v>
      </c>
      <c r="D1453" s="562"/>
      <c r="E1453" s="562"/>
      <c r="F1453" s="562"/>
      <c r="G1453" s="562"/>
      <c r="H1453" s="562"/>
      <c r="I1453" s="562">
        <v>1247614</v>
      </c>
      <c r="J1453" s="562"/>
    </row>
    <row r="1454" spans="1:10" hidden="1" x14ac:dyDescent="0.25">
      <c r="A1454" s="362">
        <v>8</v>
      </c>
      <c r="B1454" s="611">
        <v>44064</v>
      </c>
      <c r="C1454" s="362" t="s">
        <v>84</v>
      </c>
      <c r="D1454" s="562"/>
      <c r="E1454" s="562"/>
      <c r="F1454" s="562"/>
      <c r="G1454" s="562"/>
      <c r="H1454" s="562"/>
      <c r="I1454" s="562"/>
      <c r="J1454" s="562"/>
    </row>
    <row r="1455" spans="1:10" hidden="1" x14ac:dyDescent="0.25">
      <c r="A1455" s="362">
        <v>9</v>
      </c>
      <c r="B1455" s="611">
        <v>44064</v>
      </c>
      <c r="C1455" s="362" t="s">
        <v>81</v>
      </c>
      <c r="D1455" s="562"/>
      <c r="E1455" s="562"/>
      <c r="F1455" s="562"/>
      <c r="G1455" s="562"/>
      <c r="H1455" s="562"/>
      <c r="I1455" s="562"/>
      <c r="J1455" s="562"/>
    </row>
    <row r="1456" spans="1:10" hidden="1" x14ac:dyDescent="0.25">
      <c r="A1456" s="362">
        <v>10</v>
      </c>
      <c r="B1456" s="611">
        <v>44064</v>
      </c>
      <c r="C1456" s="362" t="s">
        <v>79</v>
      </c>
      <c r="D1456" s="562"/>
      <c r="E1456" s="562"/>
      <c r="F1456" s="562"/>
      <c r="G1456" s="562"/>
      <c r="H1456" s="562"/>
      <c r="I1456" s="562"/>
      <c r="J1456" s="562"/>
    </row>
    <row r="1457" spans="1:10" hidden="1" x14ac:dyDescent="0.25">
      <c r="A1457" s="362">
        <v>11</v>
      </c>
      <c r="B1457" s="611">
        <v>44064</v>
      </c>
      <c r="C1457" s="362" t="s">
        <v>82</v>
      </c>
      <c r="D1457" s="562"/>
      <c r="E1457" s="562"/>
      <c r="F1457" s="562"/>
      <c r="G1457" s="562"/>
      <c r="H1457" s="562"/>
      <c r="I1457" s="562"/>
      <c r="J1457" s="562"/>
    </row>
    <row r="1458" spans="1:10" hidden="1" x14ac:dyDescent="0.25">
      <c r="A1458" s="362">
        <v>12</v>
      </c>
      <c r="B1458" s="611">
        <v>44064</v>
      </c>
      <c r="C1458" s="362" t="s">
        <v>78</v>
      </c>
      <c r="D1458" s="562"/>
      <c r="E1458" s="562"/>
      <c r="F1458" s="562"/>
      <c r="G1458" s="562"/>
      <c r="H1458" s="562"/>
      <c r="I1458" s="562"/>
      <c r="J1458" s="562"/>
    </row>
    <row r="1459" spans="1:10" hidden="1" x14ac:dyDescent="0.25">
      <c r="A1459" s="362">
        <v>13</v>
      </c>
      <c r="B1459" s="611">
        <v>44064</v>
      </c>
      <c r="C1459" s="362" t="s">
        <v>85</v>
      </c>
      <c r="D1459" s="562"/>
      <c r="E1459" s="562"/>
      <c r="F1459" s="562"/>
      <c r="G1459" s="562"/>
      <c r="H1459" s="562"/>
      <c r="I1459" s="562"/>
      <c r="J1459" s="562"/>
    </row>
    <row r="1460" spans="1:10" hidden="1" x14ac:dyDescent="0.25">
      <c r="A1460" s="362">
        <v>14</v>
      </c>
      <c r="B1460" s="611">
        <v>44064</v>
      </c>
      <c r="C1460" s="362" t="s">
        <v>166</v>
      </c>
      <c r="D1460" s="562"/>
      <c r="E1460" s="562"/>
      <c r="F1460" s="562"/>
      <c r="G1460" s="562"/>
      <c r="H1460" s="562"/>
      <c r="I1460" s="562"/>
      <c r="J1460" s="562"/>
    </row>
    <row r="1461" spans="1:10" hidden="1" x14ac:dyDescent="0.25">
      <c r="A1461" s="362">
        <v>15</v>
      </c>
      <c r="B1461" s="611">
        <v>44064</v>
      </c>
      <c r="C1461" s="362" t="s">
        <v>3435</v>
      </c>
      <c r="D1461" s="562"/>
      <c r="E1461" s="562"/>
      <c r="F1461" s="562"/>
      <c r="G1461" s="562"/>
      <c r="H1461" s="562"/>
      <c r="I1461" s="562"/>
      <c r="J1461" s="562"/>
    </row>
    <row r="1462" spans="1:10" hidden="1" x14ac:dyDescent="0.25">
      <c r="A1462" s="532"/>
      <c r="B1462" s="532"/>
      <c r="C1462" s="532"/>
      <c r="D1462" s="564"/>
      <c r="E1462" s="564"/>
      <c r="F1462" s="564"/>
      <c r="G1462" s="564"/>
      <c r="H1462" s="564"/>
      <c r="I1462" s="564"/>
      <c r="J1462" s="564"/>
    </row>
    <row r="1463" spans="1:10" s="254" customFormat="1" ht="26.25" hidden="1" x14ac:dyDescent="0.4">
      <c r="A1463" s="1607" t="s">
        <v>5947</v>
      </c>
      <c r="B1463" s="1607"/>
      <c r="C1463" s="1607"/>
      <c r="D1463" s="1607"/>
      <c r="E1463" s="1607"/>
      <c r="F1463" s="1607"/>
      <c r="G1463" s="1607"/>
      <c r="H1463" s="1607"/>
      <c r="I1463" s="1607"/>
      <c r="J1463" s="1607"/>
    </row>
    <row r="1464" spans="1:10" hidden="1" x14ac:dyDescent="0.25">
      <c r="A1464" s="362">
        <v>1</v>
      </c>
      <c r="B1464" s="611">
        <v>44102</v>
      </c>
      <c r="C1464" s="362" t="s">
        <v>80</v>
      </c>
      <c r="D1464" s="562"/>
      <c r="E1464" s="562"/>
      <c r="F1464" s="562"/>
      <c r="G1464" s="562"/>
      <c r="H1464" s="562"/>
      <c r="I1464" s="562"/>
      <c r="J1464" s="562"/>
    </row>
    <row r="1465" spans="1:10" hidden="1" x14ac:dyDescent="0.25">
      <c r="A1465" s="362">
        <v>2</v>
      </c>
      <c r="B1465" s="611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hidden="1" x14ac:dyDescent="0.25">
      <c r="A1466" s="362">
        <v>3</v>
      </c>
      <c r="B1466" s="611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hidden="1" x14ac:dyDescent="0.25">
      <c r="A1467" s="362">
        <v>4</v>
      </c>
      <c r="B1467" s="611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hidden="1" x14ac:dyDescent="0.25">
      <c r="A1468" s="362">
        <v>5</v>
      </c>
      <c r="B1468" s="611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hidden="1" x14ac:dyDescent="0.25">
      <c r="A1469" s="362">
        <v>6</v>
      </c>
      <c r="B1469" s="611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hidden="1" x14ac:dyDescent="0.25">
      <c r="A1470" s="362">
        <v>7</v>
      </c>
      <c r="B1470" s="611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hidden="1" x14ac:dyDescent="0.25">
      <c r="A1471" s="362">
        <v>8</v>
      </c>
      <c r="B1471" s="611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hidden="1" x14ac:dyDescent="0.25">
      <c r="A1472" s="362">
        <v>9</v>
      </c>
      <c r="B1472" s="611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hidden="1" x14ac:dyDescent="0.25">
      <c r="A1473" s="362">
        <v>10</v>
      </c>
      <c r="B1473" s="611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hidden="1" x14ac:dyDescent="0.25">
      <c r="A1474" s="362">
        <v>11</v>
      </c>
      <c r="B1474" s="611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hidden="1" x14ac:dyDescent="0.25">
      <c r="A1475" s="362">
        <v>12</v>
      </c>
      <c r="B1475" s="611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hidden="1" x14ac:dyDescent="0.25">
      <c r="A1476" s="362">
        <v>13</v>
      </c>
      <c r="B1476" s="611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hidden="1" x14ac:dyDescent="0.25">
      <c r="A1477" s="362">
        <v>14</v>
      </c>
      <c r="B1477" s="611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hidden="1" x14ac:dyDescent="0.25">
      <c r="A1478" s="362">
        <v>15</v>
      </c>
      <c r="B1478" s="611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hidden="1" x14ac:dyDescent="0.25">
      <c r="A1479" s="532"/>
      <c r="B1479" s="532"/>
      <c r="C1479" s="532"/>
      <c r="D1479" s="532"/>
      <c r="E1479" s="532"/>
      <c r="F1479" s="532"/>
      <c r="G1479" s="532"/>
      <c r="H1479" s="532"/>
      <c r="I1479" s="532"/>
      <c r="J1479" s="532"/>
    </row>
    <row r="1480" spans="1:10" hidden="1" x14ac:dyDescent="0.25">
      <c r="A1480" s="362">
        <v>1</v>
      </c>
      <c r="B1480" s="611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hidden="1" x14ac:dyDescent="0.25">
      <c r="A1481" s="362">
        <v>2</v>
      </c>
      <c r="B1481" s="611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hidden="1" x14ac:dyDescent="0.25">
      <c r="A1482" s="362">
        <v>3</v>
      </c>
      <c r="B1482" s="611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hidden="1" x14ac:dyDescent="0.25">
      <c r="A1483" s="362">
        <v>4</v>
      </c>
      <c r="B1483" s="611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hidden="1" x14ac:dyDescent="0.25">
      <c r="A1484" s="362">
        <v>5</v>
      </c>
      <c r="B1484" s="611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hidden="1" x14ac:dyDescent="0.25">
      <c r="A1485" s="362">
        <v>6</v>
      </c>
      <c r="B1485" s="611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hidden="1" x14ac:dyDescent="0.25">
      <c r="A1486" s="362">
        <v>7</v>
      </c>
      <c r="B1486" s="611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hidden="1" x14ac:dyDescent="0.25">
      <c r="A1487" s="362">
        <v>8</v>
      </c>
      <c r="B1487" s="611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hidden="1" x14ac:dyDescent="0.25">
      <c r="A1488" s="362">
        <v>9</v>
      </c>
      <c r="B1488" s="611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hidden="1" x14ac:dyDescent="0.25">
      <c r="A1489" s="362">
        <v>10</v>
      </c>
      <c r="B1489" s="611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hidden="1" x14ac:dyDescent="0.25">
      <c r="A1490" s="362">
        <v>11</v>
      </c>
      <c r="B1490" s="611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hidden="1" x14ac:dyDescent="0.25">
      <c r="A1491" s="362">
        <v>12</v>
      </c>
      <c r="B1491" s="611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hidden="1" x14ac:dyDescent="0.25">
      <c r="A1492" s="362">
        <v>13</v>
      </c>
      <c r="B1492" s="611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hidden="1" x14ac:dyDescent="0.25">
      <c r="A1493" s="362">
        <v>14</v>
      </c>
      <c r="B1493" s="611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hidden="1" x14ac:dyDescent="0.25">
      <c r="A1494" s="362">
        <v>15</v>
      </c>
      <c r="B1494" s="611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hidden="1" x14ac:dyDescent="0.25">
      <c r="A1495" s="532"/>
      <c r="B1495" s="532"/>
      <c r="C1495" s="532"/>
      <c r="D1495" s="532"/>
      <c r="E1495" s="532"/>
      <c r="F1495" s="532"/>
      <c r="G1495" s="532"/>
      <c r="H1495" s="532"/>
      <c r="I1495" s="532"/>
      <c r="J1495" s="532"/>
    </row>
    <row r="1496" spans="1:10" hidden="1" x14ac:dyDescent="0.25">
      <c r="A1496" s="362">
        <v>1</v>
      </c>
      <c r="B1496" s="611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hidden="1" x14ac:dyDescent="0.25">
      <c r="A1497" s="362">
        <v>2</v>
      </c>
      <c r="B1497" s="611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hidden="1" x14ac:dyDescent="0.25">
      <c r="A1498" s="362">
        <v>3</v>
      </c>
      <c r="B1498" s="611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hidden="1" x14ac:dyDescent="0.25">
      <c r="A1499" s="362">
        <v>4</v>
      </c>
      <c r="B1499" s="611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hidden="1" x14ac:dyDescent="0.25">
      <c r="A1500" s="362">
        <v>5</v>
      </c>
      <c r="B1500" s="611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hidden="1" x14ac:dyDescent="0.25">
      <c r="A1501" s="362">
        <v>6</v>
      </c>
      <c r="B1501" s="611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hidden="1" x14ac:dyDescent="0.25">
      <c r="A1502" s="362">
        <v>7</v>
      </c>
      <c r="B1502" s="611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hidden="1" x14ac:dyDescent="0.25">
      <c r="A1503" s="362">
        <v>8</v>
      </c>
      <c r="B1503" s="611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hidden="1" x14ac:dyDescent="0.25">
      <c r="A1504" s="362">
        <v>9</v>
      </c>
      <c r="B1504" s="611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hidden="1" x14ac:dyDescent="0.25">
      <c r="A1505" s="362">
        <v>10</v>
      </c>
      <c r="B1505" s="611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hidden="1" x14ac:dyDescent="0.25">
      <c r="A1506" s="362">
        <v>11</v>
      </c>
      <c r="B1506" s="611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hidden="1" x14ac:dyDescent="0.25">
      <c r="A1507" s="362">
        <v>12</v>
      </c>
      <c r="B1507" s="611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hidden="1" x14ac:dyDescent="0.25">
      <c r="A1508" s="362">
        <v>13</v>
      </c>
      <c r="B1508" s="611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hidden="1" x14ac:dyDescent="0.25">
      <c r="A1509" s="362">
        <v>14</v>
      </c>
      <c r="B1509" s="611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hidden="1" x14ac:dyDescent="0.25">
      <c r="A1510" s="362">
        <v>15</v>
      </c>
      <c r="B1510" s="611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hidden="1" x14ac:dyDescent="0.25">
      <c r="A1511" s="532"/>
      <c r="B1511" s="532"/>
      <c r="C1511" s="532"/>
      <c r="D1511" s="532"/>
      <c r="E1511" s="532"/>
      <c r="F1511" s="532"/>
      <c r="G1511" s="532"/>
      <c r="H1511" s="532"/>
      <c r="I1511" s="532"/>
      <c r="J1511" s="532"/>
    </row>
    <row r="1512" spans="1:10" hidden="1" x14ac:dyDescent="0.25">
      <c r="A1512" s="362">
        <v>1</v>
      </c>
      <c r="B1512" s="611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hidden="1" x14ac:dyDescent="0.25">
      <c r="A1513" s="362">
        <v>2</v>
      </c>
      <c r="B1513" s="611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hidden="1" x14ac:dyDescent="0.25">
      <c r="A1514" s="362">
        <v>3</v>
      </c>
      <c r="B1514" s="611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hidden="1" x14ac:dyDescent="0.25">
      <c r="A1515" s="362">
        <v>4</v>
      </c>
      <c r="B1515" s="611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hidden="1" x14ac:dyDescent="0.25">
      <c r="A1516" s="362">
        <v>5</v>
      </c>
      <c r="B1516" s="611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hidden="1" x14ac:dyDescent="0.25">
      <c r="A1517" s="362">
        <v>6</v>
      </c>
      <c r="B1517" s="611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hidden="1" x14ac:dyDescent="0.25">
      <c r="A1518" s="362">
        <v>7</v>
      </c>
      <c r="B1518" s="611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hidden="1" x14ac:dyDescent="0.25">
      <c r="A1519" s="362">
        <v>8</v>
      </c>
      <c r="B1519" s="611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hidden="1" x14ac:dyDescent="0.25">
      <c r="A1520" s="362">
        <v>9</v>
      </c>
      <c r="B1520" s="611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hidden="1" x14ac:dyDescent="0.25">
      <c r="A1521" s="362">
        <v>10</v>
      </c>
      <c r="B1521" s="611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hidden="1" x14ac:dyDescent="0.25">
      <c r="A1522" s="362">
        <v>11</v>
      </c>
      <c r="B1522" s="611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hidden="1" x14ac:dyDescent="0.25">
      <c r="A1523" s="362">
        <v>12</v>
      </c>
      <c r="B1523" s="611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hidden="1" x14ac:dyDescent="0.25">
      <c r="A1524" s="362">
        <v>13</v>
      </c>
      <c r="B1524" s="611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hidden="1" x14ac:dyDescent="0.25">
      <c r="A1525" s="362">
        <v>14</v>
      </c>
      <c r="B1525" s="611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hidden="1" x14ac:dyDescent="0.25">
      <c r="A1526" s="362">
        <v>15</v>
      </c>
      <c r="B1526" s="611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hidden="1" x14ac:dyDescent="0.25">
      <c r="A1527" s="532"/>
      <c r="B1527" s="532"/>
      <c r="C1527" s="532"/>
      <c r="D1527" s="532"/>
      <c r="E1527" s="532"/>
      <c r="F1527" s="532"/>
      <c r="G1527" s="532"/>
      <c r="H1527" s="532"/>
      <c r="I1527" s="532"/>
      <c r="J1527" s="532"/>
    </row>
    <row r="1528" spans="1:10" hidden="1" x14ac:dyDescent="0.25">
      <c r="A1528" s="362">
        <v>1</v>
      </c>
      <c r="B1528" s="611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hidden="1" x14ac:dyDescent="0.25">
      <c r="A1529" s="362">
        <v>2</v>
      </c>
      <c r="B1529" s="611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hidden="1" x14ac:dyDescent="0.25">
      <c r="A1530" s="362">
        <v>3</v>
      </c>
      <c r="B1530" s="611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hidden="1" x14ac:dyDescent="0.25">
      <c r="A1531" s="362">
        <v>4</v>
      </c>
      <c r="B1531" s="611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hidden="1" x14ac:dyDescent="0.25">
      <c r="A1532" s="362">
        <v>5</v>
      </c>
      <c r="B1532" s="611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hidden="1" x14ac:dyDescent="0.25">
      <c r="A1533" s="362">
        <v>6</v>
      </c>
      <c r="B1533" s="611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hidden="1" x14ac:dyDescent="0.25">
      <c r="A1534" s="362">
        <v>7</v>
      </c>
      <c r="B1534" s="611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hidden="1" x14ac:dyDescent="0.25">
      <c r="A1535" s="362">
        <v>8</v>
      </c>
      <c r="B1535" s="611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hidden="1" x14ac:dyDescent="0.25">
      <c r="A1536" s="362">
        <v>9</v>
      </c>
      <c r="B1536" s="611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hidden="1" x14ac:dyDescent="0.25">
      <c r="A1537" s="362">
        <v>10</v>
      </c>
      <c r="B1537" s="611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hidden="1" x14ac:dyDescent="0.25">
      <c r="A1538" s="362">
        <v>11</v>
      </c>
      <c r="B1538" s="611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hidden="1" x14ac:dyDescent="0.25">
      <c r="A1539" s="362">
        <v>12</v>
      </c>
      <c r="B1539" s="611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hidden="1" x14ac:dyDescent="0.25">
      <c r="A1540" s="362">
        <v>13</v>
      </c>
      <c r="B1540" s="611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hidden="1" x14ac:dyDescent="0.25">
      <c r="A1541" s="362">
        <v>14</v>
      </c>
      <c r="B1541" s="611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hidden="1" x14ac:dyDescent="0.25">
      <c r="A1542" s="362">
        <v>15</v>
      </c>
      <c r="B1542" s="611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hidden="1" x14ac:dyDescent="0.25">
      <c r="A1543" s="532"/>
      <c r="B1543" s="532"/>
      <c r="C1543" s="532"/>
      <c r="D1543" s="532"/>
      <c r="E1543" s="532"/>
      <c r="F1543" s="532"/>
      <c r="G1543" s="532"/>
      <c r="H1543" s="532"/>
      <c r="I1543" s="532"/>
      <c r="J1543" s="532"/>
    </row>
    <row r="1544" spans="1:10" hidden="1" x14ac:dyDescent="0.25">
      <c r="A1544" s="362">
        <v>1</v>
      </c>
      <c r="B1544" s="611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hidden="1" x14ac:dyDescent="0.25">
      <c r="A1545" s="362">
        <v>2</v>
      </c>
      <c r="B1545" s="611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hidden="1" x14ac:dyDescent="0.25">
      <c r="A1546" s="362">
        <v>3</v>
      </c>
      <c r="B1546" s="611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hidden="1" x14ac:dyDescent="0.25">
      <c r="A1547" s="362">
        <v>4</v>
      </c>
      <c r="B1547" s="611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hidden="1" x14ac:dyDescent="0.25">
      <c r="A1548" s="362">
        <v>5</v>
      </c>
      <c r="B1548" s="611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hidden="1" x14ac:dyDescent="0.25">
      <c r="A1549" s="362">
        <v>6</v>
      </c>
      <c r="B1549" s="611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hidden="1" x14ac:dyDescent="0.25">
      <c r="A1550" s="362">
        <v>7</v>
      </c>
      <c r="B1550" s="611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hidden="1" x14ac:dyDescent="0.25">
      <c r="A1551" s="362">
        <v>8</v>
      </c>
      <c r="B1551" s="611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hidden="1" x14ac:dyDescent="0.25">
      <c r="A1552" s="362">
        <v>9</v>
      </c>
      <c r="B1552" s="611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hidden="1" x14ac:dyDescent="0.25">
      <c r="A1553" s="362">
        <v>10</v>
      </c>
      <c r="B1553" s="611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hidden="1" x14ac:dyDescent="0.25">
      <c r="A1554" s="362">
        <v>11</v>
      </c>
      <c r="B1554" s="611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hidden="1" x14ac:dyDescent="0.25">
      <c r="A1555" s="362">
        <v>12</v>
      </c>
      <c r="B1555" s="611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hidden="1" x14ac:dyDescent="0.25">
      <c r="A1556" s="362">
        <v>13</v>
      </c>
      <c r="B1556" s="611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hidden="1" x14ac:dyDescent="0.25">
      <c r="A1557" s="362">
        <v>14</v>
      </c>
      <c r="B1557" s="611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hidden="1" x14ac:dyDescent="0.25">
      <c r="A1558" s="362">
        <v>15</v>
      </c>
      <c r="B1558" s="611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hidden="1" x14ac:dyDescent="0.25">
      <c r="A1559" s="532"/>
      <c r="B1559" s="532"/>
      <c r="C1559" s="532"/>
      <c r="D1559" s="532"/>
      <c r="E1559" s="532"/>
      <c r="F1559" s="532"/>
      <c r="G1559" s="532"/>
      <c r="H1559" s="532"/>
      <c r="I1559" s="532"/>
      <c r="J1559" s="532"/>
    </row>
    <row r="1560" spans="1:10" hidden="1" x14ac:dyDescent="0.25">
      <c r="A1560" s="362">
        <v>1</v>
      </c>
      <c r="B1560" s="611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hidden="1" x14ac:dyDescent="0.25">
      <c r="A1561" s="362">
        <v>2</v>
      </c>
      <c r="B1561" s="611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hidden="1" x14ac:dyDescent="0.25">
      <c r="A1562" s="362">
        <v>3</v>
      </c>
      <c r="B1562" s="611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hidden="1" x14ac:dyDescent="0.25">
      <c r="A1563" s="362">
        <v>4</v>
      </c>
      <c r="B1563" s="611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hidden="1" x14ac:dyDescent="0.25">
      <c r="A1564" s="362">
        <v>5</v>
      </c>
      <c r="B1564" s="611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hidden="1" x14ac:dyDescent="0.25">
      <c r="A1565" s="362">
        <v>6</v>
      </c>
      <c r="B1565" s="611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hidden="1" x14ac:dyDescent="0.25">
      <c r="A1566" s="362">
        <v>7</v>
      </c>
      <c r="B1566" s="611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hidden="1" x14ac:dyDescent="0.25">
      <c r="A1567" s="362">
        <v>8</v>
      </c>
      <c r="B1567" s="611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hidden="1" x14ac:dyDescent="0.25">
      <c r="A1568" s="362">
        <v>9</v>
      </c>
      <c r="B1568" s="611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hidden="1" x14ac:dyDescent="0.25">
      <c r="A1569" s="362">
        <v>10</v>
      </c>
      <c r="B1569" s="611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hidden="1" x14ac:dyDescent="0.25">
      <c r="A1570" s="362">
        <v>11</v>
      </c>
      <c r="B1570" s="611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hidden="1" x14ac:dyDescent="0.25">
      <c r="A1571" s="362">
        <v>12</v>
      </c>
      <c r="B1571" s="611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hidden="1" x14ac:dyDescent="0.25">
      <c r="A1572" s="362">
        <v>13</v>
      </c>
      <c r="B1572" s="611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hidden="1" x14ac:dyDescent="0.25">
      <c r="A1573" s="362">
        <v>14</v>
      </c>
      <c r="B1573" s="611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hidden="1" x14ac:dyDescent="0.25">
      <c r="A1574" s="362">
        <v>15</v>
      </c>
      <c r="B1574" s="611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hidden="1" x14ac:dyDescent="0.25">
      <c r="A1575" s="532"/>
      <c r="B1575" s="532"/>
      <c r="C1575" s="532"/>
      <c r="D1575" s="532"/>
      <c r="E1575" s="532"/>
      <c r="F1575" s="532"/>
      <c r="G1575" s="532"/>
      <c r="H1575" s="532"/>
      <c r="I1575" s="532"/>
      <c r="J1575" s="532"/>
    </row>
    <row r="1576" spans="1:10" hidden="1" x14ac:dyDescent="0.25">
      <c r="A1576" s="362">
        <v>1</v>
      </c>
      <c r="B1576" s="611">
        <v>44110</v>
      </c>
      <c r="C1576" s="362" t="s">
        <v>80</v>
      </c>
      <c r="D1576" s="465">
        <v>182799166</v>
      </c>
      <c r="E1576" s="465">
        <v>251973</v>
      </c>
      <c r="F1576" s="562">
        <v>183055200</v>
      </c>
      <c r="G1576" s="631">
        <f>D1576+E1576-F1576</f>
        <v>-4061</v>
      </c>
      <c r="H1576" s="562">
        <v>23701383</v>
      </c>
      <c r="I1576" s="362"/>
      <c r="J1576" s="362"/>
    </row>
    <row r="1577" spans="1:10" hidden="1" x14ac:dyDescent="0.25">
      <c r="A1577" s="362">
        <v>2</v>
      </c>
      <c r="B1577" s="611">
        <v>44110</v>
      </c>
      <c r="C1577" s="362" t="s">
        <v>83</v>
      </c>
      <c r="D1577" s="562">
        <v>223383925</v>
      </c>
      <c r="E1577" s="562">
        <v>17275076</v>
      </c>
      <c r="F1577" s="562">
        <v>240659000</v>
      </c>
      <c r="G1577" s="631">
        <f t="shared" ref="G1577:G1590" si="30">D1577+E1577-F1577</f>
        <v>1</v>
      </c>
      <c r="H1577" s="562">
        <v>4024698</v>
      </c>
      <c r="I1577" s="362"/>
      <c r="J1577" s="362"/>
    </row>
    <row r="1578" spans="1:10" hidden="1" x14ac:dyDescent="0.25">
      <c r="A1578" s="362">
        <v>3</v>
      </c>
      <c r="B1578" s="611">
        <v>44110</v>
      </c>
      <c r="C1578" s="362" t="s">
        <v>88</v>
      </c>
      <c r="D1578" s="562">
        <v>169421195</v>
      </c>
      <c r="E1578" s="562">
        <v>17443382</v>
      </c>
      <c r="F1578" s="562">
        <v>186864600</v>
      </c>
      <c r="G1578" s="631">
        <f t="shared" si="30"/>
        <v>-23</v>
      </c>
      <c r="H1578" s="562">
        <v>12198068</v>
      </c>
      <c r="I1578" s="362"/>
      <c r="J1578" s="362"/>
    </row>
    <row r="1579" spans="1:10" hidden="1" x14ac:dyDescent="0.25">
      <c r="A1579" s="362">
        <v>4</v>
      </c>
      <c r="B1579" s="611">
        <v>44110</v>
      </c>
      <c r="C1579" s="362" t="s">
        <v>146</v>
      </c>
      <c r="D1579" s="562">
        <v>66155775</v>
      </c>
      <c r="E1579" s="562">
        <v>22360758</v>
      </c>
      <c r="F1579" s="562">
        <v>88516600</v>
      </c>
      <c r="G1579" s="631">
        <f t="shared" si="30"/>
        <v>-67</v>
      </c>
      <c r="H1579" s="562">
        <v>14074900</v>
      </c>
      <c r="I1579" s="362"/>
      <c r="J1579" s="362"/>
    </row>
    <row r="1580" spans="1:10" hidden="1" x14ac:dyDescent="0.25">
      <c r="A1580" s="362">
        <v>5</v>
      </c>
      <c r="B1580" s="611">
        <v>44110</v>
      </c>
      <c r="C1580" s="362" t="s">
        <v>86</v>
      </c>
      <c r="D1580" s="562">
        <v>66856355</v>
      </c>
      <c r="E1580" s="562">
        <v>53132523</v>
      </c>
      <c r="F1580" s="562">
        <v>119988800</v>
      </c>
      <c r="G1580" s="631">
        <f t="shared" si="30"/>
        <v>78</v>
      </c>
      <c r="H1580" s="562">
        <v>5306271</v>
      </c>
      <c r="I1580" s="362"/>
      <c r="J1580" s="362"/>
    </row>
    <row r="1581" spans="1:10" hidden="1" x14ac:dyDescent="0.25">
      <c r="A1581" s="362">
        <v>6</v>
      </c>
      <c r="B1581" s="611">
        <v>44110</v>
      </c>
      <c r="C1581" s="362" t="s">
        <v>89</v>
      </c>
      <c r="D1581" s="562">
        <v>130794920</v>
      </c>
      <c r="E1581" s="562">
        <v>8496980</v>
      </c>
      <c r="F1581" s="562">
        <v>139291900</v>
      </c>
      <c r="G1581" s="631">
        <f t="shared" si="30"/>
        <v>0</v>
      </c>
      <c r="H1581" s="562">
        <v>10118932</v>
      </c>
      <c r="I1581" s="362"/>
      <c r="J1581" s="362"/>
    </row>
    <row r="1582" spans="1:10" hidden="1" x14ac:dyDescent="0.25">
      <c r="A1582" s="362">
        <v>7</v>
      </c>
      <c r="B1582" s="611">
        <v>44110</v>
      </c>
      <c r="C1582" s="362" t="s">
        <v>4751</v>
      </c>
      <c r="D1582" s="562">
        <v>173635858</v>
      </c>
      <c r="E1582" s="562">
        <v>13463242</v>
      </c>
      <c r="F1582" s="562">
        <v>187099100</v>
      </c>
      <c r="G1582" s="631">
        <f t="shared" si="30"/>
        <v>0</v>
      </c>
      <c r="H1582" s="562">
        <v>14844611</v>
      </c>
      <c r="I1582" s="362"/>
      <c r="J1582" s="362"/>
    </row>
    <row r="1583" spans="1:10" hidden="1" x14ac:dyDescent="0.25">
      <c r="A1583" s="362">
        <v>8</v>
      </c>
      <c r="B1583" s="611">
        <v>44110</v>
      </c>
      <c r="C1583" s="362" t="s">
        <v>84</v>
      </c>
      <c r="D1583" s="562">
        <v>186993233</v>
      </c>
      <c r="E1583" s="562">
        <v>11140428</v>
      </c>
      <c r="F1583" s="562">
        <v>198133700</v>
      </c>
      <c r="G1583" s="631">
        <f t="shared" si="30"/>
        <v>-39</v>
      </c>
      <c r="H1583" s="562">
        <v>24021805</v>
      </c>
      <c r="I1583" s="362"/>
      <c r="J1583" s="362"/>
    </row>
    <row r="1584" spans="1:10" hidden="1" x14ac:dyDescent="0.25">
      <c r="A1584" s="362">
        <v>9</v>
      </c>
      <c r="B1584" s="611">
        <v>44110</v>
      </c>
      <c r="C1584" s="362" t="s">
        <v>81</v>
      </c>
      <c r="D1584" s="562">
        <v>93986826</v>
      </c>
      <c r="E1584" s="562">
        <v>11121699</v>
      </c>
      <c r="F1584" s="562">
        <v>105108500</v>
      </c>
      <c r="G1584" s="631">
        <f t="shared" si="30"/>
        <v>25</v>
      </c>
      <c r="H1584" s="562">
        <v>14522530</v>
      </c>
      <c r="I1584" s="362"/>
      <c r="J1584" s="362"/>
    </row>
    <row r="1585" spans="1:10" hidden="1" x14ac:dyDescent="0.25">
      <c r="A1585" s="362">
        <v>10</v>
      </c>
      <c r="B1585" s="611">
        <v>44110</v>
      </c>
      <c r="C1585" s="362" t="s">
        <v>79</v>
      </c>
      <c r="D1585" s="562">
        <v>58466342</v>
      </c>
      <c r="E1585" s="562">
        <v>1272620</v>
      </c>
      <c r="F1585" s="562">
        <v>59739000</v>
      </c>
      <c r="G1585" s="631">
        <f t="shared" si="30"/>
        <v>-38</v>
      </c>
      <c r="H1585" s="562">
        <v>418948</v>
      </c>
      <c r="I1585" s="362"/>
      <c r="J1585" s="362"/>
    </row>
    <row r="1586" spans="1:10" hidden="1" x14ac:dyDescent="0.25">
      <c r="A1586" s="362">
        <v>11</v>
      </c>
      <c r="B1586" s="611">
        <v>44110</v>
      </c>
      <c r="C1586" s="362" t="s">
        <v>82</v>
      </c>
      <c r="D1586" s="562">
        <v>67660232</v>
      </c>
      <c r="E1586" s="562">
        <v>1244900</v>
      </c>
      <c r="F1586" s="562">
        <v>68905200</v>
      </c>
      <c r="G1586" s="631">
        <f t="shared" si="30"/>
        <v>-68</v>
      </c>
      <c r="H1586" s="562">
        <v>6381691</v>
      </c>
      <c r="I1586" s="362"/>
      <c r="J1586" s="362"/>
    </row>
    <row r="1587" spans="1:10" hidden="1" x14ac:dyDescent="0.25">
      <c r="A1587" s="362">
        <v>12</v>
      </c>
      <c r="B1587" s="611">
        <v>44110</v>
      </c>
      <c r="C1587" s="362" t="s">
        <v>78</v>
      </c>
      <c r="D1587" s="562">
        <v>195931930</v>
      </c>
      <c r="E1587" s="562">
        <v>591270</v>
      </c>
      <c r="F1587" s="562">
        <v>196523200</v>
      </c>
      <c r="G1587" s="631">
        <f t="shared" si="30"/>
        <v>0</v>
      </c>
      <c r="H1587" s="562">
        <v>8527966</v>
      </c>
      <c r="I1587" s="362"/>
      <c r="J1587" s="362"/>
    </row>
    <row r="1588" spans="1:10" hidden="1" x14ac:dyDescent="0.25">
      <c r="A1588" s="362">
        <v>13</v>
      </c>
      <c r="B1588" s="611">
        <v>44110</v>
      </c>
      <c r="C1588" s="362" t="s">
        <v>85</v>
      </c>
      <c r="D1588" s="562">
        <v>29483400</v>
      </c>
      <c r="E1588" s="562"/>
      <c r="F1588" s="562">
        <v>29483400</v>
      </c>
      <c r="G1588" s="631">
        <f t="shared" si="30"/>
        <v>0</v>
      </c>
      <c r="H1588" s="562"/>
      <c r="I1588" s="362"/>
      <c r="J1588" s="362"/>
    </row>
    <row r="1589" spans="1:10" hidden="1" x14ac:dyDescent="0.25">
      <c r="A1589" s="362">
        <v>14</v>
      </c>
      <c r="B1589" s="611">
        <v>44110</v>
      </c>
      <c r="C1589" s="362" t="s">
        <v>166</v>
      </c>
      <c r="D1589" s="562">
        <v>72510038</v>
      </c>
      <c r="E1589" s="562">
        <v>38032460</v>
      </c>
      <c r="F1589" s="562">
        <v>72510000</v>
      </c>
      <c r="G1589" s="631">
        <f t="shared" si="30"/>
        <v>38032498</v>
      </c>
      <c r="H1589" s="562"/>
      <c r="I1589" s="362"/>
      <c r="J1589" s="362"/>
    </row>
    <row r="1590" spans="1:10" hidden="1" x14ac:dyDescent="0.25">
      <c r="A1590" s="362">
        <v>15</v>
      </c>
      <c r="B1590" s="611">
        <v>44110</v>
      </c>
      <c r="C1590" s="362" t="s">
        <v>3435</v>
      </c>
      <c r="D1590" s="562"/>
      <c r="E1590" s="562"/>
      <c r="F1590" s="562">
        <v>27948100</v>
      </c>
      <c r="G1590" s="631">
        <f t="shared" si="30"/>
        <v>-27948100</v>
      </c>
      <c r="H1590" s="562"/>
      <c r="I1590" s="362"/>
      <c r="J1590" s="362"/>
    </row>
    <row r="1591" spans="1:10" hidden="1" x14ac:dyDescent="0.25">
      <c r="A1591" s="532"/>
      <c r="B1591" s="532"/>
      <c r="C1591" s="532"/>
      <c r="D1591" s="564"/>
      <c r="E1591" s="564"/>
      <c r="F1591" s="564"/>
      <c r="G1591" s="532"/>
      <c r="H1591" s="564"/>
      <c r="I1591" s="532"/>
      <c r="J1591" s="532"/>
    </row>
    <row r="1592" spans="1:10" hidden="1" x14ac:dyDescent="0.25">
      <c r="A1592" s="362">
        <v>1</v>
      </c>
      <c r="B1592" s="611">
        <v>44111</v>
      </c>
      <c r="C1592" s="362" t="s">
        <v>80</v>
      </c>
      <c r="D1592" s="562">
        <v>324403947</v>
      </c>
      <c r="E1592" s="562">
        <v>10318452</v>
      </c>
      <c r="F1592" s="562"/>
      <c r="G1592" s="362"/>
      <c r="H1592" s="562"/>
      <c r="I1592" s="362"/>
      <c r="J1592" s="362"/>
    </row>
    <row r="1593" spans="1:10" hidden="1" x14ac:dyDescent="0.25">
      <c r="A1593" s="362">
        <v>2</v>
      </c>
      <c r="B1593" s="611">
        <v>44111</v>
      </c>
      <c r="C1593" s="362" t="s">
        <v>83</v>
      </c>
      <c r="D1593" s="562">
        <v>193218278</v>
      </c>
      <c r="E1593" s="562">
        <v>22255604</v>
      </c>
      <c r="F1593" s="562"/>
      <c r="G1593" s="362"/>
      <c r="H1593" s="562"/>
      <c r="I1593" s="362"/>
      <c r="J1593" s="362"/>
    </row>
    <row r="1594" spans="1:10" hidden="1" x14ac:dyDescent="0.25">
      <c r="A1594" s="362">
        <v>3</v>
      </c>
      <c r="B1594" s="611">
        <v>44111</v>
      </c>
      <c r="C1594" s="362" t="s">
        <v>88</v>
      </c>
      <c r="D1594" s="562">
        <v>123382206</v>
      </c>
      <c r="E1594" s="562">
        <v>48854395</v>
      </c>
      <c r="F1594" s="562"/>
      <c r="G1594" s="362"/>
      <c r="H1594" s="562"/>
      <c r="I1594" s="362"/>
      <c r="J1594" s="362"/>
    </row>
    <row r="1595" spans="1:10" hidden="1" x14ac:dyDescent="0.25">
      <c r="A1595" s="362">
        <v>4</v>
      </c>
      <c r="B1595" s="611">
        <v>44111</v>
      </c>
      <c r="C1595" s="362" t="s">
        <v>146</v>
      </c>
      <c r="D1595" s="562">
        <v>49171404</v>
      </c>
      <c r="E1595" s="562">
        <v>61750646</v>
      </c>
      <c r="F1595" s="562"/>
      <c r="G1595" s="362"/>
      <c r="H1595" s="562"/>
      <c r="I1595" s="362"/>
      <c r="J1595" s="362"/>
    </row>
    <row r="1596" spans="1:10" hidden="1" x14ac:dyDescent="0.25">
      <c r="A1596" s="362">
        <v>5</v>
      </c>
      <c r="B1596" s="611">
        <v>44111</v>
      </c>
      <c r="C1596" s="362" t="s">
        <v>86</v>
      </c>
      <c r="D1596" s="562">
        <v>48468089</v>
      </c>
      <c r="E1596" s="562">
        <v>46483660</v>
      </c>
      <c r="F1596" s="562"/>
      <c r="G1596" s="362"/>
      <c r="H1596" s="562"/>
      <c r="I1596" s="362"/>
      <c r="J1596" s="362"/>
    </row>
    <row r="1597" spans="1:10" hidden="1" x14ac:dyDescent="0.25">
      <c r="A1597" s="362">
        <v>6</v>
      </c>
      <c r="B1597" s="611">
        <v>44111</v>
      </c>
      <c r="C1597" s="362" t="s">
        <v>89</v>
      </c>
      <c r="D1597" s="562">
        <v>92332773</v>
      </c>
      <c r="E1597" s="562">
        <v>4764327</v>
      </c>
      <c r="F1597" s="562"/>
      <c r="G1597" s="362"/>
      <c r="H1597" s="562"/>
      <c r="I1597" s="362"/>
      <c r="J1597" s="362"/>
    </row>
    <row r="1598" spans="1:10" hidden="1" x14ac:dyDescent="0.25">
      <c r="A1598" s="362">
        <v>7</v>
      </c>
      <c r="B1598" s="611">
        <v>44111</v>
      </c>
      <c r="C1598" s="362" t="s">
        <v>4751</v>
      </c>
      <c r="D1598" s="562">
        <v>169062882</v>
      </c>
      <c r="E1598" s="562">
        <v>20697518</v>
      </c>
      <c r="F1598" s="562"/>
      <c r="G1598" s="362"/>
      <c r="H1598" s="562"/>
      <c r="I1598" s="362"/>
      <c r="J1598" s="362"/>
    </row>
    <row r="1599" spans="1:10" hidden="1" x14ac:dyDescent="0.25">
      <c r="A1599" s="362">
        <v>8</v>
      </c>
      <c r="B1599" s="611">
        <v>44111</v>
      </c>
      <c r="C1599" s="362" t="s">
        <v>84</v>
      </c>
      <c r="D1599" s="562">
        <v>173684868</v>
      </c>
      <c r="E1599" s="562">
        <v>7573312</v>
      </c>
      <c r="F1599" s="562"/>
      <c r="G1599" s="362"/>
      <c r="H1599" s="562"/>
      <c r="I1599" s="362"/>
      <c r="J1599" s="362"/>
    </row>
    <row r="1600" spans="1:10" hidden="1" x14ac:dyDescent="0.25">
      <c r="A1600" s="362">
        <v>9</v>
      </c>
      <c r="B1600" s="611">
        <v>44111</v>
      </c>
      <c r="C1600" s="362" t="s">
        <v>81</v>
      </c>
      <c r="D1600" s="562"/>
      <c r="E1600" s="562"/>
      <c r="F1600" s="562"/>
      <c r="G1600" s="362"/>
      <c r="H1600" s="562"/>
      <c r="I1600" s="362"/>
      <c r="J1600" s="362"/>
    </row>
    <row r="1601" spans="1:10" hidden="1" x14ac:dyDescent="0.25">
      <c r="A1601" s="362">
        <v>10</v>
      </c>
      <c r="B1601" s="611">
        <v>44111</v>
      </c>
      <c r="C1601" s="362" t="s">
        <v>79</v>
      </c>
      <c r="D1601" s="562">
        <v>62304744</v>
      </c>
      <c r="E1601" s="562">
        <v>1671360</v>
      </c>
      <c r="F1601" s="562"/>
      <c r="G1601" s="362"/>
      <c r="H1601" s="562"/>
      <c r="I1601" s="362"/>
      <c r="J1601" s="362"/>
    </row>
    <row r="1602" spans="1:10" hidden="1" x14ac:dyDescent="0.25">
      <c r="A1602" s="362">
        <v>11</v>
      </c>
      <c r="B1602" s="611">
        <v>44111</v>
      </c>
      <c r="C1602" s="362" t="s">
        <v>82</v>
      </c>
      <c r="D1602" s="562">
        <v>82065492</v>
      </c>
      <c r="E1602" s="562">
        <v>411511</v>
      </c>
      <c r="F1602" s="562"/>
      <c r="G1602" s="362"/>
      <c r="H1602" s="562"/>
      <c r="I1602" s="362"/>
      <c r="J1602" s="362"/>
    </row>
    <row r="1603" spans="1:10" hidden="1" x14ac:dyDescent="0.25">
      <c r="A1603" s="362">
        <v>12</v>
      </c>
      <c r="B1603" s="611">
        <v>44111</v>
      </c>
      <c r="C1603" s="362" t="s">
        <v>78</v>
      </c>
      <c r="D1603" s="562">
        <v>114029973</v>
      </c>
      <c r="E1603" s="562">
        <v>1644727</v>
      </c>
      <c r="F1603" s="562"/>
      <c r="G1603" s="362"/>
      <c r="H1603" s="562"/>
      <c r="I1603" s="362"/>
      <c r="J1603" s="362"/>
    </row>
    <row r="1604" spans="1:10" hidden="1" x14ac:dyDescent="0.25">
      <c r="A1604" s="362">
        <v>13</v>
      </c>
      <c r="B1604" s="611">
        <v>44111</v>
      </c>
      <c r="C1604" s="362" t="s">
        <v>85</v>
      </c>
      <c r="D1604" s="562">
        <v>34374600</v>
      </c>
      <c r="E1604" s="562"/>
      <c r="F1604" s="562"/>
      <c r="G1604" s="362"/>
      <c r="H1604" s="562"/>
      <c r="I1604" s="362"/>
      <c r="J1604" s="362"/>
    </row>
    <row r="1605" spans="1:10" hidden="1" x14ac:dyDescent="0.25">
      <c r="A1605" s="362">
        <v>14</v>
      </c>
      <c r="B1605" s="611">
        <v>44111</v>
      </c>
      <c r="C1605" s="362" t="s">
        <v>166</v>
      </c>
      <c r="D1605" s="562">
        <v>67171160</v>
      </c>
      <c r="E1605" s="562"/>
      <c r="F1605" s="562"/>
      <c r="G1605" s="362"/>
      <c r="H1605" s="562"/>
      <c r="I1605" s="362"/>
      <c r="J1605" s="362"/>
    </row>
    <row r="1606" spans="1:10" hidden="1" x14ac:dyDescent="0.25">
      <c r="A1606" s="362">
        <v>15</v>
      </c>
      <c r="B1606" s="611">
        <v>44111</v>
      </c>
      <c r="C1606" s="362" t="s">
        <v>3435</v>
      </c>
      <c r="D1606" s="562"/>
      <c r="E1606" s="562"/>
      <c r="F1606" s="562"/>
      <c r="G1606" s="362"/>
      <c r="H1606" s="562"/>
      <c r="I1606" s="362"/>
      <c r="J1606" s="362"/>
    </row>
    <row r="1607" spans="1:10" hidden="1" x14ac:dyDescent="0.25">
      <c r="A1607" s="532"/>
      <c r="B1607" s="532"/>
      <c r="C1607" s="532"/>
      <c r="D1607" s="564"/>
      <c r="E1607" s="564"/>
      <c r="F1607" s="564"/>
      <c r="G1607" s="532"/>
      <c r="H1607" s="564"/>
      <c r="I1607" s="532"/>
      <c r="J1607" s="532"/>
    </row>
    <row r="1608" spans="1:10" hidden="1" x14ac:dyDescent="0.25">
      <c r="A1608" s="362">
        <v>1</v>
      </c>
      <c r="B1608" s="611">
        <v>44124</v>
      </c>
      <c r="C1608" s="362" t="s">
        <v>80</v>
      </c>
      <c r="D1608" s="562">
        <v>199548196</v>
      </c>
      <c r="E1608" s="562">
        <v>5837640</v>
      </c>
      <c r="F1608" s="562"/>
      <c r="G1608" s="362"/>
      <c r="H1608" s="562"/>
      <c r="I1608" s="362"/>
      <c r="J1608" s="362"/>
    </row>
    <row r="1609" spans="1:10" hidden="1" x14ac:dyDescent="0.25">
      <c r="A1609" s="362">
        <v>2</v>
      </c>
      <c r="B1609" s="611">
        <v>44124</v>
      </c>
      <c r="C1609" s="362" t="s">
        <v>83</v>
      </c>
      <c r="D1609" s="562">
        <v>174957402</v>
      </c>
      <c r="E1609" s="562">
        <v>7938595</v>
      </c>
      <c r="F1609" s="562"/>
      <c r="G1609" s="362"/>
      <c r="H1609" s="562"/>
      <c r="I1609" s="362"/>
      <c r="J1609" s="362"/>
    </row>
    <row r="1610" spans="1:10" hidden="1" x14ac:dyDescent="0.25">
      <c r="A1610" s="362">
        <v>3</v>
      </c>
      <c r="B1610" s="611">
        <v>44124</v>
      </c>
      <c r="C1610" s="362" t="s">
        <v>88</v>
      </c>
      <c r="D1610" s="562">
        <v>146658712</v>
      </c>
      <c r="E1610" s="562">
        <v>8812442</v>
      </c>
      <c r="F1610" s="562"/>
      <c r="G1610" s="362"/>
      <c r="H1610" s="562"/>
      <c r="I1610" s="362"/>
      <c r="J1610" s="362"/>
    </row>
    <row r="1611" spans="1:10" hidden="1" x14ac:dyDescent="0.25">
      <c r="A1611" s="362">
        <v>4</v>
      </c>
      <c r="B1611" s="611">
        <v>44124</v>
      </c>
      <c r="C1611" s="362" t="s">
        <v>146</v>
      </c>
      <c r="D1611" s="562">
        <v>104628353</v>
      </c>
      <c r="E1611" s="562">
        <v>69731974</v>
      </c>
      <c r="F1611" s="562"/>
      <c r="G1611" s="362"/>
      <c r="H1611" s="562"/>
      <c r="I1611" s="362"/>
      <c r="J1611" s="362"/>
    </row>
    <row r="1612" spans="1:10" hidden="1" x14ac:dyDescent="0.25">
      <c r="A1612" s="362">
        <v>5</v>
      </c>
      <c r="B1612" s="611">
        <v>44124</v>
      </c>
      <c r="C1612" s="362" t="s">
        <v>86</v>
      </c>
      <c r="D1612" s="562">
        <v>58755044</v>
      </c>
      <c r="E1612" s="562">
        <v>10312080</v>
      </c>
      <c r="F1612" s="562"/>
      <c r="G1612" s="362"/>
      <c r="H1612" s="562"/>
      <c r="I1612" s="362"/>
      <c r="J1612" s="362"/>
    </row>
    <row r="1613" spans="1:10" hidden="1" x14ac:dyDescent="0.25">
      <c r="A1613" s="362">
        <v>6</v>
      </c>
      <c r="B1613" s="611">
        <v>44124</v>
      </c>
      <c r="C1613" s="362" t="s">
        <v>89</v>
      </c>
      <c r="D1613" s="562">
        <v>122636657</v>
      </c>
      <c r="E1613" s="562">
        <v>2972943</v>
      </c>
      <c r="F1613" s="562"/>
      <c r="G1613" s="362"/>
      <c r="H1613" s="562"/>
      <c r="I1613" s="362"/>
      <c r="J1613" s="362"/>
    </row>
    <row r="1614" spans="1:10" hidden="1" x14ac:dyDescent="0.25">
      <c r="A1614" s="362">
        <v>7</v>
      </c>
      <c r="B1614" s="611">
        <v>44124</v>
      </c>
      <c r="C1614" s="362" t="s">
        <v>4751</v>
      </c>
      <c r="D1614" s="562">
        <v>162295179</v>
      </c>
      <c r="E1614" s="562">
        <v>15205721</v>
      </c>
      <c r="F1614" s="562"/>
      <c r="G1614" s="362"/>
      <c r="H1614" s="562"/>
      <c r="I1614" s="362"/>
      <c r="J1614" s="362"/>
    </row>
    <row r="1615" spans="1:10" hidden="1" x14ac:dyDescent="0.25">
      <c r="A1615" s="362">
        <v>8</v>
      </c>
      <c r="B1615" s="611">
        <v>44124</v>
      </c>
      <c r="C1615" s="362" t="s">
        <v>84</v>
      </c>
      <c r="D1615" s="562">
        <v>172811986</v>
      </c>
      <c r="E1615" s="562">
        <v>14534972</v>
      </c>
      <c r="F1615" s="562"/>
      <c r="G1615" s="362"/>
      <c r="H1615" s="562"/>
      <c r="I1615" s="362"/>
      <c r="J1615" s="362"/>
    </row>
    <row r="1616" spans="1:10" hidden="1" x14ac:dyDescent="0.25">
      <c r="A1616" s="362">
        <v>9</v>
      </c>
      <c r="B1616" s="611">
        <v>44124</v>
      </c>
      <c r="C1616" s="362" t="s">
        <v>81</v>
      </c>
      <c r="D1616" s="562">
        <v>59686819</v>
      </c>
      <c r="E1616" s="562">
        <v>36598176</v>
      </c>
      <c r="F1616" s="562"/>
      <c r="G1616" s="362"/>
      <c r="H1616" s="562"/>
      <c r="I1616" s="362"/>
      <c r="J1616" s="362"/>
    </row>
    <row r="1617" spans="1:10" hidden="1" x14ac:dyDescent="0.25">
      <c r="A1617" s="362">
        <v>10</v>
      </c>
      <c r="B1617" s="611">
        <v>44124</v>
      </c>
      <c r="C1617" s="362" t="s">
        <v>79</v>
      </c>
      <c r="D1617" s="562">
        <v>82275326</v>
      </c>
      <c r="E1617" s="562">
        <v>3242646</v>
      </c>
      <c r="F1617" s="562"/>
      <c r="G1617" s="362"/>
      <c r="H1617" s="562"/>
      <c r="I1617" s="362"/>
      <c r="J1617" s="362"/>
    </row>
    <row r="1618" spans="1:10" hidden="1" x14ac:dyDescent="0.25">
      <c r="A1618" s="362">
        <v>11</v>
      </c>
      <c r="B1618" s="611">
        <v>44124</v>
      </c>
      <c r="C1618" s="362" t="s">
        <v>82</v>
      </c>
      <c r="D1618" s="562">
        <v>46305793</v>
      </c>
      <c r="E1618" s="562">
        <v>4596122</v>
      </c>
      <c r="F1618" s="562"/>
      <c r="G1618" s="362"/>
      <c r="H1618" s="562"/>
      <c r="I1618" s="362"/>
      <c r="J1618" s="362"/>
    </row>
    <row r="1619" spans="1:10" hidden="1" x14ac:dyDescent="0.25">
      <c r="A1619" s="362">
        <v>12</v>
      </c>
      <c r="B1619" s="611">
        <v>44124</v>
      </c>
      <c r="C1619" s="362" t="s">
        <v>78</v>
      </c>
      <c r="D1619" s="562">
        <v>78489637</v>
      </c>
      <c r="E1619" s="562">
        <v>1685563</v>
      </c>
      <c r="F1619" s="562"/>
      <c r="G1619" s="362"/>
      <c r="H1619" s="562"/>
      <c r="I1619" s="362"/>
      <c r="J1619" s="362"/>
    </row>
    <row r="1620" spans="1:10" hidden="1" x14ac:dyDescent="0.25">
      <c r="A1620" s="362">
        <v>13</v>
      </c>
      <c r="B1620" s="611">
        <v>44124</v>
      </c>
      <c r="C1620" s="362" t="s">
        <v>85</v>
      </c>
      <c r="D1620" s="562">
        <v>27166600</v>
      </c>
      <c r="E1620" s="562"/>
      <c r="F1620" s="562"/>
      <c r="G1620" s="362"/>
      <c r="H1620" s="562"/>
      <c r="I1620" s="362"/>
      <c r="J1620" s="362"/>
    </row>
    <row r="1621" spans="1:10" hidden="1" x14ac:dyDescent="0.25">
      <c r="A1621" s="362">
        <v>14</v>
      </c>
      <c r="B1621" s="611">
        <v>44124</v>
      </c>
      <c r="C1621" s="362" t="s">
        <v>166</v>
      </c>
      <c r="D1621" s="562">
        <v>55211784</v>
      </c>
      <c r="E1621" s="562"/>
      <c r="F1621" s="562"/>
      <c r="G1621" s="362"/>
      <c r="H1621" s="362"/>
      <c r="I1621" s="362"/>
      <c r="J1621" s="362"/>
    </row>
    <row r="1622" spans="1:10" hidden="1" x14ac:dyDescent="0.25">
      <c r="A1622" s="362">
        <v>15</v>
      </c>
      <c r="B1622" s="611">
        <v>44124</v>
      </c>
      <c r="C1622" s="362" t="s">
        <v>3435</v>
      </c>
      <c r="D1622" s="562">
        <v>87167753</v>
      </c>
      <c r="E1622" s="562"/>
      <c r="F1622" s="562"/>
      <c r="G1622" s="362"/>
      <c r="H1622" s="362"/>
      <c r="I1622" s="362"/>
      <c r="J1622" s="362"/>
    </row>
    <row r="1623" spans="1:10" hidden="1" x14ac:dyDescent="0.25">
      <c r="A1623" s="532"/>
      <c r="B1623" s="532"/>
      <c r="C1623" s="532"/>
      <c r="D1623" s="564"/>
      <c r="E1623" s="564"/>
      <c r="F1623" s="564"/>
      <c r="G1623" s="532"/>
      <c r="H1623" s="532"/>
      <c r="I1623" s="532"/>
      <c r="J1623" s="532"/>
    </row>
    <row r="1624" spans="1:10" hidden="1" x14ac:dyDescent="0.25">
      <c r="A1624" s="362">
        <v>1</v>
      </c>
      <c r="B1624" s="611">
        <v>44125</v>
      </c>
      <c r="C1624" s="362" t="s">
        <v>80</v>
      </c>
      <c r="D1624" s="562">
        <v>214367135</v>
      </c>
      <c r="E1624" s="562"/>
      <c r="F1624" s="562"/>
      <c r="G1624" s="362"/>
      <c r="H1624" s="362"/>
      <c r="I1624" s="362"/>
      <c r="J1624" s="362"/>
    </row>
    <row r="1625" spans="1:10" hidden="1" x14ac:dyDescent="0.25">
      <c r="A1625" s="362">
        <v>2</v>
      </c>
      <c r="B1625" s="611">
        <v>44125</v>
      </c>
      <c r="C1625" s="362" t="s">
        <v>83</v>
      </c>
      <c r="D1625" s="562">
        <v>127323420</v>
      </c>
      <c r="E1625" s="562">
        <v>21582393</v>
      </c>
      <c r="F1625" s="562"/>
      <c r="G1625" s="362"/>
      <c r="H1625" s="362"/>
      <c r="I1625" s="362"/>
      <c r="J1625" s="362"/>
    </row>
    <row r="1626" spans="1:10" hidden="1" x14ac:dyDescent="0.25">
      <c r="A1626" s="362">
        <v>3</v>
      </c>
      <c r="B1626" s="611">
        <v>44125</v>
      </c>
      <c r="C1626" s="362" t="s">
        <v>88</v>
      </c>
      <c r="D1626" s="562">
        <v>114324983</v>
      </c>
      <c r="E1626" s="562">
        <v>35435248</v>
      </c>
      <c r="F1626" s="562"/>
      <c r="G1626" s="362"/>
      <c r="H1626" s="362"/>
      <c r="I1626" s="362"/>
      <c r="J1626" s="362"/>
    </row>
    <row r="1627" spans="1:10" hidden="1" x14ac:dyDescent="0.25">
      <c r="A1627" s="362">
        <v>4</v>
      </c>
      <c r="B1627" s="611">
        <v>44125</v>
      </c>
      <c r="C1627" s="362" t="s">
        <v>146</v>
      </c>
      <c r="D1627" s="562">
        <v>126203452</v>
      </c>
      <c r="E1627" s="562">
        <v>102487973</v>
      </c>
      <c r="F1627" s="562"/>
      <c r="G1627" s="362"/>
      <c r="H1627" s="362"/>
      <c r="I1627" s="362"/>
      <c r="J1627" s="362"/>
    </row>
    <row r="1628" spans="1:10" hidden="1" x14ac:dyDescent="0.25">
      <c r="A1628" s="362">
        <v>5</v>
      </c>
      <c r="B1628" s="611">
        <v>44125</v>
      </c>
      <c r="C1628" s="362" t="s">
        <v>86</v>
      </c>
      <c r="D1628" s="562">
        <v>44009662</v>
      </c>
      <c r="E1628" s="562">
        <v>14444310</v>
      </c>
      <c r="F1628" s="562"/>
      <c r="G1628" s="362"/>
      <c r="H1628" s="362"/>
      <c r="I1628" s="362"/>
      <c r="J1628" s="362"/>
    </row>
    <row r="1629" spans="1:10" hidden="1" x14ac:dyDescent="0.25">
      <c r="A1629" s="362">
        <v>6</v>
      </c>
      <c r="B1629" s="611">
        <v>44125</v>
      </c>
      <c r="C1629" s="362" t="s">
        <v>89</v>
      </c>
      <c r="D1629" s="562">
        <v>94674136</v>
      </c>
      <c r="E1629" s="562">
        <v>57454164</v>
      </c>
      <c r="F1629" s="562"/>
      <c r="G1629" s="362"/>
      <c r="H1629" s="362"/>
      <c r="I1629" s="362"/>
      <c r="J1629" s="362"/>
    </row>
    <row r="1630" spans="1:10" hidden="1" x14ac:dyDescent="0.25">
      <c r="A1630" s="362">
        <v>7</v>
      </c>
      <c r="B1630" s="611">
        <v>44125</v>
      </c>
      <c r="C1630" s="362" t="s">
        <v>4751</v>
      </c>
      <c r="D1630" s="562">
        <v>154843511</v>
      </c>
      <c r="E1630" s="562">
        <v>13988589</v>
      </c>
      <c r="F1630" s="562"/>
      <c r="G1630" s="362"/>
      <c r="H1630" s="362"/>
      <c r="I1630" s="362"/>
      <c r="J1630" s="362"/>
    </row>
    <row r="1631" spans="1:10" hidden="1" x14ac:dyDescent="0.25">
      <c r="A1631" s="362">
        <v>8</v>
      </c>
      <c r="B1631" s="611">
        <v>44125</v>
      </c>
      <c r="C1631" s="362" t="s">
        <v>84</v>
      </c>
      <c r="D1631" s="562">
        <v>143177222</v>
      </c>
      <c r="E1631" s="562">
        <v>20318845</v>
      </c>
      <c r="F1631" s="562"/>
      <c r="G1631" s="362"/>
      <c r="H1631" s="362"/>
      <c r="I1631" s="362"/>
      <c r="J1631" s="362"/>
    </row>
    <row r="1632" spans="1:10" hidden="1" x14ac:dyDescent="0.25">
      <c r="A1632" s="362">
        <v>9</v>
      </c>
      <c r="B1632" s="611">
        <v>44125</v>
      </c>
      <c r="C1632" s="362" t="s">
        <v>81</v>
      </c>
      <c r="D1632" s="562">
        <v>89480767</v>
      </c>
      <c r="E1632" s="562">
        <v>5818937</v>
      </c>
      <c r="F1632" s="562"/>
      <c r="G1632" s="362"/>
      <c r="H1632" s="362"/>
      <c r="I1632" s="362"/>
      <c r="J1632" s="362"/>
    </row>
    <row r="1633" spans="1:10" hidden="1" x14ac:dyDescent="0.25">
      <c r="A1633" s="362">
        <v>10</v>
      </c>
      <c r="B1633" s="611">
        <v>44125</v>
      </c>
      <c r="C1633" s="362" t="s">
        <v>79</v>
      </c>
      <c r="D1633" s="562">
        <v>49367245</v>
      </c>
      <c r="E1633" s="562">
        <v>1223636</v>
      </c>
      <c r="F1633" s="562"/>
      <c r="G1633" s="362"/>
      <c r="H1633" s="362"/>
      <c r="I1633" s="362"/>
      <c r="J1633" s="362"/>
    </row>
    <row r="1634" spans="1:10" hidden="1" x14ac:dyDescent="0.25">
      <c r="A1634" s="362">
        <v>11</v>
      </c>
      <c r="B1634" s="611">
        <v>44125</v>
      </c>
      <c r="C1634" s="362" t="s">
        <v>82</v>
      </c>
      <c r="D1634" s="562">
        <v>59080338</v>
      </c>
      <c r="E1634" s="562">
        <v>2759575</v>
      </c>
      <c r="F1634" s="562"/>
      <c r="G1634" s="362"/>
      <c r="H1634" s="362"/>
      <c r="I1634" s="362"/>
      <c r="J1634" s="362"/>
    </row>
    <row r="1635" spans="1:10" hidden="1" x14ac:dyDescent="0.25">
      <c r="A1635" s="362">
        <v>12</v>
      </c>
      <c r="B1635" s="611">
        <v>44125</v>
      </c>
      <c r="C1635" s="362" t="s">
        <v>78</v>
      </c>
      <c r="D1635" s="562">
        <v>157947956</v>
      </c>
      <c r="E1635" s="562">
        <v>707704</v>
      </c>
      <c r="F1635" s="562"/>
      <c r="G1635" s="362"/>
      <c r="H1635" s="362"/>
      <c r="I1635" s="362"/>
      <c r="J1635" s="362"/>
    </row>
    <row r="1636" spans="1:10" hidden="1" x14ac:dyDescent="0.25">
      <c r="A1636" s="362">
        <v>13</v>
      </c>
      <c r="B1636" s="611">
        <v>44125</v>
      </c>
      <c r="C1636" s="362" t="s">
        <v>85</v>
      </c>
      <c r="D1636" s="562">
        <v>28097600</v>
      </c>
      <c r="E1636" s="562"/>
      <c r="F1636" s="562"/>
      <c r="G1636" s="362"/>
      <c r="H1636" s="362"/>
      <c r="I1636" s="362"/>
      <c r="J1636" s="362"/>
    </row>
    <row r="1637" spans="1:10" hidden="1" x14ac:dyDescent="0.25">
      <c r="A1637" s="362">
        <v>14</v>
      </c>
      <c r="B1637" s="611">
        <v>44125</v>
      </c>
      <c r="C1637" s="362" t="s">
        <v>166</v>
      </c>
      <c r="D1637" s="562">
        <v>34493916</v>
      </c>
      <c r="E1637" s="562"/>
      <c r="F1637" s="562"/>
      <c r="G1637" s="362"/>
      <c r="H1637" s="362"/>
      <c r="I1637" s="362"/>
      <c r="J1637" s="362"/>
    </row>
    <row r="1638" spans="1:10" hidden="1" x14ac:dyDescent="0.25">
      <c r="A1638" s="362">
        <v>15</v>
      </c>
      <c r="B1638" s="611">
        <v>44125</v>
      </c>
      <c r="C1638" s="362" t="s">
        <v>3435</v>
      </c>
      <c r="D1638" s="562">
        <v>26505223</v>
      </c>
      <c r="E1638" s="562"/>
      <c r="F1638" s="562"/>
      <c r="G1638" s="362"/>
      <c r="H1638" s="362"/>
      <c r="I1638" s="362"/>
      <c r="J1638" s="362"/>
    </row>
    <row r="1639" spans="1:10" hidden="1" x14ac:dyDescent="0.25">
      <c r="A1639" s="532"/>
      <c r="B1639" s="587"/>
      <c r="C1639" s="532"/>
      <c r="D1639" s="564"/>
      <c r="E1639" s="564"/>
      <c r="F1639" s="564"/>
      <c r="G1639" s="532"/>
      <c r="H1639" s="532"/>
      <c r="I1639" s="532"/>
      <c r="J1639" s="532"/>
    </row>
    <row r="1640" spans="1:10" hidden="1" x14ac:dyDescent="0.25">
      <c r="A1640" s="362"/>
      <c r="B1640" s="611">
        <v>44126</v>
      </c>
      <c r="C1640" s="362" t="s">
        <v>80</v>
      </c>
      <c r="D1640" s="562">
        <v>182258869</v>
      </c>
      <c r="E1640" s="562">
        <v>18606758</v>
      </c>
      <c r="F1640" s="562"/>
      <c r="G1640" s="362"/>
      <c r="H1640" s="362"/>
      <c r="I1640" s="362"/>
      <c r="J1640" s="362"/>
    </row>
    <row r="1641" spans="1:10" hidden="1" x14ac:dyDescent="0.25">
      <c r="A1641" s="362"/>
      <c r="B1641" s="611">
        <v>44126</v>
      </c>
      <c r="C1641" s="362" t="s">
        <v>83</v>
      </c>
      <c r="D1641" s="562">
        <v>193487853</v>
      </c>
      <c r="E1641" s="562">
        <v>18079059</v>
      </c>
      <c r="F1641" s="562"/>
      <c r="G1641" s="362"/>
      <c r="H1641" s="362"/>
      <c r="I1641" s="362"/>
      <c r="J1641" s="362"/>
    </row>
    <row r="1642" spans="1:10" hidden="1" x14ac:dyDescent="0.25">
      <c r="A1642" s="362"/>
      <c r="B1642" s="611">
        <v>44126</v>
      </c>
      <c r="C1642" s="362" t="s">
        <v>88</v>
      </c>
      <c r="D1642" s="562">
        <v>304081723</v>
      </c>
      <c r="E1642" s="562">
        <v>138377426</v>
      </c>
      <c r="F1642" s="562"/>
      <c r="G1642" s="362"/>
      <c r="H1642" s="362"/>
      <c r="I1642" s="362"/>
      <c r="J1642" s="362"/>
    </row>
    <row r="1643" spans="1:10" hidden="1" x14ac:dyDescent="0.25">
      <c r="A1643" s="362"/>
      <c r="B1643" s="611">
        <v>44126</v>
      </c>
      <c r="C1643" s="362" t="s">
        <v>146</v>
      </c>
      <c r="D1643" s="562">
        <v>53818877</v>
      </c>
      <c r="E1643" s="562">
        <v>38527348</v>
      </c>
      <c r="F1643" s="562"/>
      <c r="G1643" s="362"/>
      <c r="H1643" s="362"/>
      <c r="I1643" s="362"/>
      <c r="J1643" s="362"/>
    </row>
    <row r="1644" spans="1:10" hidden="1" x14ac:dyDescent="0.25">
      <c r="A1644" s="362"/>
      <c r="B1644" s="611">
        <v>44126</v>
      </c>
      <c r="C1644" s="362" t="s">
        <v>86</v>
      </c>
      <c r="D1644" s="562">
        <v>63806194</v>
      </c>
      <c r="E1644" s="562">
        <v>54185248</v>
      </c>
      <c r="F1644" s="562"/>
      <c r="G1644" s="362"/>
      <c r="H1644" s="362"/>
      <c r="I1644" s="362"/>
      <c r="J1644" s="362"/>
    </row>
    <row r="1645" spans="1:10" hidden="1" x14ac:dyDescent="0.25">
      <c r="A1645" s="362"/>
      <c r="B1645" s="611">
        <v>44126</v>
      </c>
      <c r="C1645" s="362" t="s">
        <v>89</v>
      </c>
      <c r="D1645" s="562">
        <v>135622863</v>
      </c>
      <c r="E1645" s="562">
        <v>13805837</v>
      </c>
      <c r="F1645" s="562"/>
      <c r="G1645" s="362"/>
      <c r="H1645" s="362"/>
      <c r="I1645" s="362"/>
      <c r="J1645" s="362"/>
    </row>
    <row r="1646" spans="1:10" hidden="1" x14ac:dyDescent="0.25">
      <c r="A1646" s="362"/>
      <c r="B1646" s="611">
        <v>44126</v>
      </c>
      <c r="C1646" s="362" t="s">
        <v>4751</v>
      </c>
      <c r="D1646" s="562">
        <v>246184731</v>
      </c>
      <c r="E1646" s="562">
        <v>10385969</v>
      </c>
      <c r="F1646" s="562"/>
      <c r="G1646" s="362"/>
      <c r="H1646" s="362"/>
      <c r="I1646" s="362"/>
      <c r="J1646" s="362"/>
    </row>
    <row r="1647" spans="1:10" hidden="1" x14ac:dyDescent="0.25">
      <c r="A1647" s="362"/>
      <c r="B1647" s="611">
        <v>44126</v>
      </c>
      <c r="C1647" s="362" t="s">
        <v>84</v>
      </c>
      <c r="D1647" s="562">
        <v>191732298</v>
      </c>
      <c r="E1647" s="562">
        <v>14361627</v>
      </c>
      <c r="F1647" s="562"/>
      <c r="G1647" s="362"/>
      <c r="H1647" s="362"/>
      <c r="I1647" s="362"/>
      <c r="J1647" s="362"/>
    </row>
    <row r="1648" spans="1:10" hidden="1" x14ac:dyDescent="0.25">
      <c r="A1648" s="362"/>
      <c r="B1648" s="611">
        <v>44126</v>
      </c>
      <c r="C1648" s="362" t="s">
        <v>81</v>
      </c>
      <c r="D1648" s="562">
        <v>62772901</v>
      </c>
      <c r="E1648" s="562">
        <v>17410471</v>
      </c>
      <c r="F1648" s="562"/>
      <c r="G1648" s="362"/>
      <c r="H1648" s="362"/>
      <c r="I1648" s="362"/>
      <c r="J1648" s="362"/>
    </row>
    <row r="1649" spans="1:10" hidden="1" x14ac:dyDescent="0.25">
      <c r="A1649" s="362"/>
      <c r="B1649" s="611">
        <v>44126</v>
      </c>
      <c r="C1649" s="362" t="s">
        <v>79</v>
      </c>
      <c r="D1649" s="562">
        <v>102210315</v>
      </c>
      <c r="E1649" s="562">
        <v>8226667</v>
      </c>
      <c r="F1649" s="562"/>
      <c r="G1649" s="362"/>
      <c r="H1649" s="362"/>
      <c r="I1649" s="362"/>
      <c r="J1649" s="362"/>
    </row>
    <row r="1650" spans="1:10" hidden="1" x14ac:dyDescent="0.25">
      <c r="A1650" s="362"/>
      <c r="B1650" s="611">
        <v>44126</v>
      </c>
      <c r="C1650" s="362" t="s">
        <v>82</v>
      </c>
      <c r="D1650" s="562">
        <v>89451729</v>
      </c>
      <c r="E1650" s="562">
        <v>1533814</v>
      </c>
      <c r="F1650" s="562"/>
      <c r="G1650" s="362"/>
      <c r="H1650" s="362"/>
      <c r="I1650" s="362"/>
      <c r="J1650" s="362"/>
    </row>
    <row r="1651" spans="1:10" hidden="1" x14ac:dyDescent="0.25">
      <c r="A1651" s="362"/>
      <c r="B1651" s="611">
        <v>44126</v>
      </c>
      <c r="C1651" s="362" t="s">
        <v>78</v>
      </c>
      <c r="D1651" s="562">
        <v>72775955</v>
      </c>
      <c r="E1651" s="562">
        <v>1758345</v>
      </c>
      <c r="F1651" s="562"/>
      <c r="G1651" s="362"/>
      <c r="H1651" s="362"/>
      <c r="I1651" s="362"/>
      <c r="J1651" s="362"/>
    </row>
    <row r="1652" spans="1:10" hidden="1" x14ac:dyDescent="0.25">
      <c r="A1652" s="362"/>
      <c r="B1652" s="611">
        <v>44126</v>
      </c>
      <c r="C1652" s="362" t="s">
        <v>85</v>
      </c>
      <c r="D1652" s="562">
        <v>39887500</v>
      </c>
      <c r="E1652" s="562"/>
      <c r="F1652" s="562"/>
      <c r="G1652" s="362"/>
      <c r="H1652" s="362"/>
      <c r="I1652" s="362"/>
      <c r="J1652" s="362"/>
    </row>
    <row r="1653" spans="1:10" hidden="1" x14ac:dyDescent="0.25">
      <c r="A1653" s="362"/>
      <c r="B1653" s="611">
        <v>44126</v>
      </c>
      <c r="C1653" s="362" t="s">
        <v>166</v>
      </c>
      <c r="D1653" s="562">
        <v>53016183</v>
      </c>
      <c r="E1653" s="562"/>
      <c r="F1653" s="562"/>
      <c r="G1653" s="362"/>
      <c r="H1653" s="362"/>
      <c r="I1653" s="362"/>
      <c r="J1653" s="362"/>
    </row>
    <row r="1654" spans="1:10" hidden="1" x14ac:dyDescent="0.25">
      <c r="A1654" s="362"/>
      <c r="B1654" s="611">
        <v>44126</v>
      </c>
      <c r="C1654" s="362" t="s">
        <v>3435</v>
      </c>
      <c r="D1654" s="562">
        <v>33989911</v>
      </c>
      <c r="E1654" s="562"/>
      <c r="F1654" s="562"/>
      <c r="G1654" s="362"/>
      <c r="H1654" s="362"/>
      <c r="I1654" s="362"/>
      <c r="J1654" s="362"/>
    </row>
    <row r="1655" spans="1:10" hidden="1" x14ac:dyDescent="0.25">
      <c r="A1655" s="532"/>
      <c r="B1655" s="532"/>
      <c r="C1655" s="532"/>
      <c r="D1655" s="564"/>
      <c r="E1655" s="564"/>
      <c r="F1655" s="564"/>
      <c r="G1655" s="532"/>
      <c r="H1655" s="532"/>
      <c r="I1655" s="532"/>
      <c r="J1655" s="532"/>
    </row>
    <row r="1656" spans="1:10" hidden="1" x14ac:dyDescent="0.25">
      <c r="A1656" s="362"/>
      <c r="B1656" s="611">
        <v>44134</v>
      </c>
      <c r="C1656" s="362" t="s">
        <v>80</v>
      </c>
      <c r="D1656" s="562">
        <v>154123938</v>
      </c>
      <c r="E1656" s="562">
        <v>6152328</v>
      </c>
      <c r="F1656" s="562">
        <v>160276100</v>
      </c>
      <c r="G1656" s="631">
        <f>D1656+E1656-F1656</f>
        <v>166</v>
      </c>
      <c r="H1656" s="362"/>
      <c r="I1656" s="362"/>
      <c r="J1656" s="362"/>
    </row>
    <row r="1657" spans="1:10" hidden="1" x14ac:dyDescent="0.25">
      <c r="A1657" s="362"/>
      <c r="B1657" s="611">
        <v>44134</v>
      </c>
      <c r="C1657" s="362" t="s">
        <v>83</v>
      </c>
      <c r="D1657" s="562">
        <v>419613346</v>
      </c>
      <c r="E1657" s="562">
        <v>8176975</v>
      </c>
      <c r="F1657" s="562">
        <v>427790400</v>
      </c>
      <c r="G1657" s="631">
        <f t="shared" ref="G1657:G1693" si="31">D1657+E1657-F1657</f>
        <v>-79</v>
      </c>
      <c r="H1657" s="362"/>
      <c r="I1657" s="362"/>
      <c r="J1657" s="362"/>
    </row>
    <row r="1658" spans="1:10" hidden="1" x14ac:dyDescent="0.25">
      <c r="A1658" s="362"/>
      <c r="B1658" s="611">
        <v>44134</v>
      </c>
      <c r="C1658" s="362" t="s">
        <v>88</v>
      </c>
      <c r="D1658" s="562">
        <v>244602978</v>
      </c>
      <c r="E1658" s="562">
        <v>7554010</v>
      </c>
      <c r="F1658" s="562">
        <v>252157000</v>
      </c>
      <c r="G1658" s="631">
        <f t="shared" si="31"/>
        <v>-12</v>
      </c>
      <c r="H1658" s="362"/>
      <c r="I1658" s="362"/>
      <c r="J1658" s="362"/>
    </row>
    <row r="1659" spans="1:10" hidden="1" x14ac:dyDescent="0.25">
      <c r="A1659" s="362"/>
      <c r="B1659" s="611">
        <v>44134</v>
      </c>
      <c r="C1659" s="362" t="s">
        <v>146</v>
      </c>
      <c r="D1659" s="562">
        <v>79778937</v>
      </c>
      <c r="E1659" s="562">
        <v>59144124</v>
      </c>
      <c r="F1659" s="562">
        <v>138923100</v>
      </c>
      <c r="G1659" s="631">
        <f t="shared" si="31"/>
        <v>-39</v>
      </c>
      <c r="H1659" s="362"/>
      <c r="I1659" s="362"/>
      <c r="J1659" s="362"/>
    </row>
    <row r="1660" spans="1:10" hidden="1" x14ac:dyDescent="0.25">
      <c r="A1660" s="362"/>
      <c r="B1660" s="611">
        <v>44134</v>
      </c>
      <c r="C1660" s="362" t="s">
        <v>86</v>
      </c>
      <c r="D1660" s="562">
        <v>25814650</v>
      </c>
      <c r="E1660" s="562">
        <v>80466000</v>
      </c>
      <c r="F1660" s="562">
        <v>106280800</v>
      </c>
      <c r="G1660" s="631">
        <f t="shared" si="31"/>
        <v>-150</v>
      </c>
      <c r="H1660" s="362"/>
      <c r="I1660" s="362"/>
      <c r="J1660" s="362"/>
    </row>
    <row r="1661" spans="1:10" hidden="1" x14ac:dyDescent="0.25">
      <c r="A1661" s="362"/>
      <c r="B1661" s="611">
        <v>44134</v>
      </c>
      <c r="C1661" s="362" t="s">
        <v>89</v>
      </c>
      <c r="D1661" s="562">
        <v>114074342</v>
      </c>
      <c r="E1661" s="562">
        <v>47633958</v>
      </c>
      <c r="F1661" s="562">
        <v>161708300</v>
      </c>
      <c r="G1661" s="631">
        <f t="shared" si="31"/>
        <v>0</v>
      </c>
      <c r="H1661" s="362"/>
      <c r="I1661" s="362"/>
      <c r="J1661" s="362"/>
    </row>
    <row r="1662" spans="1:10" hidden="1" x14ac:dyDescent="0.25">
      <c r="A1662" s="362"/>
      <c r="B1662" s="611">
        <v>44134</v>
      </c>
      <c r="C1662" s="362" t="s">
        <v>4751</v>
      </c>
      <c r="D1662" s="562">
        <v>167122894</v>
      </c>
      <c r="E1662" s="562">
        <v>15361706</v>
      </c>
      <c r="F1662" s="562">
        <v>182484600</v>
      </c>
      <c r="G1662" s="631">
        <f t="shared" si="31"/>
        <v>0</v>
      </c>
      <c r="H1662" s="362"/>
      <c r="I1662" s="362"/>
      <c r="J1662" s="362"/>
    </row>
    <row r="1663" spans="1:10" hidden="1" x14ac:dyDescent="0.25">
      <c r="A1663" s="362"/>
      <c r="B1663" s="611">
        <v>44134</v>
      </c>
      <c r="C1663" s="362" t="s">
        <v>84</v>
      </c>
      <c r="D1663" s="562">
        <v>145369092</v>
      </c>
      <c r="E1663" s="562">
        <v>19468883</v>
      </c>
      <c r="F1663" s="562">
        <v>164837800</v>
      </c>
      <c r="G1663" s="631">
        <f t="shared" si="31"/>
        <v>175</v>
      </c>
      <c r="H1663" s="362"/>
      <c r="I1663" s="362"/>
      <c r="J1663" s="362"/>
    </row>
    <row r="1664" spans="1:10" hidden="1" x14ac:dyDescent="0.25">
      <c r="A1664" s="362"/>
      <c r="B1664" s="611">
        <v>44134</v>
      </c>
      <c r="C1664" s="362" t="s">
        <v>81</v>
      </c>
      <c r="D1664" s="562">
        <v>65079093</v>
      </c>
      <c r="E1664" s="562">
        <v>5955531</v>
      </c>
      <c r="F1664" s="562">
        <v>71034700</v>
      </c>
      <c r="G1664" s="631">
        <f t="shared" si="31"/>
        <v>-76</v>
      </c>
      <c r="H1664" s="362"/>
      <c r="I1664" s="362"/>
      <c r="J1664" s="362"/>
    </row>
    <row r="1665" spans="1:10" hidden="1" x14ac:dyDescent="0.25">
      <c r="A1665" s="362"/>
      <c r="B1665" s="611">
        <v>44134</v>
      </c>
      <c r="C1665" s="362" t="s">
        <v>79</v>
      </c>
      <c r="D1665" s="562">
        <v>56394366</v>
      </c>
      <c r="E1665" s="562">
        <v>639614</v>
      </c>
      <c r="F1665" s="562">
        <v>57034000</v>
      </c>
      <c r="G1665" s="631">
        <f t="shared" si="31"/>
        <v>-20</v>
      </c>
      <c r="H1665" s="362"/>
      <c r="I1665" s="362"/>
      <c r="J1665" s="362"/>
    </row>
    <row r="1666" spans="1:10" hidden="1" x14ac:dyDescent="0.25">
      <c r="A1666" s="362"/>
      <c r="B1666" s="611">
        <v>44134</v>
      </c>
      <c r="C1666" s="362" t="s">
        <v>82</v>
      </c>
      <c r="D1666" s="562">
        <v>186043872</v>
      </c>
      <c r="E1666" s="562">
        <v>2163480</v>
      </c>
      <c r="F1666" s="562">
        <v>188207600</v>
      </c>
      <c r="G1666" s="631">
        <f t="shared" si="31"/>
        <v>-248</v>
      </c>
      <c r="H1666" s="362"/>
      <c r="I1666" s="362"/>
      <c r="J1666" s="362"/>
    </row>
    <row r="1667" spans="1:10" hidden="1" x14ac:dyDescent="0.25">
      <c r="A1667" s="362"/>
      <c r="B1667" s="611">
        <v>44134</v>
      </c>
      <c r="C1667" s="362" t="s">
        <v>78</v>
      </c>
      <c r="D1667" s="562">
        <v>85994057</v>
      </c>
      <c r="E1667" s="562">
        <v>2909343</v>
      </c>
      <c r="F1667" s="562">
        <v>88903400</v>
      </c>
      <c r="G1667" s="631">
        <f t="shared" si="31"/>
        <v>0</v>
      </c>
      <c r="H1667" s="362"/>
      <c r="I1667" s="362"/>
      <c r="J1667" s="362"/>
    </row>
    <row r="1668" spans="1:10" hidden="1" x14ac:dyDescent="0.25">
      <c r="A1668" s="362"/>
      <c r="B1668" s="611">
        <v>44134</v>
      </c>
      <c r="C1668" s="362" t="s">
        <v>85</v>
      </c>
      <c r="D1668" s="562">
        <v>16789300</v>
      </c>
      <c r="E1668" s="562"/>
      <c r="F1668" s="562">
        <v>16789300</v>
      </c>
      <c r="G1668" s="631">
        <f t="shared" si="31"/>
        <v>0</v>
      </c>
      <c r="H1668" s="362"/>
      <c r="I1668" s="362"/>
      <c r="J1668" s="362"/>
    </row>
    <row r="1669" spans="1:10" hidden="1" x14ac:dyDescent="0.25">
      <c r="A1669" s="362"/>
      <c r="B1669" s="611">
        <v>44134</v>
      </c>
      <c r="C1669" s="362" t="s">
        <v>166</v>
      </c>
      <c r="D1669" s="562">
        <v>36528047</v>
      </c>
      <c r="E1669" s="562"/>
      <c r="F1669" s="562">
        <v>36528100</v>
      </c>
      <c r="G1669" s="631">
        <f t="shared" si="31"/>
        <v>-53</v>
      </c>
      <c r="H1669" s="362"/>
      <c r="I1669" s="362"/>
      <c r="J1669" s="362"/>
    </row>
    <row r="1670" spans="1:10" hidden="1" x14ac:dyDescent="0.25">
      <c r="A1670" s="362"/>
      <c r="B1670" s="611">
        <v>44134</v>
      </c>
      <c r="C1670" s="362" t="s">
        <v>3435</v>
      </c>
      <c r="D1670" s="562">
        <v>180714850</v>
      </c>
      <c r="E1670" s="562"/>
      <c r="F1670" s="562">
        <v>180714900</v>
      </c>
      <c r="G1670" s="631">
        <f t="shared" si="31"/>
        <v>-50</v>
      </c>
      <c r="H1670" s="362"/>
      <c r="I1670" s="362"/>
      <c r="J1670" s="362"/>
    </row>
    <row r="1671" spans="1:10" hidden="1" x14ac:dyDescent="0.25">
      <c r="A1671" s="532"/>
      <c r="B1671" s="532"/>
      <c r="C1671" s="532"/>
      <c r="D1671" s="564"/>
      <c r="E1671" s="564"/>
      <c r="F1671" s="564"/>
      <c r="G1671" s="632">
        <f t="shared" si="31"/>
        <v>0</v>
      </c>
      <c r="H1671" s="532"/>
      <c r="I1671" s="532"/>
      <c r="J1671" s="532"/>
    </row>
    <row r="1672" spans="1:10" hidden="1" x14ac:dyDescent="0.25">
      <c r="A1672" s="362"/>
      <c r="B1672" s="611">
        <v>44135</v>
      </c>
      <c r="C1672" s="362" t="s">
        <v>80</v>
      </c>
      <c r="D1672" s="562">
        <v>222216314</v>
      </c>
      <c r="E1672" s="562">
        <v>44946000</v>
      </c>
      <c r="F1672" s="562">
        <v>267171900</v>
      </c>
      <c r="G1672" s="631">
        <f t="shared" si="31"/>
        <v>-9586</v>
      </c>
      <c r="H1672" s="362"/>
      <c r="I1672" s="362"/>
      <c r="J1672" s="362"/>
    </row>
    <row r="1673" spans="1:10" hidden="1" x14ac:dyDescent="0.25">
      <c r="A1673" s="362"/>
      <c r="B1673" s="611">
        <v>44135</v>
      </c>
      <c r="C1673" s="362" t="s">
        <v>83</v>
      </c>
      <c r="D1673" s="562">
        <v>185898921</v>
      </c>
      <c r="E1673" s="562">
        <v>214331779</v>
      </c>
      <c r="F1673" s="562">
        <v>400230700</v>
      </c>
      <c r="G1673" s="631">
        <f t="shared" si="31"/>
        <v>0</v>
      </c>
      <c r="H1673" s="362"/>
      <c r="I1673" s="362"/>
      <c r="J1673" s="362"/>
    </row>
    <row r="1674" spans="1:10" hidden="1" x14ac:dyDescent="0.25">
      <c r="A1674" s="362"/>
      <c r="B1674" s="611">
        <v>44135</v>
      </c>
      <c r="C1674" s="362" t="s">
        <v>88</v>
      </c>
      <c r="D1674" s="562">
        <v>279875417</v>
      </c>
      <c r="E1674" s="562">
        <v>25890695</v>
      </c>
      <c r="F1674" s="562">
        <v>305766200</v>
      </c>
      <c r="G1674" s="631">
        <f t="shared" si="31"/>
        <v>-88</v>
      </c>
      <c r="H1674" s="362"/>
      <c r="I1674" s="362"/>
      <c r="J1674" s="362"/>
    </row>
    <row r="1675" spans="1:10" hidden="1" x14ac:dyDescent="0.25">
      <c r="A1675" s="362"/>
      <c r="B1675" s="611">
        <v>44135</v>
      </c>
      <c r="C1675" s="362" t="s">
        <v>146</v>
      </c>
      <c r="D1675" s="562">
        <v>63772210</v>
      </c>
      <c r="E1675" s="562">
        <v>67846203</v>
      </c>
      <c r="F1675" s="562">
        <f>102057000+29561800</f>
        <v>131618800</v>
      </c>
      <c r="G1675" s="631">
        <f t="shared" si="31"/>
        <v>-387</v>
      </c>
      <c r="H1675" s="362"/>
      <c r="I1675" s="362"/>
      <c r="J1675" s="362"/>
    </row>
    <row r="1676" spans="1:10" hidden="1" x14ac:dyDescent="0.25">
      <c r="A1676" s="362"/>
      <c r="B1676" s="611">
        <v>44135</v>
      </c>
      <c r="C1676" s="362" t="s">
        <v>86</v>
      </c>
      <c r="D1676" s="562">
        <v>37282004</v>
      </c>
      <c r="E1676" s="562">
        <v>26558790</v>
      </c>
      <c r="F1676" s="562">
        <v>63840800</v>
      </c>
      <c r="G1676" s="631">
        <f t="shared" si="31"/>
        <v>-6</v>
      </c>
      <c r="H1676" s="362"/>
      <c r="I1676" s="362"/>
      <c r="J1676" s="362"/>
    </row>
    <row r="1677" spans="1:10" hidden="1" x14ac:dyDescent="0.25">
      <c r="A1677" s="362"/>
      <c r="B1677" s="611">
        <v>44135</v>
      </c>
      <c r="C1677" s="362" t="s">
        <v>89</v>
      </c>
      <c r="D1677" s="562">
        <v>90479996</v>
      </c>
      <c r="E1677" s="562">
        <v>72401004</v>
      </c>
      <c r="F1677" s="562">
        <v>162881000</v>
      </c>
      <c r="G1677" s="631">
        <f t="shared" si="31"/>
        <v>0</v>
      </c>
      <c r="H1677" s="362"/>
      <c r="I1677" s="362"/>
      <c r="J1677" s="362"/>
    </row>
    <row r="1678" spans="1:10" hidden="1" x14ac:dyDescent="0.25">
      <c r="A1678" s="362"/>
      <c r="B1678" s="611">
        <v>44135</v>
      </c>
      <c r="C1678" s="362" t="s">
        <v>4751</v>
      </c>
      <c r="D1678" s="562">
        <v>173365165</v>
      </c>
      <c r="E1678" s="562">
        <v>7106635</v>
      </c>
      <c r="F1678" s="562">
        <v>180471800</v>
      </c>
      <c r="G1678" s="631">
        <f t="shared" si="31"/>
        <v>0</v>
      </c>
      <c r="H1678" s="362"/>
      <c r="I1678" s="362"/>
      <c r="J1678" s="362"/>
    </row>
    <row r="1679" spans="1:10" hidden="1" x14ac:dyDescent="0.25">
      <c r="A1679" s="362"/>
      <c r="B1679" s="611">
        <v>44135</v>
      </c>
      <c r="C1679" s="362" t="s">
        <v>84</v>
      </c>
      <c r="D1679" s="562">
        <v>81697805</v>
      </c>
      <c r="E1679" s="562">
        <v>11267075</v>
      </c>
      <c r="F1679" s="562">
        <v>92964100</v>
      </c>
      <c r="G1679" s="631">
        <f t="shared" si="31"/>
        <v>780</v>
      </c>
      <c r="H1679" s="362"/>
      <c r="I1679" s="362"/>
      <c r="J1679" s="362"/>
    </row>
    <row r="1680" spans="1:10" hidden="1" x14ac:dyDescent="0.25">
      <c r="A1680" s="362"/>
      <c r="B1680" s="611">
        <v>44135</v>
      </c>
      <c r="C1680" s="362" t="s">
        <v>81</v>
      </c>
      <c r="D1680" s="562">
        <v>83633823</v>
      </c>
      <c r="E1680" s="562">
        <v>10342721</v>
      </c>
      <c r="F1680" s="562">
        <v>93976600</v>
      </c>
      <c r="G1680" s="631">
        <f t="shared" si="31"/>
        <v>-56</v>
      </c>
      <c r="H1680" s="362"/>
      <c r="I1680" s="362"/>
      <c r="J1680" s="362"/>
    </row>
    <row r="1681" spans="1:10" hidden="1" x14ac:dyDescent="0.25">
      <c r="A1681" s="362"/>
      <c r="B1681" s="611">
        <v>44135</v>
      </c>
      <c r="C1681" s="362" t="s">
        <v>79</v>
      </c>
      <c r="D1681" s="562">
        <v>40054021</v>
      </c>
      <c r="E1681" s="562"/>
      <c r="F1681" s="562">
        <v>40453100</v>
      </c>
      <c r="G1681" s="631">
        <f t="shared" si="31"/>
        <v>-399079</v>
      </c>
      <c r="H1681" s="362"/>
      <c r="I1681" s="362"/>
      <c r="J1681" s="362"/>
    </row>
    <row r="1682" spans="1:10" hidden="1" x14ac:dyDescent="0.25">
      <c r="A1682" s="362"/>
      <c r="B1682" s="611">
        <v>44135</v>
      </c>
      <c r="C1682" s="362" t="s">
        <v>82</v>
      </c>
      <c r="D1682" s="562">
        <v>164606416</v>
      </c>
      <c r="E1682" s="562">
        <v>2488898</v>
      </c>
      <c r="F1682" s="562">
        <v>167095400</v>
      </c>
      <c r="G1682" s="631">
        <f t="shared" si="31"/>
        <v>-86</v>
      </c>
      <c r="H1682" s="362"/>
      <c r="I1682" s="362"/>
      <c r="J1682" s="362"/>
    </row>
    <row r="1683" spans="1:10" hidden="1" x14ac:dyDescent="0.25">
      <c r="A1683" s="362"/>
      <c r="B1683" s="611">
        <v>44135</v>
      </c>
      <c r="C1683" s="362" t="s">
        <v>78</v>
      </c>
      <c r="D1683" s="562">
        <v>113284615</v>
      </c>
      <c r="E1683" s="562">
        <v>1630385</v>
      </c>
      <c r="F1683" s="562">
        <v>114915000</v>
      </c>
      <c r="G1683" s="631">
        <f t="shared" si="31"/>
        <v>0</v>
      </c>
      <c r="H1683" s="362"/>
      <c r="I1683" s="362"/>
      <c r="J1683" s="362"/>
    </row>
    <row r="1684" spans="1:10" hidden="1" x14ac:dyDescent="0.25">
      <c r="A1684" s="362"/>
      <c r="B1684" s="611">
        <v>44135</v>
      </c>
      <c r="C1684" s="362" t="s">
        <v>85</v>
      </c>
      <c r="D1684" s="562">
        <v>22263400</v>
      </c>
      <c r="E1684" s="562"/>
      <c r="F1684" s="562">
        <v>22263400</v>
      </c>
      <c r="G1684" s="631">
        <f t="shared" si="31"/>
        <v>0</v>
      </c>
      <c r="H1684" s="362"/>
      <c r="I1684" s="362"/>
      <c r="J1684" s="362"/>
    </row>
    <row r="1685" spans="1:10" hidden="1" x14ac:dyDescent="0.25">
      <c r="A1685" s="362"/>
      <c r="B1685" s="611">
        <v>44135</v>
      </c>
      <c r="C1685" s="362" t="s">
        <v>166</v>
      </c>
      <c r="D1685" s="562"/>
      <c r="E1685" s="562"/>
      <c r="F1685" s="562"/>
      <c r="G1685" s="631">
        <f t="shared" si="31"/>
        <v>0</v>
      </c>
      <c r="H1685" s="362"/>
      <c r="I1685" s="362"/>
      <c r="J1685" s="362"/>
    </row>
    <row r="1686" spans="1:10" hidden="1" x14ac:dyDescent="0.25">
      <c r="A1686" s="362"/>
      <c r="B1686" s="611">
        <v>44135</v>
      </c>
      <c r="C1686" s="362" t="s">
        <v>3435</v>
      </c>
      <c r="D1686" s="562"/>
      <c r="E1686" s="562"/>
      <c r="F1686" s="562"/>
      <c r="G1686" s="631">
        <f t="shared" si="31"/>
        <v>0</v>
      </c>
      <c r="H1686" s="362"/>
      <c r="I1686" s="362"/>
      <c r="J1686" s="362"/>
    </row>
    <row r="1687" spans="1:10" hidden="1" x14ac:dyDescent="0.25">
      <c r="A1687" s="532"/>
      <c r="B1687" s="532"/>
      <c r="C1687" s="532"/>
      <c r="D1687" s="564"/>
      <c r="E1687" s="564"/>
      <c r="F1687" s="564"/>
      <c r="G1687" s="632">
        <f t="shared" si="31"/>
        <v>0</v>
      </c>
      <c r="H1687" s="532"/>
      <c r="I1687" s="532"/>
      <c r="J1687" s="532"/>
    </row>
    <row r="1688" spans="1:10" hidden="1" x14ac:dyDescent="0.25">
      <c r="A1688" s="362"/>
      <c r="B1688" s="611">
        <v>44137</v>
      </c>
      <c r="C1688" s="362" t="s">
        <v>80</v>
      </c>
      <c r="D1688" s="562">
        <v>214552705</v>
      </c>
      <c r="E1688" s="562"/>
      <c r="F1688" s="562"/>
      <c r="G1688" s="562">
        <f t="shared" si="31"/>
        <v>214552705</v>
      </c>
      <c r="H1688" s="562"/>
      <c r="I1688" s="562"/>
      <c r="J1688" s="562"/>
    </row>
    <row r="1689" spans="1:10" hidden="1" x14ac:dyDescent="0.25">
      <c r="A1689" s="362"/>
      <c r="B1689" s="611">
        <v>44137</v>
      </c>
      <c r="C1689" s="362" t="s">
        <v>83</v>
      </c>
      <c r="D1689" s="562">
        <v>258164858</v>
      </c>
      <c r="E1689" s="562">
        <v>8761074</v>
      </c>
      <c r="F1689" s="562"/>
      <c r="G1689" s="562">
        <f t="shared" si="31"/>
        <v>266925932</v>
      </c>
      <c r="H1689" s="562"/>
      <c r="I1689" s="562"/>
      <c r="J1689" s="562"/>
    </row>
    <row r="1690" spans="1:10" hidden="1" x14ac:dyDescent="0.25">
      <c r="A1690" s="362"/>
      <c r="B1690" s="611">
        <v>44137</v>
      </c>
      <c r="C1690" s="362" t="s">
        <v>88</v>
      </c>
      <c r="D1690" s="562">
        <v>313965873</v>
      </c>
      <c r="E1690" s="562">
        <v>8808280</v>
      </c>
      <c r="F1690" s="562"/>
      <c r="G1690" s="562">
        <f t="shared" si="31"/>
        <v>322774153</v>
      </c>
      <c r="H1690" s="562"/>
      <c r="I1690" s="562"/>
      <c r="J1690" s="562"/>
    </row>
    <row r="1691" spans="1:10" hidden="1" x14ac:dyDescent="0.25">
      <c r="A1691" s="362"/>
      <c r="B1691" s="611">
        <v>44137</v>
      </c>
      <c r="C1691" s="362" t="s">
        <v>146</v>
      </c>
      <c r="D1691" s="562">
        <v>105534683</v>
      </c>
      <c r="E1691" s="562">
        <v>45706722</v>
      </c>
      <c r="F1691" s="562"/>
      <c r="G1691" s="562">
        <f t="shared" si="31"/>
        <v>151241405</v>
      </c>
      <c r="H1691" s="562"/>
      <c r="I1691" s="562"/>
      <c r="J1691" s="562"/>
    </row>
    <row r="1692" spans="1:10" hidden="1" x14ac:dyDescent="0.25">
      <c r="A1692" s="362"/>
      <c r="B1692" s="611">
        <v>44137</v>
      </c>
      <c r="C1692" s="362" t="s">
        <v>86</v>
      </c>
      <c r="D1692" s="562">
        <v>45357173</v>
      </c>
      <c r="E1692" s="562">
        <v>11277900</v>
      </c>
      <c r="F1692" s="562"/>
      <c r="G1692" s="562">
        <f t="shared" si="31"/>
        <v>56635073</v>
      </c>
      <c r="H1692" s="562"/>
      <c r="I1692" s="562"/>
      <c r="J1692" s="562"/>
    </row>
    <row r="1693" spans="1:10" hidden="1" x14ac:dyDescent="0.25">
      <c r="A1693" s="362"/>
      <c r="B1693" s="611">
        <v>44137</v>
      </c>
      <c r="C1693" s="362" t="s">
        <v>89</v>
      </c>
      <c r="D1693" s="562">
        <v>105597219</v>
      </c>
      <c r="E1693" s="562">
        <v>61182581</v>
      </c>
      <c r="F1693" s="562"/>
      <c r="G1693" s="562">
        <f t="shared" si="31"/>
        <v>166779800</v>
      </c>
      <c r="H1693" s="562"/>
      <c r="I1693" s="562"/>
      <c r="J1693" s="562"/>
    </row>
    <row r="1694" spans="1:10" hidden="1" x14ac:dyDescent="0.25">
      <c r="A1694" s="362"/>
      <c r="B1694" s="611">
        <v>44137</v>
      </c>
      <c r="C1694" s="362" t="s">
        <v>4751</v>
      </c>
      <c r="D1694" s="562">
        <v>154507679</v>
      </c>
      <c r="E1694" s="562">
        <v>4368321</v>
      </c>
      <c r="F1694" s="562"/>
      <c r="G1694" s="562"/>
      <c r="H1694" s="562"/>
      <c r="I1694" s="562"/>
      <c r="J1694" s="562"/>
    </row>
    <row r="1695" spans="1:10" hidden="1" x14ac:dyDescent="0.25">
      <c r="A1695" s="362"/>
      <c r="B1695" s="611">
        <v>44137</v>
      </c>
      <c r="C1695" s="362" t="s">
        <v>84</v>
      </c>
      <c r="D1695" s="562">
        <v>182005618</v>
      </c>
      <c r="E1695" s="562">
        <v>11436951</v>
      </c>
      <c r="F1695" s="562"/>
      <c r="G1695" s="562"/>
      <c r="H1695" s="562"/>
      <c r="I1695" s="562"/>
      <c r="J1695" s="562"/>
    </row>
    <row r="1696" spans="1:10" hidden="1" x14ac:dyDescent="0.25">
      <c r="A1696" s="362"/>
      <c r="B1696" s="611">
        <v>44137</v>
      </c>
      <c r="C1696" s="362" t="s">
        <v>81</v>
      </c>
      <c r="D1696" s="562">
        <v>78066593</v>
      </c>
      <c r="E1696" s="562">
        <v>6028260</v>
      </c>
      <c r="F1696" s="562"/>
      <c r="G1696" s="562"/>
      <c r="H1696" s="562"/>
      <c r="I1696" s="562"/>
      <c r="J1696" s="562"/>
    </row>
    <row r="1697" spans="1:10" hidden="1" x14ac:dyDescent="0.25">
      <c r="A1697" s="362"/>
      <c r="B1697" s="611">
        <v>44137</v>
      </c>
      <c r="C1697" s="362" t="s">
        <v>79</v>
      </c>
      <c r="D1697" s="562">
        <v>35629977</v>
      </c>
      <c r="E1697" s="562">
        <v>1478595</v>
      </c>
      <c r="F1697" s="562"/>
      <c r="G1697" s="562"/>
      <c r="H1697" s="562"/>
      <c r="I1697" s="562"/>
      <c r="J1697" s="562"/>
    </row>
    <row r="1698" spans="1:10" hidden="1" x14ac:dyDescent="0.25">
      <c r="A1698" s="362"/>
      <c r="B1698" s="611">
        <v>44137</v>
      </c>
      <c r="C1698" s="362" t="s">
        <v>82</v>
      </c>
      <c r="D1698" s="562">
        <v>26852856</v>
      </c>
      <c r="E1698" s="562"/>
      <c r="F1698" s="562"/>
      <c r="G1698" s="562"/>
      <c r="H1698" s="562"/>
      <c r="I1698" s="562"/>
      <c r="J1698" s="562"/>
    </row>
    <row r="1699" spans="1:10" hidden="1" x14ac:dyDescent="0.25">
      <c r="A1699" s="362"/>
      <c r="B1699" s="611">
        <v>44137</v>
      </c>
      <c r="C1699" s="362" t="s">
        <v>78</v>
      </c>
      <c r="D1699" s="562">
        <v>45158532</v>
      </c>
      <c r="E1699" s="562">
        <v>3846468</v>
      </c>
      <c r="F1699" s="562"/>
      <c r="G1699" s="562"/>
      <c r="H1699" s="562"/>
      <c r="I1699" s="562"/>
      <c r="J1699" s="562"/>
    </row>
    <row r="1700" spans="1:10" hidden="1" x14ac:dyDescent="0.25">
      <c r="A1700" s="362"/>
      <c r="B1700" s="611">
        <v>44137</v>
      </c>
      <c r="C1700" s="362" t="s">
        <v>85</v>
      </c>
      <c r="D1700" s="562">
        <v>38198100</v>
      </c>
      <c r="E1700" s="562"/>
      <c r="F1700" s="562"/>
      <c r="G1700" s="562"/>
      <c r="H1700" s="562"/>
      <c r="I1700" s="562"/>
      <c r="J1700" s="562"/>
    </row>
    <row r="1701" spans="1:10" hidden="1" x14ac:dyDescent="0.25">
      <c r="A1701" s="362"/>
      <c r="B1701" s="611">
        <v>44137</v>
      </c>
      <c r="C1701" s="362" t="s">
        <v>166</v>
      </c>
      <c r="D1701" s="562">
        <v>54414383</v>
      </c>
      <c r="E1701" s="562"/>
      <c r="F1701" s="562"/>
      <c r="G1701" s="562"/>
      <c r="H1701" s="562"/>
      <c r="I1701" s="562"/>
      <c r="J1701" s="562"/>
    </row>
    <row r="1702" spans="1:10" hidden="1" x14ac:dyDescent="0.25">
      <c r="A1702" s="362"/>
      <c r="B1702" s="611">
        <v>44137</v>
      </c>
      <c r="C1702" s="362" t="s">
        <v>3435</v>
      </c>
      <c r="D1702" s="562">
        <v>34100924</v>
      </c>
      <c r="E1702" s="562"/>
      <c r="F1702" s="562"/>
      <c r="G1702" s="562"/>
      <c r="H1702" s="562"/>
      <c r="I1702" s="562"/>
      <c r="J1702" s="562"/>
    </row>
    <row r="1703" spans="1:10" hidden="1" x14ac:dyDescent="0.25">
      <c r="A1703" s="532"/>
      <c r="B1703" s="532"/>
      <c r="C1703" s="532"/>
      <c r="D1703" s="564"/>
      <c r="E1703" s="564"/>
      <c r="F1703" s="564"/>
      <c r="G1703" s="564"/>
      <c r="H1703" s="564"/>
      <c r="I1703" s="564"/>
      <c r="J1703" s="564"/>
    </row>
    <row r="1704" spans="1:10" hidden="1" x14ac:dyDescent="0.25">
      <c r="A1704" s="362"/>
      <c r="B1704" s="611">
        <v>44138</v>
      </c>
      <c r="C1704" s="362" t="s">
        <v>80</v>
      </c>
      <c r="D1704" s="562">
        <v>203916773</v>
      </c>
      <c r="E1704" s="562">
        <v>40782500</v>
      </c>
      <c r="F1704" s="562"/>
      <c r="G1704" s="562"/>
      <c r="H1704" s="562"/>
      <c r="I1704" s="562"/>
      <c r="J1704" s="562"/>
    </row>
    <row r="1705" spans="1:10" hidden="1" x14ac:dyDescent="0.25">
      <c r="A1705" s="362"/>
      <c r="B1705" s="611">
        <v>44138</v>
      </c>
      <c r="C1705" s="362" t="s">
        <v>83</v>
      </c>
      <c r="D1705" s="562">
        <v>210947349</v>
      </c>
      <c r="E1705" s="562">
        <v>12595111</v>
      </c>
      <c r="F1705" s="562"/>
      <c r="G1705" s="562"/>
      <c r="H1705" s="562"/>
      <c r="I1705" s="562"/>
      <c r="J1705" s="562"/>
    </row>
    <row r="1706" spans="1:10" hidden="1" x14ac:dyDescent="0.25">
      <c r="A1706" s="362"/>
      <c r="B1706" s="611">
        <v>44138</v>
      </c>
      <c r="C1706" s="362" t="s">
        <v>88</v>
      </c>
      <c r="D1706" s="562">
        <v>184774209</v>
      </c>
      <c r="E1706" s="562">
        <v>6598948</v>
      </c>
      <c r="F1706" s="562"/>
      <c r="G1706" s="562"/>
      <c r="H1706" s="562"/>
      <c r="I1706" s="562"/>
      <c r="J1706" s="562"/>
    </row>
    <row r="1707" spans="1:10" hidden="1" x14ac:dyDescent="0.25">
      <c r="A1707" s="362"/>
      <c r="B1707" s="611">
        <v>44138</v>
      </c>
      <c r="C1707" s="362" t="s">
        <v>146</v>
      </c>
      <c r="D1707" s="562">
        <v>124271739</v>
      </c>
      <c r="E1707" s="562">
        <v>48662686</v>
      </c>
      <c r="F1707" s="562"/>
      <c r="G1707" s="562"/>
      <c r="H1707" s="562"/>
      <c r="I1707" s="562"/>
      <c r="J1707" s="562"/>
    </row>
    <row r="1708" spans="1:10" hidden="1" x14ac:dyDescent="0.25">
      <c r="A1708" s="362"/>
      <c r="B1708" s="611">
        <v>44138</v>
      </c>
      <c r="C1708" s="362" t="s">
        <v>86</v>
      </c>
      <c r="D1708" s="562">
        <v>104445195</v>
      </c>
      <c r="E1708" s="562">
        <v>45457844</v>
      </c>
      <c r="F1708" s="562"/>
      <c r="G1708" s="562"/>
      <c r="H1708" s="562"/>
      <c r="I1708" s="562"/>
      <c r="J1708" s="562"/>
    </row>
    <row r="1709" spans="1:10" hidden="1" x14ac:dyDescent="0.25">
      <c r="A1709" s="362"/>
      <c r="B1709" s="611">
        <v>44138</v>
      </c>
      <c r="C1709" s="362" t="s">
        <v>89</v>
      </c>
      <c r="D1709" s="562">
        <v>142739272</v>
      </c>
      <c r="E1709" s="562">
        <v>4484328</v>
      </c>
      <c r="F1709" s="562"/>
      <c r="G1709" s="562"/>
      <c r="H1709" s="562"/>
      <c r="I1709" s="562"/>
      <c r="J1709" s="562"/>
    </row>
    <row r="1710" spans="1:10" hidden="1" x14ac:dyDescent="0.25">
      <c r="A1710" s="362"/>
      <c r="B1710" s="611">
        <v>44138</v>
      </c>
      <c r="C1710" s="362" t="s">
        <v>4751</v>
      </c>
      <c r="D1710" s="562">
        <v>149645927</v>
      </c>
      <c r="E1710" s="562">
        <v>11269073</v>
      </c>
      <c r="F1710" s="562"/>
      <c r="G1710" s="562"/>
      <c r="H1710" s="562"/>
      <c r="I1710" s="562"/>
      <c r="J1710" s="562"/>
    </row>
    <row r="1711" spans="1:10" hidden="1" x14ac:dyDescent="0.25">
      <c r="A1711" s="362"/>
      <c r="B1711" s="611">
        <v>44138</v>
      </c>
      <c r="C1711" s="362" t="s">
        <v>84</v>
      </c>
      <c r="D1711" s="562">
        <v>146074482</v>
      </c>
      <c r="E1711" s="562">
        <v>8447600</v>
      </c>
      <c r="F1711" s="562"/>
      <c r="G1711" s="562"/>
      <c r="H1711" s="562"/>
      <c r="I1711" s="562"/>
      <c r="J1711" s="562"/>
    </row>
    <row r="1712" spans="1:10" hidden="1" x14ac:dyDescent="0.25">
      <c r="A1712" s="362"/>
      <c r="B1712" s="611">
        <v>44138</v>
      </c>
      <c r="C1712" s="362" t="s">
        <v>81</v>
      </c>
      <c r="D1712" s="562">
        <v>70275274</v>
      </c>
      <c r="E1712" s="562">
        <v>7063900</v>
      </c>
      <c r="F1712" s="562"/>
      <c r="G1712" s="562"/>
      <c r="H1712" s="562"/>
      <c r="I1712" s="562"/>
      <c r="J1712" s="562"/>
    </row>
    <row r="1713" spans="1:12" hidden="1" x14ac:dyDescent="0.25">
      <c r="A1713" s="362"/>
      <c r="B1713" s="611">
        <v>44138</v>
      </c>
      <c r="C1713" s="362" t="s">
        <v>79</v>
      </c>
      <c r="D1713" s="562">
        <v>60882091</v>
      </c>
      <c r="E1713" s="562"/>
      <c r="F1713" s="562"/>
      <c r="G1713" s="562"/>
      <c r="H1713" s="562"/>
      <c r="I1713" s="562"/>
      <c r="J1713" s="562"/>
    </row>
    <row r="1714" spans="1:12" hidden="1" x14ac:dyDescent="0.25">
      <c r="A1714" s="362"/>
      <c r="B1714" s="611">
        <v>44138</v>
      </c>
      <c r="C1714" s="362" t="s">
        <v>82</v>
      </c>
      <c r="D1714" s="562">
        <v>40504645</v>
      </c>
      <c r="E1714" s="562">
        <v>3352900</v>
      </c>
      <c r="F1714" s="562"/>
      <c r="G1714" s="562"/>
      <c r="H1714" s="562"/>
      <c r="I1714" s="562"/>
      <c r="J1714" s="562"/>
    </row>
    <row r="1715" spans="1:12" hidden="1" x14ac:dyDescent="0.25">
      <c r="A1715" s="362"/>
      <c r="B1715" s="611">
        <v>44138</v>
      </c>
      <c r="C1715" s="362" t="s">
        <v>78</v>
      </c>
      <c r="D1715" s="562">
        <v>70600059</v>
      </c>
      <c r="E1715" s="562">
        <v>1031441</v>
      </c>
      <c r="F1715" s="562"/>
      <c r="G1715" s="562"/>
      <c r="H1715" s="562"/>
      <c r="I1715" s="562"/>
      <c r="J1715" s="562"/>
    </row>
    <row r="1716" spans="1:12" hidden="1" x14ac:dyDescent="0.25">
      <c r="A1716" s="362"/>
      <c r="B1716" s="611">
        <v>44138</v>
      </c>
      <c r="C1716" s="362" t="s">
        <v>85</v>
      </c>
      <c r="D1716" s="562">
        <v>33877300</v>
      </c>
      <c r="E1716" s="562"/>
      <c r="F1716" s="562"/>
      <c r="G1716" s="562"/>
      <c r="H1716" s="562"/>
      <c r="I1716" s="562"/>
      <c r="J1716" s="562"/>
    </row>
    <row r="1717" spans="1:12" hidden="1" x14ac:dyDescent="0.25">
      <c r="A1717" s="362"/>
      <c r="B1717" s="611">
        <v>44138</v>
      </c>
      <c r="C1717" s="362" t="s">
        <v>166</v>
      </c>
      <c r="D1717" s="562">
        <v>63051726</v>
      </c>
      <c r="E1717" s="562"/>
      <c r="F1717" s="562"/>
      <c r="G1717" s="562"/>
      <c r="H1717" s="562"/>
      <c r="I1717" s="562"/>
      <c r="J1717" s="562"/>
    </row>
    <row r="1718" spans="1:12" hidden="1" x14ac:dyDescent="0.25">
      <c r="A1718" s="362"/>
      <c r="B1718" s="611">
        <v>44138</v>
      </c>
      <c r="C1718" s="362" t="s">
        <v>3435</v>
      </c>
      <c r="D1718" s="562">
        <v>34119255</v>
      </c>
      <c r="E1718" s="562"/>
      <c r="F1718" s="562"/>
      <c r="G1718" s="562"/>
      <c r="H1718" s="562"/>
      <c r="I1718" s="562"/>
      <c r="J1718" s="562"/>
    </row>
    <row r="1719" spans="1:12" hidden="1" x14ac:dyDescent="0.25">
      <c r="A1719" s="532"/>
      <c r="B1719" s="532"/>
      <c r="C1719" s="532"/>
      <c r="D1719" s="564"/>
      <c r="E1719" s="564"/>
      <c r="F1719" s="564"/>
      <c r="G1719" s="564"/>
      <c r="H1719" s="564"/>
      <c r="I1719" s="564"/>
      <c r="J1719" s="564"/>
    </row>
    <row r="1720" spans="1:12" hidden="1" x14ac:dyDescent="0.25">
      <c r="A1720" s="362"/>
      <c r="B1720" s="611">
        <v>44139</v>
      </c>
      <c r="C1720" s="362" t="s">
        <v>80</v>
      </c>
      <c r="D1720" s="562">
        <v>237762899</v>
      </c>
      <c r="E1720" s="562">
        <v>240006</v>
      </c>
      <c r="F1720" s="562"/>
      <c r="G1720" s="562"/>
      <c r="H1720" s="562"/>
      <c r="I1720" s="562"/>
      <c r="J1720" s="562"/>
    </row>
    <row r="1721" spans="1:12" hidden="1" x14ac:dyDescent="0.25">
      <c r="A1721" s="362"/>
      <c r="B1721" s="611">
        <v>44139</v>
      </c>
      <c r="C1721" s="362" t="s">
        <v>83</v>
      </c>
      <c r="D1721" s="562">
        <v>201719103</v>
      </c>
      <c r="E1721" s="562">
        <v>110075015</v>
      </c>
      <c r="F1721" s="562"/>
      <c r="G1721" s="562"/>
      <c r="H1721" s="562"/>
      <c r="I1721" s="562"/>
      <c r="J1721" s="562"/>
    </row>
    <row r="1722" spans="1:12" hidden="1" x14ac:dyDescent="0.25">
      <c r="A1722" s="362"/>
      <c r="B1722" s="611">
        <v>44139</v>
      </c>
      <c r="C1722" s="362" t="s">
        <v>88</v>
      </c>
      <c r="D1722" s="562">
        <v>126725729</v>
      </c>
      <c r="E1722" s="562">
        <v>7951494</v>
      </c>
      <c r="F1722" s="562"/>
      <c r="G1722" s="562"/>
      <c r="H1722" s="562"/>
      <c r="I1722" s="562"/>
      <c r="J1722" s="562"/>
    </row>
    <row r="1723" spans="1:12" hidden="1" x14ac:dyDescent="0.25">
      <c r="A1723" s="362"/>
      <c r="B1723" s="611">
        <v>44139</v>
      </c>
      <c r="C1723" s="362" t="s">
        <v>146</v>
      </c>
      <c r="D1723" s="562">
        <v>102723442</v>
      </c>
      <c r="E1723" s="562">
        <v>65677046</v>
      </c>
      <c r="F1723" s="562"/>
      <c r="G1723" s="562"/>
      <c r="H1723" s="562"/>
      <c r="I1723" s="562"/>
      <c r="J1723" s="562"/>
    </row>
    <row r="1724" spans="1:12" hidden="1" x14ac:dyDescent="0.25">
      <c r="A1724" s="362"/>
      <c r="B1724" s="611">
        <v>44139</v>
      </c>
      <c r="C1724" s="362" t="s">
        <v>86</v>
      </c>
      <c r="D1724" s="562">
        <v>51757146</v>
      </c>
      <c r="E1724" s="562">
        <v>28019982</v>
      </c>
      <c r="F1724" s="562"/>
      <c r="G1724" s="562"/>
      <c r="H1724" s="562"/>
      <c r="I1724" s="562"/>
      <c r="J1724" s="562"/>
      <c r="L1724" s="663"/>
    </row>
    <row r="1725" spans="1:12" hidden="1" x14ac:dyDescent="0.25">
      <c r="A1725" s="362"/>
      <c r="B1725" s="611">
        <v>44139</v>
      </c>
      <c r="C1725" s="362" t="s">
        <v>89</v>
      </c>
      <c r="D1725" s="562">
        <v>124330155</v>
      </c>
      <c r="E1725" s="562">
        <v>18888945</v>
      </c>
      <c r="F1725" s="562"/>
      <c r="G1725" s="562"/>
      <c r="H1725" s="562"/>
      <c r="I1725" s="562"/>
      <c r="J1725" s="562"/>
    </row>
    <row r="1726" spans="1:12" hidden="1" x14ac:dyDescent="0.25">
      <c r="A1726" s="362"/>
      <c r="B1726" s="611">
        <v>44139</v>
      </c>
      <c r="C1726" s="362" t="s">
        <v>4751</v>
      </c>
      <c r="D1726" s="562">
        <v>187864387</v>
      </c>
      <c r="E1726" s="562">
        <v>13578913</v>
      </c>
      <c r="F1726" s="562"/>
      <c r="G1726" s="562"/>
      <c r="H1726" s="562"/>
      <c r="I1726" s="562"/>
      <c r="J1726" s="562"/>
    </row>
    <row r="1727" spans="1:12" hidden="1" x14ac:dyDescent="0.25">
      <c r="A1727" s="362"/>
      <c r="B1727" s="611">
        <v>44139</v>
      </c>
      <c r="C1727" s="362" t="s">
        <v>84</v>
      </c>
      <c r="D1727" s="562">
        <v>246947949</v>
      </c>
      <c r="E1727" s="562">
        <v>7282048</v>
      </c>
      <c r="F1727" s="562"/>
      <c r="G1727" s="562"/>
      <c r="H1727" s="562"/>
      <c r="I1727" s="562"/>
      <c r="J1727" s="562"/>
    </row>
    <row r="1728" spans="1:12" hidden="1" x14ac:dyDescent="0.25">
      <c r="A1728" s="362"/>
      <c r="B1728" s="611">
        <v>44139</v>
      </c>
      <c r="C1728" s="362" t="s">
        <v>81</v>
      </c>
      <c r="D1728" s="562">
        <v>97514237</v>
      </c>
      <c r="E1728" s="562">
        <v>23109982</v>
      </c>
      <c r="F1728" s="562"/>
      <c r="G1728" s="562"/>
      <c r="H1728" s="562"/>
      <c r="I1728" s="562"/>
      <c r="J1728" s="562"/>
    </row>
    <row r="1729" spans="1:10" hidden="1" x14ac:dyDescent="0.25">
      <c r="A1729" s="362"/>
      <c r="B1729" s="611">
        <v>44139</v>
      </c>
      <c r="C1729" s="362" t="s">
        <v>79</v>
      </c>
      <c r="D1729" s="562">
        <v>74515772</v>
      </c>
      <c r="E1729" s="562">
        <v>745768</v>
      </c>
      <c r="F1729" s="562"/>
      <c r="G1729" s="562"/>
      <c r="H1729" s="562"/>
      <c r="I1729" s="562"/>
      <c r="J1729" s="562"/>
    </row>
    <row r="1730" spans="1:10" hidden="1" x14ac:dyDescent="0.25">
      <c r="A1730" s="362"/>
      <c r="B1730" s="611">
        <v>44139</v>
      </c>
      <c r="C1730" s="362" t="s">
        <v>82</v>
      </c>
      <c r="D1730" s="562">
        <v>107394404</v>
      </c>
      <c r="E1730" s="562">
        <v>2759634</v>
      </c>
      <c r="F1730" s="562"/>
      <c r="G1730" s="562"/>
      <c r="H1730" s="562"/>
      <c r="I1730" s="562"/>
      <c r="J1730" s="562"/>
    </row>
    <row r="1731" spans="1:10" hidden="1" x14ac:dyDescent="0.25">
      <c r="A1731" s="362"/>
      <c r="B1731" s="611">
        <v>44139</v>
      </c>
      <c r="C1731" s="362" t="s">
        <v>78</v>
      </c>
      <c r="D1731" s="562">
        <v>79002290</v>
      </c>
      <c r="E1731" s="562">
        <v>2674210</v>
      </c>
      <c r="F1731" s="562"/>
      <c r="G1731" s="562"/>
      <c r="H1731" s="562"/>
      <c r="I1731" s="562"/>
      <c r="J1731" s="562"/>
    </row>
    <row r="1732" spans="1:10" hidden="1" x14ac:dyDescent="0.25">
      <c r="A1732" s="362"/>
      <c r="B1732" s="611">
        <v>44139</v>
      </c>
      <c r="C1732" s="362" t="s">
        <v>85</v>
      </c>
      <c r="D1732" s="562"/>
      <c r="E1732" s="562"/>
      <c r="F1732" s="562"/>
      <c r="G1732" s="562"/>
      <c r="H1732" s="562"/>
      <c r="I1732" s="562"/>
      <c r="J1732" s="562"/>
    </row>
    <row r="1733" spans="1:10" hidden="1" x14ac:dyDescent="0.25">
      <c r="A1733" s="362"/>
      <c r="B1733" s="611">
        <v>44139</v>
      </c>
      <c r="C1733" s="362" t="s">
        <v>166</v>
      </c>
      <c r="D1733" s="562">
        <v>43972592</v>
      </c>
      <c r="E1733" s="562"/>
      <c r="F1733" s="562"/>
      <c r="G1733" s="562"/>
      <c r="H1733" s="562"/>
      <c r="I1733" s="562"/>
      <c r="J1733" s="562"/>
    </row>
    <row r="1734" spans="1:10" hidden="1" x14ac:dyDescent="0.25">
      <c r="A1734" s="362"/>
      <c r="B1734" s="611">
        <v>44139</v>
      </c>
      <c r="C1734" s="362" t="s">
        <v>3435</v>
      </c>
      <c r="D1734" s="562">
        <v>48550990</v>
      </c>
      <c r="E1734" s="562"/>
      <c r="F1734" s="562"/>
      <c r="G1734" s="562"/>
      <c r="H1734" s="562"/>
      <c r="I1734" s="562"/>
      <c r="J1734" s="562"/>
    </row>
    <row r="1735" spans="1:10" hidden="1" x14ac:dyDescent="0.25">
      <c r="A1735" s="532"/>
      <c r="B1735" s="532"/>
      <c r="C1735" s="532"/>
      <c r="D1735" s="564"/>
      <c r="E1735" s="564"/>
      <c r="F1735" s="564"/>
      <c r="G1735" s="564"/>
      <c r="H1735" s="564"/>
      <c r="I1735" s="564"/>
      <c r="J1735" s="564"/>
    </row>
    <row r="1736" spans="1:10" hidden="1" x14ac:dyDescent="0.25">
      <c r="A1736" s="362"/>
      <c r="B1736" s="611">
        <v>44152</v>
      </c>
      <c r="C1736" s="362" t="s">
        <v>80</v>
      </c>
      <c r="D1736" s="562">
        <v>186881000</v>
      </c>
      <c r="E1736" s="562"/>
      <c r="F1736" s="562">
        <v>186881000</v>
      </c>
      <c r="G1736" s="562">
        <f>D1736+E1736-F1736</f>
        <v>0</v>
      </c>
      <c r="H1736" s="562"/>
      <c r="I1736" s="562"/>
      <c r="J1736" s="562"/>
    </row>
    <row r="1737" spans="1:10" hidden="1" x14ac:dyDescent="0.25">
      <c r="A1737" s="362"/>
      <c r="B1737" s="611">
        <v>44152</v>
      </c>
      <c r="C1737" s="362" t="s">
        <v>83</v>
      </c>
      <c r="D1737" s="562">
        <v>160971447</v>
      </c>
      <c r="E1737" s="562">
        <v>5846756</v>
      </c>
      <c r="F1737" s="562">
        <v>166818200</v>
      </c>
      <c r="G1737" s="562">
        <f t="shared" ref="G1737:G1800" si="32">D1737+E1737-F1737</f>
        <v>3</v>
      </c>
      <c r="H1737" s="562"/>
      <c r="I1737" s="562"/>
      <c r="J1737" s="562"/>
    </row>
    <row r="1738" spans="1:10" hidden="1" x14ac:dyDescent="0.25">
      <c r="A1738" s="362"/>
      <c r="B1738" s="611">
        <v>44152</v>
      </c>
      <c r="C1738" s="362" t="s">
        <v>88</v>
      </c>
      <c r="D1738" s="562">
        <v>100319341</v>
      </c>
      <c r="E1738" s="562">
        <v>70698995</v>
      </c>
      <c r="F1738" s="562">
        <v>171018400</v>
      </c>
      <c r="G1738" s="562">
        <f t="shared" si="32"/>
        <v>-64</v>
      </c>
      <c r="H1738" s="562"/>
      <c r="I1738" s="562"/>
      <c r="J1738" s="562"/>
    </row>
    <row r="1739" spans="1:10" hidden="1" x14ac:dyDescent="0.25">
      <c r="A1739" s="362"/>
      <c r="B1739" s="611">
        <v>44152</v>
      </c>
      <c r="C1739" s="362" t="s">
        <v>146</v>
      </c>
      <c r="D1739" s="562">
        <v>145782248</v>
      </c>
      <c r="E1739" s="562">
        <v>94071939</v>
      </c>
      <c r="F1739" s="562">
        <v>239854200</v>
      </c>
      <c r="G1739" s="562">
        <f t="shared" si="32"/>
        <v>-13</v>
      </c>
      <c r="H1739" s="562"/>
      <c r="I1739" s="562"/>
      <c r="J1739" s="562"/>
    </row>
    <row r="1740" spans="1:10" hidden="1" x14ac:dyDescent="0.25">
      <c r="A1740" s="362"/>
      <c r="B1740" s="611">
        <v>44152</v>
      </c>
      <c r="C1740" s="362" t="s">
        <v>86</v>
      </c>
      <c r="D1740" s="562">
        <v>50860086</v>
      </c>
      <c r="E1740" s="562">
        <v>180414370</v>
      </c>
      <c r="F1740" s="562">
        <v>231274500</v>
      </c>
      <c r="G1740" s="562">
        <f t="shared" si="32"/>
        <v>-44</v>
      </c>
      <c r="H1740" s="562"/>
      <c r="I1740" s="562"/>
      <c r="J1740" s="562"/>
    </row>
    <row r="1741" spans="1:10" hidden="1" x14ac:dyDescent="0.25">
      <c r="A1741" s="362"/>
      <c r="B1741" s="611">
        <v>44152</v>
      </c>
      <c r="C1741" s="362" t="s">
        <v>89</v>
      </c>
      <c r="D1741" s="562">
        <v>108327707</v>
      </c>
      <c r="E1741" s="562">
        <v>7872893</v>
      </c>
      <c r="F1741" s="562">
        <v>116200600</v>
      </c>
      <c r="G1741" s="562">
        <f t="shared" si="32"/>
        <v>0</v>
      </c>
      <c r="H1741" s="562"/>
      <c r="I1741" s="562"/>
      <c r="J1741" s="562"/>
    </row>
    <row r="1742" spans="1:10" hidden="1" x14ac:dyDescent="0.25">
      <c r="A1742" s="362"/>
      <c r="B1742" s="611">
        <v>44152</v>
      </c>
      <c r="C1742" s="362" t="s">
        <v>4751</v>
      </c>
      <c r="D1742" s="562">
        <v>195249777</v>
      </c>
      <c r="E1742" s="562">
        <v>30031423</v>
      </c>
      <c r="F1742" s="562">
        <v>225281200</v>
      </c>
      <c r="G1742" s="562">
        <f t="shared" si="32"/>
        <v>0</v>
      </c>
      <c r="H1742" s="562"/>
      <c r="I1742" s="562"/>
      <c r="J1742" s="562"/>
    </row>
    <row r="1743" spans="1:10" hidden="1" x14ac:dyDescent="0.25">
      <c r="A1743" s="362"/>
      <c r="B1743" s="611">
        <v>44152</v>
      </c>
      <c r="C1743" s="362" t="s">
        <v>84</v>
      </c>
      <c r="D1743" s="562">
        <v>165186541</v>
      </c>
      <c r="E1743" s="562">
        <v>12138285</v>
      </c>
      <c r="F1743" s="562">
        <v>177324900</v>
      </c>
      <c r="G1743" s="562">
        <f t="shared" si="32"/>
        <v>-74</v>
      </c>
      <c r="H1743" s="562"/>
      <c r="I1743" s="562"/>
      <c r="J1743" s="562"/>
    </row>
    <row r="1744" spans="1:10" hidden="1" x14ac:dyDescent="0.25">
      <c r="A1744" s="362"/>
      <c r="B1744" s="611">
        <v>44152</v>
      </c>
      <c r="C1744" s="362" t="s">
        <v>81</v>
      </c>
      <c r="D1744" s="562">
        <v>79325717</v>
      </c>
      <c r="E1744" s="562">
        <v>7415222</v>
      </c>
      <c r="F1744" s="562">
        <v>86741000</v>
      </c>
      <c r="G1744" s="562">
        <f t="shared" si="32"/>
        <v>-61</v>
      </c>
      <c r="H1744" s="562"/>
      <c r="I1744" s="562"/>
      <c r="J1744" s="562"/>
    </row>
    <row r="1745" spans="1:10" hidden="1" x14ac:dyDescent="0.25">
      <c r="A1745" s="362"/>
      <c r="B1745" s="611">
        <v>44152</v>
      </c>
      <c r="C1745" s="362" t="s">
        <v>79</v>
      </c>
      <c r="D1745" s="562">
        <v>68344679</v>
      </c>
      <c r="E1745" s="562">
        <v>1088249</v>
      </c>
      <c r="F1745" s="562">
        <v>69433000</v>
      </c>
      <c r="G1745" s="562">
        <f t="shared" si="32"/>
        <v>-72</v>
      </c>
      <c r="H1745" s="562"/>
      <c r="I1745" s="562"/>
      <c r="J1745" s="562"/>
    </row>
    <row r="1746" spans="1:10" hidden="1" x14ac:dyDescent="0.25">
      <c r="A1746" s="362"/>
      <c r="B1746" s="611">
        <v>44152</v>
      </c>
      <c r="C1746" s="362" t="s">
        <v>82</v>
      </c>
      <c r="D1746" s="562">
        <v>50311931</v>
      </c>
      <c r="E1746" s="562">
        <v>1710300</v>
      </c>
      <c r="F1746" s="562">
        <v>52022300</v>
      </c>
      <c r="G1746" s="562">
        <f t="shared" si="32"/>
        <v>-69</v>
      </c>
      <c r="H1746" s="562"/>
      <c r="I1746" s="562"/>
      <c r="J1746" s="562"/>
    </row>
    <row r="1747" spans="1:10" hidden="1" x14ac:dyDescent="0.25">
      <c r="A1747" s="362"/>
      <c r="B1747" s="611">
        <v>44152</v>
      </c>
      <c r="C1747" s="362" t="s">
        <v>78</v>
      </c>
      <c r="D1747" s="562">
        <v>73280943</v>
      </c>
      <c r="E1747" s="562">
        <v>22776757</v>
      </c>
      <c r="F1747" s="562">
        <v>96057700</v>
      </c>
      <c r="G1747" s="562">
        <f t="shared" si="32"/>
        <v>0</v>
      </c>
      <c r="H1747" s="562"/>
      <c r="I1747" s="562"/>
      <c r="J1747" s="562"/>
    </row>
    <row r="1748" spans="1:10" hidden="1" x14ac:dyDescent="0.25">
      <c r="A1748" s="362"/>
      <c r="B1748" s="611">
        <v>44152</v>
      </c>
      <c r="C1748" s="362" t="s">
        <v>85</v>
      </c>
      <c r="D1748" s="562">
        <v>38249100</v>
      </c>
      <c r="E1748" s="562"/>
      <c r="F1748" s="562">
        <v>38249100</v>
      </c>
      <c r="G1748" s="562">
        <f t="shared" si="32"/>
        <v>0</v>
      </c>
      <c r="H1748" s="562"/>
      <c r="I1748" s="562"/>
      <c r="J1748" s="562"/>
    </row>
    <row r="1749" spans="1:10" hidden="1" x14ac:dyDescent="0.25">
      <c r="A1749" s="362"/>
      <c r="B1749" s="362"/>
      <c r="C1749" s="362" t="s">
        <v>166</v>
      </c>
      <c r="D1749" s="562">
        <v>61279118</v>
      </c>
      <c r="E1749" s="562"/>
      <c r="F1749" s="562">
        <v>61279200</v>
      </c>
      <c r="G1749" s="562">
        <f t="shared" si="32"/>
        <v>-82</v>
      </c>
      <c r="H1749" s="562"/>
      <c r="I1749" s="562"/>
      <c r="J1749" s="562"/>
    </row>
    <row r="1750" spans="1:10" hidden="1" x14ac:dyDescent="0.25">
      <c r="A1750" s="362"/>
      <c r="B1750" s="362"/>
      <c r="C1750" s="362" t="s">
        <v>3435</v>
      </c>
      <c r="D1750" s="562">
        <v>26728938</v>
      </c>
      <c r="E1750" s="562"/>
      <c r="F1750" s="562">
        <v>26729000</v>
      </c>
      <c r="G1750" s="562">
        <f t="shared" si="32"/>
        <v>-62</v>
      </c>
      <c r="H1750" s="562"/>
      <c r="I1750" s="562"/>
      <c r="J1750" s="562"/>
    </row>
    <row r="1751" spans="1:10" hidden="1" x14ac:dyDescent="0.25">
      <c r="A1751" s="532"/>
      <c r="B1751" s="532"/>
      <c r="C1751" s="532"/>
      <c r="D1751" s="564"/>
      <c r="E1751" s="564"/>
      <c r="F1751" s="564"/>
      <c r="G1751" s="562">
        <f t="shared" si="32"/>
        <v>0</v>
      </c>
      <c r="H1751" s="564"/>
      <c r="I1751" s="564"/>
      <c r="J1751" s="564"/>
    </row>
    <row r="1752" spans="1:10" hidden="1" x14ac:dyDescent="0.25">
      <c r="A1752" s="362"/>
      <c r="B1752" s="611">
        <v>44153</v>
      </c>
      <c r="C1752" s="362" t="s">
        <v>80</v>
      </c>
      <c r="D1752" s="562">
        <v>180301200</v>
      </c>
      <c r="E1752" s="562"/>
      <c r="F1752" s="562">
        <v>180301200</v>
      </c>
      <c r="G1752" s="562">
        <f t="shared" si="32"/>
        <v>0</v>
      </c>
      <c r="H1752" s="562"/>
      <c r="I1752" s="562"/>
      <c r="J1752" s="562"/>
    </row>
    <row r="1753" spans="1:10" hidden="1" x14ac:dyDescent="0.25">
      <c r="A1753" s="362"/>
      <c r="B1753" s="611">
        <v>44153</v>
      </c>
      <c r="C1753" s="362" t="s">
        <v>83</v>
      </c>
      <c r="D1753" s="562">
        <v>318313666</v>
      </c>
      <c r="E1753" s="562">
        <v>13379821</v>
      </c>
      <c r="F1753" s="562">
        <v>331693500</v>
      </c>
      <c r="G1753" s="562">
        <f t="shared" si="32"/>
        <v>-13</v>
      </c>
      <c r="H1753" s="562"/>
      <c r="I1753" s="562"/>
      <c r="J1753" s="562"/>
    </row>
    <row r="1754" spans="1:10" hidden="1" x14ac:dyDescent="0.25">
      <c r="A1754" s="362"/>
      <c r="B1754" s="611">
        <v>44153</v>
      </c>
      <c r="C1754" s="362" t="s">
        <v>88</v>
      </c>
      <c r="D1754" s="562">
        <v>195807747</v>
      </c>
      <c r="E1754" s="562">
        <v>27382994</v>
      </c>
      <c r="F1754" s="562">
        <v>223190800</v>
      </c>
      <c r="G1754" s="562">
        <f t="shared" si="32"/>
        <v>-59</v>
      </c>
      <c r="H1754" s="562"/>
      <c r="I1754" s="562"/>
      <c r="J1754" s="562"/>
    </row>
    <row r="1755" spans="1:10" hidden="1" x14ac:dyDescent="0.25">
      <c r="A1755" s="362"/>
      <c r="B1755" s="611">
        <v>44153</v>
      </c>
      <c r="C1755" s="362" t="s">
        <v>146</v>
      </c>
      <c r="D1755" s="562">
        <v>93166937</v>
      </c>
      <c r="E1755" s="562">
        <v>71432452</v>
      </c>
      <c r="F1755" s="562">
        <v>164599500</v>
      </c>
      <c r="G1755" s="562">
        <f t="shared" si="32"/>
        <v>-111</v>
      </c>
      <c r="H1755" s="562"/>
      <c r="I1755" s="562"/>
      <c r="J1755" s="562"/>
    </row>
    <row r="1756" spans="1:10" hidden="1" x14ac:dyDescent="0.25">
      <c r="A1756" s="362"/>
      <c r="B1756" s="611">
        <v>44153</v>
      </c>
      <c r="C1756" s="362" t="s">
        <v>86</v>
      </c>
      <c r="D1756" s="562">
        <v>47248488</v>
      </c>
      <c r="E1756" s="562">
        <v>130850740</v>
      </c>
      <c r="F1756" s="562">
        <v>178099200</v>
      </c>
      <c r="G1756" s="562">
        <f t="shared" si="32"/>
        <v>28</v>
      </c>
      <c r="H1756" s="562"/>
      <c r="I1756" s="562"/>
      <c r="J1756" s="562"/>
    </row>
    <row r="1757" spans="1:10" hidden="1" x14ac:dyDescent="0.25">
      <c r="A1757" s="362"/>
      <c r="B1757" s="611">
        <v>44153</v>
      </c>
      <c r="C1757" s="362" t="s">
        <v>89</v>
      </c>
      <c r="D1757" s="562">
        <v>104964717</v>
      </c>
      <c r="E1757" s="562">
        <v>20408583</v>
      </c>
      <c r="F1757" s="562">
        <v>125373300</v>
      </c>
      <c r="G1757" s="562">
        <f t="shared" si="32"/>
        <v>0</v>
      </c>
      <c r="H1757" s="562"/>
      <c r="I1757" s="562"/>
      <c r="J1757" s="562"/>
    </row>
    <row r="1758" spans="1:10" hidden="1" x14ac:dyDescent="0.25">
      <c r="A1758" s="362"/>
      <c r="B1758" s="611">
        <v>44153</v>
      </c>
      <c r="C1758" s="362" t="s">
        <v>4751</v>
      </c>
      <c r="D1758" s="562">
        <v>181291407</v>
      </c>
      <c r="E1758" s="562">
        <v>5284893</v>
      </c>
      <c r="F1758" s="562">
        <v>186576300</v>
      </c>
      <c r="G1758" s="562">
        <f t="shared" si="32"/>
        <v>0</v>
      </c>
      <c r="H1758" s="562"/>
      <c r="I1758" s="562"/>
      <c r="J1758" s="562"/>
    </row>
    <row r="1759" spans="1:10" hidden="1" x14ac:dyDescent="0.25">
      <c r="A1759" s="362"/>
      <c r="B1759" s="611">
        <v>44153</v>
      </c>
      <c r="C1759" s="362" t="s">
        <v>84</v>
      </c>
      <c r="D1759" s="562">
        <v>242589478</v>
      </c>
      <c r="E1759" s="562">
        <v>20145879</v>
      </c>
      <c r="F1759" s="562">
        <v>262735300</v>
      </c>
      <c r="G1759" s="562">
        <f t="shared" si="32"/>
        <v>57</v>
      </c>
      <c r="H1759" s="562"/>
      <c r="I1759" s="562"/>
      <c r="J1759" s="562"/>
    </row>
    <row r="1760" spans="1:10" hidden="1" x14ac:dyDescent="0.25">
      <c r="A1760" s="362"/>
      <c r="B1760" s="611">
        <v>44153</v>
      </c>
      <c r="C1760" s="362" t="s">
        <v>81</v>
      </c>
      <c r="D1760" s="562">
        <v>108371745</v>
      </c>
      <c r="E1760" s="562">
        <v>11227402</v>
      </c>
      <c r="F1760" s="562">
        <v>119599200</v>
      </c>
      <c r="G1760" s="562">
        <f t="shared" si="32"/>
        <v>-53</v>
      </c>
      <c r="H1760" s="562"/>
      <c r="I1760" s="562"/>
      <c r="J1760" s="562"/>
    </row>
    <row r="1761" spans="1:10" hidden="1" x14ac:dyDescent="0.25">
      <c r="A1761" s="362"/>
      <c r="B1761" s="611">
        <v>44153</v>
      </c>
      <c r="C1761" s="362" t="s">
        <v>79</v>
      </c>
      <c r="D1761" s="562">
        <v>53735843</v>
      </c>
      <c r="E1761" s="562">
        <v>3842088</v>
      </c>
      <c r="F1761" s="562">
        <v>57578000</v>
      </c>
      <c r="G1761" s="562">
        <f t="shared" si="32"/>
        <v>-69</v>
      </c>
      <c r="H1761" s="562"/>
      <c r="I1761" s="562"/>
      <c r="J1761" s="562"/>
    </row>
    <row r="1762" spans="1:10" hidden="1" x14ac:dyDescent="0.25">
      <c r="A1762" s="362"/>
      <c r="B1762" s="611">
        <v>44153</v>
      </c>
      <c r="C1762" s="362" t="s">
        <v>82</v>
      </c>
      <c r="D1762" s="562">
        <v>82458650</v>
      </c>
      <c r="E1762" s="562">
        <v>1409100</v>
      </c>
      <c r="F1762" s="562">
        <v>83867800</v>
      </c>
      <c r="G1762" s="562">
        <f t="shared" si="32"/>
        <v>-50</v>
      </c>
      <c r="H1762" s="562"/>
      <c r="I1762" s="562"/>
      <c r="J1762" s="562"/>
    </row>
    <row r="1763" spans="1:10" hidden="1" x14ac:dyDescent="0.25">
      <c r="A1763" s="362"/>
      <c r="B1763" s="611">
        <v>44153</v>
      </c>
      <c r="C1763" s="362" t="s">
        <v>78</v>
      </c>
      <c r="D1763" s="562">
        <v>85126523</v>
      </c>
      <c r="E1763" s="562">
        <v>1012877</v>
      </c>
      <c r="F1763" s="562">
        <v>86139400</v>
      </c>
      <c r="G1763" s="562">
        <f t="shared" si="32"/>
        <v>0</v>
      </c>
      <c r="H1763" s="562"/>
      <c r="I1763" s="562"/>
      <c r="J1763" s="562"/>
    </row>
    <row r="1764" spans="1:10" hidden="1" x14ac:dyDescent="0.25">
      <c r="A1764" s="362"/>
      <c r="B1764" s="611">
        <v>44153</v>
      </c>
      <c r="C1764" s="362" t="s">
        <v>85</v>
      </c>
      <c r="D1764" s="562">
        <v>38249101</v>
      </c>
      <c r="E1764" s="562"/>
      <c r="F1764" s="562">
        <v>38305900</v>
      </c>
      <c r="G1764" s="562">
        <f t="shared" si="32"/>
        <v>-56799</v>
      </c>
      <c r="H1764" s="562"/>
      <c r="I1764" s="562"/>
      <c r="J1764" s="562"/>
    </row>
    <row r="1765" spans="1:10" hidden="1" x14ac:dyDescent="0.25">
      <c r="A1765" s="362"/>
      <c r="B1765" s="611">
        <v>44153</v>
      </c>
      <c r="C1765" s="362" t="s">
        <v>166</v>
      </c>
      <c r="D1765" s="562">
        <v>49440019</v>
      </c>
      <c r="E1765" s="562"/>
      <c r="F1765" s="562">
        <v>49440100</v>
      </c>
      <c r="G1765" s="562">
        <f t="shared" si="32"/>
        <v>-81</v>
      </c>
      <c r="H1765" s="562"/>
      <c r="I1765" s="562"/>
      <c r="J1765" s="562"/>
    </row>
    <row r="1766" spans="1:10" hidden="1" x14ac:dyDescent="0.25">
      <c r="A1766" s="362"/>
      <c r="B1766" s="611">
        <v>44153</v>
      </c>
      <c r="C1766" s="362" t="s">
        <v>3435</v>
      </c>
      <c r="D1766" s="562">
        <v>58304355</v>
      </c>
      <c r="E1766" s="562"/>
      <c r="F1766" s="562">
        <v>58304400</v>
      </c>
      <c r="G1766" s="562">
        <f t="shared" si="32"/>
        <v>-45</v>
      </c>
      <c r="H1766" s="562"/>
      <c r="I1766" s="562"/>
      <c r="J1766" s="562"/>
    </row>
    <row r="1767" spans="1:10" hidden="1" x14ac:dyDescent="0.25">
      <c r="A1767" s="532"/>
      <c r="B1767" s="532"/>
      <c r="C1767" s="532"/>
      <c r="D1767" s="564"/>
      <c r="E1767" s="564"/>
      <c r="F1767" s="564"/>
      <c r="G1767" s="564">
        <f t="shared" si="32"/>
        <v>0</v>
      </c>
      <c r="H1767" s="564"/>
      <c r="I1767" s="564"/>
      <c r="J1767" s="564"/>
    </row>
    <row r="1768" spans="1:10" hidden="1" x14ac:dyDescent="0.25">
      <c r="A1768" s="362"/>
      <c r="B1768" s="611">
        <v>44154</v>
      </c>
      <c r="C1768" s="362" t="s">
        <v>80</v>
      </c>
      <c r="D1768" s="562">
        <v>180591222</v>
      </c>
      <c r="E1768" s="562">
        <v>971875</v>
      </c>
      <c r="F1768" s="562">
        <v>181076800</v>
      </c>
      <c r="G1768" s="562">
        <f t="shared" si="32"/>
        <v>486297</v>
      </c>
      <c r="H1768" s="562"/>
      <c r="I1768" s="562"/>
      <c r="J1768" s="562"/>
    </row>
    <row r="1769" spans="1:10" hidden="1" x14ac:dyDescent="0.25">
      <c r="A1769" s="362"/>
      <c r="B1769" s="611">
        <v>44154</v>
      </c>
      <c r="C1769" s="362" t="s">
        <v>83</v>
      </c>
      <c r="D1769" s="562">
        <v>248113657</v>
      </c>
      <c r="E1769" s="562">
        <v>9580077</v>
      </c>
      <c r="F1769" s="562">
        <v>257693800</v>
      </c>
      <c r="G1769" s="562">
        <f t="shared" si="32"/>
        <v>-66</v>
      </c>
      <c r="H1769" s="562"/>
      <c r="I1769" s="562"/>
      <c r="J1769" s="562"/>
    </row>
    <row r="1770" spans="1:10" hidden="1" x14ac:dyDescent="0.25">
      <c r="A1770" s="362"/>
      <c r="B1770" s="611">
        <v>44154</v>
      </c>
      <c r="C1770" s="362" t="s">
        <v>88</v>
      </c>
      <c r="D1770" s="562">
        <v>241292249</v>
      </c>
      <c r="E1770" s="562">
        <v>9495178</v>
      </c>
      <c r="F1770" s="562">
        <v>250787500</v>
      </c>
      <c r="G1770" s="562">
        <f t="shared" si="32"/>
        <v>-73</v>
      </c>
      <c r="H1770" s="562"/>
      <c r="I1770" s="562"/>
      <c r="J1770" s="562"/>
    </row>
    <row r="1771" spans="1:10" hidden="1" x14ac:dyDescent="0.25">
      <c r="A1771" s="362"/>
      <c r="B1771" s="611">
        <v>44154</v>
      </c>
      <c r="C1771" s="362" t="s">
        <v>146</v>
      </c>
      <c r="D1771" s="562">
        <v>77049017</v>
      </c>
      <c r="E1771" s="562">
        <v>115682411</v>
      </c>
      <c r="F1771" s="562">
        <v>192731500</v>
      </c>
      <c r="G1771" s="562">
        <f t="shared" si="32"/>
        <v>-72</v>
      </c>
      <c r="H1771" s="562"/>
      <c r="I1771" s="562"/>
      <c r="J1771" s="562"/>
    </row>
    <row r="1772" spans="1:10" hidden="1" x14ac:dyDescent="0.25">
      <c r="A1772" s="362"/>
      <c r="B1772" s="611">
        <v>44154</v>
      </c>
      <c r="C1772" s="362" t="s">
        <v>86</v>
      </c>
      <c r="D1772" s="562">
        <v>55970545</v>
      </c>
      <c r="E1772" s="562">
        <v>76972068</v>
      </c>
      <c r="F1772" s="562">
        <v>132942600</v>
      </c>
      <c r="G1772" s="562">
        <f t="shared" si="32"/>
        <v>13</v>
      </c>
      <c r="H1772" s="562"/>
      <c r="I1772" s="562"/>
      <c r="J1772" s="562"/>
    </row>
    <row r="1773" spans="1:10" hidden="1" x14ac:dyDescent="0.25">
      <c r="A1773" s="362"/>
      <c r="B1773" s="611">
        <v>44154</v>
      </c>
      <c r="C1773" s="362" t="s">
        <v>89</v>
      </c>
      <c r="D1773" s="562">
        <v>193805168</v>
      </c>
      <c r="E1773" s="562">
        <v>22801532</v>
      </c>
      <c r="F1773" s="562">
        <v>216606700</v>
      </c>
      <c r="G1773" s="562">
        <f t="shared" si="32"/>
        <v>0</v>
      </c>
      <c r="H1773" s="562"/>
      <c r="I1773" s="562"/>
      <c r="J1773" s="562"/>
    </row>
    <row r="1774" spans="1:10" hidden="1" x14ac:dyDescent="0.25">
      <c r="A1774" s="362"/>
      <c r="B1774" s="611">
        <v>44154</v>
      </c>
      <c r="C1774" s="362" t="s">
        <v>4751</v>
      </c>
      <c r="D1774" s="562">
        <v>319557500</v>
      </c>
      <c r="E1774" s="562">
        <v>7210600</v>
      </c>
      <c r="F1774" s="562">
        <v>326768100</v>
      </c>
      <c r="G1774" s="562">
        <f t="shared" si="32"/>
        <v>0</v>
      </c>
      <c r="H1774" s="562"/>
      <c r="I1774" s="562"/>
      <c r="J1774" s="562"/>
    </row>
    <row r="1775" spans="1:10" hidden="1" x14ac:dyDescent="0.25">
      <c r="A1775" s="362"/>
      <c r="B1775" s="611">
        <v>44154</v>
      </c>
      <c r="C1775" s="362" t="s">
        <v>84</v>
      </c>
      <c r="D1775" s="562">
        <v>264624628</v>
      </c>
      <c r="E1775" s="562">
        <v>7968092</v>
      </c>
      <c r="F1775" s="562">
        <v>272592800</v>
      </c>
      <c r="G1775" s="562">
        <f t="shared" si="32"/>
        <v>-80</v>
      </c>
      <c r="H1775" s="562"/>
      <c r="I1775" s="562"/>
      <c r="J1775" s="562"/>
    </row>
    <row r="1776" spans="1:10" hidden="1" x14ac:dyDescent="0.25">
      <c r="A1776" s="362"/>
      <c r="B1776" s="611">
        <v>44154</v>
      </c>
      <c r="C1776" s="362" t="s">
        <v>81</v>
      </c>
      <c r="D1776" s="562">
        <v>91420208</v>
      </c>
      <c r="E1776" s="562">
        <v>24989854</v>
      </c>
      <c r="F1776" s="562">
        <v>116410100</v>
      </c>
      <c r="G1776" s="562">
        <f t="shared" si="32"/>
        <v>-38</v>
      </c>
      <c r="H1776" s="562"/>
      <c r="I1776" s="562"/>
      <c r="J1776" s="562"/>
    </row>
    <row r="1777" spans="1:10" hidden="1" x14ac:dyDescent="0.25">
      <c r="A1777" s="362"/>
      <c r="B1777" s="611">
        <v>44154</v>
      </c>
      <c r="C1777" s="362" t="s">
        <v>79</v>
      </c>
      <c r="D1777" s="562">
        <v>74944190</v>
      </c>
      <c r="E1777" s="562">
        <v>118320</v>
      </c>
      <c r="F1777" s="562">
        <v>75827600</v>
      </c>
      <c r="G1777" s="562">
        <f t="shared" si="32"/>
        <v>-765090</v>
      </c>
      <c r="H1777" s="562"/>
      <c r="I1777" s="562"/>
      <c r="J1777" s="562"/>
    </row>
    <row r="1778" spans="1:10" hidden="1" x14ac:dyDescent="0.25">
      <c r="A1778" s="362"/>
      <c r="B1778" s="611">
        <v>44154</v>
      </c>
      <c r="C1778" s="362" t="s">
        <v>82</v>
      </c>
      <c r="D1778" s="562">
        <v>110994417</v>
      </c>
      <c r="E1778" s="562">
        <v>1675975</v>
      </c>
      <c r="F1778" s="562">
        <v>112670400</v>
      </c>
      <c r="G1778" s="562">
        <f t="shared" si="32"/>
        <v>-8</v>
      </c>
      <c r="H1778" s="562"/>
      <c r="I1778" s="562"/>
      <c r="J1778" s="562"/>
    </row>
    <row r="1779" spans="1:10" hidden="1" x14ac:dyDescent="0.25">
      <c r="A1779" s="362"/>
      <c r="B1779" s="611">
        <v>44154</v>
      </c>
      <c r="C1779" s="362" t="s">
        <v>78</v>
      </c>
      <c r="D1779" s="562">
        <v>66488771</v>
      </c>
      <c r="E1779" s="562">
        <v>2009029</v>
      </c>
      <c r="F1779" s="562">
        <v>68497800</v>
      </c>
      <c r="G1779" s="562">
        <f t="shared" si="32"/>
        <v>0</v>
      </c>
      <c r="H1779" s="562"/>
      <c r="I1779" s="562"/>
      <c r="J1779" s="562"/>
    </row>
    <row r="1780" spans="1:10" hidden="1" x14ac:dyDescent="0.25">
      <c r="A1780" s="362"/>
      <c r="B1780" s="611">
        <v>44154</v>
      </c>
      <c r="C1780" s="362" t="s">
        <v>85</v>
      </c>
      <c r="D1780" s="562">
        <v>20320500</v>
      </c>
      <c r="E1780" s="562"/>
      <c r="F1780" s="562">
        <v>20320500</v>
      </c>
      <c r="G1780" s="562">
        <f t="shared" si="32"/>
        <v>0</v>
      </c>
      <c r="H1780" s="562"/>
      <c r="I1780" s="562"/>
      <c r="J1780" s="562"/>
    </row>
    <row r="1781" spans="1:10" hidden="1" x14ac:dyDescent="0.25">
      <c r="A1781" s="362"/>
      <c r="B1781" s="611">
        <v>44154</v>
      </c>
      <c r="C1781" s="362" t="s">
        <v>166</v>
      </c>
      <c r="D1781" s="562">
        <v>56248776</v>
      </c>
      <c r="E1781" s="562"/>
      <c r="F1781" s="562">
        <v>56249000</v>
      </c>
      <c r="G1781" s="562">
        <f t="shared" si="32"/>
        <v>-224</v>
      </c>
      <c r="H1781" s="562"/>
      <c r="I1781" s="562"/>
      <c r="J1781" s="562"/>
    </row>
    <row r="1782" spans="1:10" hidden="1" x14ac:dyDescent="0.25">
      <c r="A1782" s="362"/>
      <c r="B1782" s="611">
        <v>44154</v>
      </c>
      <c r="C1782" s="362" t="s">
        <v>3435</v>
      </c>
      <c r="D1782" s="562">
        <v>36168971</v>
      </c>
      <c r="E1782" s="562"/>
      <c r="F1782" s="562">
        <v>36169000</v>
      </c>
      <c r="G1782" s="562">
        <f t="shared" si="32"/>
        <v>-29</v>
      </c>
      <c r="H1782" s="562"/>
      <c r="I1782" s="562"/>
      <c r="J1782" s="562"/>
    </row>
    <row r="1783" spans="1:10" hidden="1" x14ac:dyDescent="0.25">
      <c r="A1783" s="532"/>
      <c r="B1783" s="532"/>
      <c r="C1783" s="532"/>
      <c r="D1783" s="564"/>
      <c r="E1783" s="564"/>
      <c r="F1783" s="564"/>
      <c r="G1783" s="564">
        <f t="shared" si="32"/>
        <v>0</v>
      </c>
      <c r="H1783" s="564"/>
      <c r="I1783" s="564"/>
      <c r="J1783" s="564"/>
    </row>
    <row r="1784" spans="1:10" hidden="1" x14ac:dyDescent="0.25">
      <c r="A1784" s="362"/>
      <c r="B1784" s="611">
        <v>44155</v>
      </c>
      <c r="C1784" s="362" t="s">
        <v>80</v>
      </c>
      <c r="D1784" s="562">
        <v>132812106</v>
      </c>
      <c r="E1784" s="562">
        <v>69632180</v>
      </c>
      <c r="F1784" s="562">
        <v>202345600</v>
      </c>
      <c r="G1784" s="562">
        <f t="shared" si="32"/>
        <v>98686</v>
      </c>
      <c r="H1784" s="562"/>
      <c r="I1784" s="562"/>
      <c r="J1784" s="562"/>
    </row>
    <row r="1785" spans="1:10" hidden="1" x14ac:dyDescent="0.25">
      <c r="A1785" s="362"/>
      <c r="B1785" s="611">
        <v>44155</v>
      </c>
      <c r="C1785" s="362" t="s">
        <v>83</v>
      </c>
      <c r="D1785" s="562">
        <v>397352256</v>
      </c>
      <c r="E1785" s="562">
        <v>13548866</v>
      </c>
      <c r="F1785" s="562">
        <v>410901200</v>
      </c>
      <c r="G1785" s="562">
        <f t="shared" si="32"/>
        <v>-78</v>
      </c>
      <c r="H1785" s="562"/>
      <c r="I1785" s="562"/>
      <c r="J1785" s="562"/>
    </row>
    <row r="1786" spans="1:10" hidden="1" x14ac:dyDescent="0.25">
      <c r="A1786" s="362"/>
      <c r="B1786" s="611">
        <v>44155</v>
      </c>
      <c r="C1786" s="362" t="s">
        <v>88</v>
      </c>
      <c r="D1786" s="562">
        <v>110068288</v>
      </c>
      <c r="E1786" s="562">
        <v>33299284</v>
      </c>
      <c r="F1786" s="562">
        <v>143367600</v>
      </c>
      <c r="G1786" s="562">
        <f t="shared" si="32"/>
        <v>-28</v>
      </c>
      <c r="H1786" s="562"/>
      <c r="I1786" s="562"/>
      <c r="J1786" s="562"/>
    </row>
    <row r="1787" spans="1:10" hidden="1" x14ac:dyDescent="0.25">
      <c r="A1787" s="362"/>
      <c r="B1787" s="611">
        <v>44155</v>
      </c>
      <c r="C1787" s="362" t="s">
        <v>146</v>
      </c>
      <c r="D1787" s="562">
        <v>86944277</v>
      </c>
      <c r="E1787" s="562">
        <v>60214465</v>
      </c>
      <c r="F1787" s="562">
        <v>147156200</v>
      </c>
      <c r="G1787" s="562">
        <f t="shared" si="32"/>
        <v>2542</v>
      </c>
      <c r="H1787" s="562"/>
      <c r="I1787" s="562"/>
      <c r="J1787" s="562"/>
    </row>
    <row r="1788" spans="1:10" hidden="1" x14ac:dyDescent="0.25">
      <c r="A1788" s="362"/>
      <c r="B1788" s="611">
        <v>44155</v>
      </c>
      <c r="C1788" s="362" t="s">
        <v>86</v>
      </c>
      <c r="D1788" s="562">
        <v>96007143</v>
      </c>
      <c r="E1788" s="562">
        <v>15362100</v>
      </c>
      <c r="F1788" s="562">
        <v>111369200</v>
      </c>
      <c r="G1788" s="562">
        <f t="shared" si="32"/>
        <v>43</v>
      </c>
      <c r="H1788" s="562"/>
      <c r="I1788" s="562"/>
      <c r="J1788" s="562"/>
    </row>
    <row r="1789" spans="1:10" hidden="1" x14ac:dyDescent="0.25">
      <c r="A1789" s="362"/>
      <c r="B1789" s="611">
        <v>44155</v>
      </c>
      <c r="C1789" s="362" t="s">
        <v>89</v>
      </c>
      <c r="D1789" s="562">
        <v>141451044</v>
      </c>
      <c r="E1789" s="562">
        <v>14677056</v>
      </c>
      <c r="F1789" s="562">
        <v>156128100</v>
      </c>
      <c r="G1789" s="562">
        <f t="shared" si="32"/>
        <v>0</v>
      </c>
      <c r="H1789" s="562"/>
      <c r="I1789" s="562"/>
      <c r="J1789" s="562"/>
    </row>
    <row r="1790" spans="1:10" hidden="1" x14ac:dyDescent="0.25">
      <c r="A1790" s="362"/>
      <c r="B1790" s="611">
        <v>44155</v>
      </c>
      <c r="C1790" s="362" t="s">
        <v>4751</v>
      </c>
      <c r="D1790" s="562">
        <v>255525145</v>
      </c>
      <c r="E1790" s="562">
        <v>14265955</v>
      </c>
      <c r="F1790" s="562">
        <v>269791100</v>
      </c>
      <c r="G1790" s="562">
        <f t="shared" si="32"/>
        <v>0</v>
      </c>
      <c r="H1790" s="562"/>
      <c r="I1790" s="562"/>
      <c r="J1790" s="562"/>
    </row>
    <row r="1791" spans="1:10" hidden="1" x14ac:dyDescent="0.25">
      <c r="A1791" s="362"/>
      <c r="B1791" s="611">
        <v>44155</v>
      </c>
      <c r="C1791" s="362" t="s">
        <v>84</v>
      </c>
      <c r="D1791" s="562">
        <v>161242170</v>
      </c>
      <c r="E1791" s="562">
        <v>44327251</v>
      </c>
      <c r="F1791" s="562">
        <v>205569500</v>
      </c>
      <c r="G1791" s="562">
        <f t="shared" si="32"/>
        <v>-79</v>
      </c>
      <c r="H1791" s="562"/>
      <c r="I1791" s="562"/>
      <c r="J1791" s="562"/>
    </row>
    <row r="1792" spans="1:10" hidden="1" x14ac:dyDescent="0.25">
      <c r="A1792" s="362"/>
      <c r="B1792" s="611">
        <v>44155</v>
      </c>
      <c r="C1792" s="362" t="s">
        <v>81</v>
      </c>
      <c r="D1792" s="562">
        <v>52482673</v>
      </c>
      <c r="E1792" s="562">
        <v>7458509</v>
      </c>
      <c r="F1792" s="562">
        <v>59941200</v>
      </c>
      <c r="G1792" s="562">
        <f t="shared" si="32"/>
        <v>-18</v>
      </c>
      <c r="H1792" s="562"/>
      <c r="I1792" s="562"/>
      <c r="J1792" s="562"/>
    </row>
    <row r="1793" spans="1:10" hidden="1" x14ac:dyDescent="0.25">
      <c r="A1793" s="362"/>
      <c r="B1793" s="611">
        <v>44155</v>
      </c>
      <c r="C1793" s="362" t="s">
        <v>79</v>
      </c>
      <c r="D1793" s="562">
        <v>50687963</v>
      </c>
      <c r="E1793" s="562">
        <v>1635133</v>
      </c>
      <c r="F1793" s="562">
        <v>52323100</v>
      </c>
      <c r="G1793" s="562">
        <f t="shared" si="32"/>
        <v>-4</v>
      </c>
      <c r="H1793" s="562"/>
      <c r="I1793" s="562"/>
      <c r="J1793" s="562"/>
    </row>
    <row r="1794" spans="1:10" hidden="1" x14ac:dyDescent="0.25">
      <c r="A1794" s="362"/>
      <c r="B1794" s="611">
        <v>44155</v>
      </c>
      <c r="C1794" s="362" t="s">
        <v>82</v>
      </c>
      <c r="D1794" s="562">
        <v>152943455</v>
      </c>
      <c r="E1794" s="562">
        <v>2582960</v>
      </c>
      <c r="F1794" s="562">
        <v>155526500</v>
      </c>
      <c r="G1794" s="562">
        <f t="shared" si="32"/>
        <v>-85</v>
      </c>
      <c r="H1794" s="562"/>
      <c r="I1794" s="562"/>
      <c r="J1794" s="562"/>
    </row>
    <row r="1795" spans="1:10" hidden="1" x14ac:dyDescent="0.25">
      <c r="A1795" s="362"/>
      <c r="B1795" s="611">
        <v>44155</v>
      </c>
      <c r="C1795" s="362" t="s">
        <v>78</v>
      </c>
      <c r="D1795" s="562">
        <v>132141650</v>
      </c>
      <c r="E1795" s="562">
        <v>1388350</v>
      </c>
      <c r="F1795" s="562">
        <v>133530000</v>
      </c>
      <c r="G1795" s="562">
        <f t="shared" si="32"/>
        <v>0</v>
      </c>
      <c r="H1795" s="562"/>
      <c r="I1795" s="562"/>
      <c r="J1795" s="562"/>
    </row>
    <row r="1796" spans="1:10" hidden="1" x14ac:dyDescent="0.25">
      <c r="A1796" s="362"/>
      <c r="B1796" s="611">
        <v>44155</v>
      </c>
      <c r="C1796" s="362" t="s">
        <v>85</v>
      </c>
      <c r="D1796" s="562">
        <v>21164500</v>
      </c>
      <c r="E1796" s="562"/>
      <c r="F1796" s="562">
        <v>21164500</v>
      </c>
      <c r="G1796" s="562">
        <f t="shared" si="32"/>
        <v>0</v>
      </c>
      <c r="H1796" s="562"/>
      <c r="I1796" s="562"/>
      <c r="J1796" s="562"/>
    </row>
    <row r="1797" spans="1:10" hidden="1" x14ac:dyDescent="0.25">
      <c r="A1797" s="362"/>
      <c r="B1797" s="611">
        <v>44155</v>
      </c>
      <c r="C1797" s="362" t="s">
        <v>166</v>
      </c>
      <c r="D1797" s="562">
        <v>65080876</v>
      </c>
      <c r="E1797" s="562"/>
      <c r="F1797" s="562">
        <v>65080900</v>
      </c>
      <c r="G1797" s="562">
        <f t="shared" si="32"/>
        <v>-24</v>
      </c>
      <c r="H1797" s="562"/>
      <c r="I1797" s="562"/>
      <c r="J1797" s="562"/>
    </row>
    <row r="1798" spans="1:10" hidden="1" x14ac:dyDescent="0.25">
      <c r="A1798" s="362"/>
      <c r="B1798" s="611">
        <v>44155</v>
      </c>
      <c r="C1798" s="362" t="s">
        <v>3435</v>
      </c>
      <c r="D1798" s="562">
        <v>29219260</v>
      </c>
      <c r="E1798" s="562"/>
      <c r="F1798" s="562">
        <v>29219300</v>
      </c>
      <c r="G1798" s="562">
        <f t="shared" si="32"/>
        <v>-40</v>
      </c>
      <c r="H1798" s="562"/>
      <c r="I1798" s="562"/>
      <c r="J1798" s="562"/>
    </row>
    <row r="1799" spans="1:10" hidden="1" x14ac:dyDescent="0.25">
      <c r="A1799" s="532"/>
      <c r="B1799" s="532"/>
      <c r="C1799" s="532"/>
      <c r="D1799" s="564"/>
      <c r="E1799" s="564"/>
      <c r="F1799" s="564"/>
      <c r="G1799" s="564">
        <f t="shared" si="32"/>
        <v>0</v>
      </c>
      <c r="H1799" s="564"/>
      <c r="I1799" s="564"/>
      <c r="J1799" s="564"/>
    </row>
    <row r="1800" spans="1:10" hidden="1" x14ac:dyDescent="0.25">
      <c r="A1800" s="362"/>
      <c r="B1800" s="611">
        <v>44156</v>
      </c>
      <c r="C1800" s="362" t="s">
        <v>80</v>
      </c>
      <c r="D1800" s="562">
        <v>162163800</v>
      </c>
      <c r="E1800" s="562"/>
      <c r="F1800" s="562">
        <v>162163800</v>
      </c>
      <c r="G1800" s="562">
        <f t="shared" si="32"/>
        <v>0</v>
      </c>
      <c r="H1800" s="562"/>
      <c r="I1800" s="562"/>
      <c r="J1800" s="562"/>
    </row>
    <row r="1801" spans="1:10" hidden="1" x14ac:dyDescent="0.25">
      <c r="A1801" s="362"/>
      <c r="B1801" s="611">
        <v>44156</v>
      </c>
      <c r="C1801" s="362" t="s">
        <v>83</v>
      </c>
      <c r="D1801" s="562">
        <v>177288658</v>
      </c>
      <c r="E1801" s="562">
        <v>214273843</v>
      </c>
      <c r="F1801" s="562">
        <v>391562600</v>
      </c>
      <c r="G1801" s="562">
        <f t="shared" ref="G1801:G1811" si="33">D1801+E1801-F1801</f>
        <v>-99</v>
      </c>
      <c r="H1801" s="562"/>
      <c r="I1801" s="562"/>
      <c r="J1801" s="562"/>
    </row>
    <row r="1802" spans="1:10" hidden="1" x14ac:dyDescent="0.25">
      <c r="A1802" s="362"/>
      <c r="B1802" s="611">
        <v>44156</v>
      </c>
      <c r="C1802" s="362" t="s">
        <v>88</v>
      </c>
      <c r="D1802" s="562">
        <v>242849080</v>
      </c>
      <c r="E1802" s="562">
        <v>15898538</v>
      </c>
      <c r="F1802" s="562">
        <v>258747700</v>
      </c>
      <c r="G1802" s="562">
        <f t="shared" si="33"/>
        <v>-82</v>
      </c>
      <c r="H1802" s="562"/>
      <c r="I1802" s="562"/>
      <c r="J1802" s="562"/>
    </row>
    <row r="1803" spans="1:10" hidden="1" x14ac:dyDescent="0.25">
      <c r="A1803" s="362"/>
      <c r="B1803" s="611">
        <v>44156</v>
      </c>
      <c r="C1803" s="362" t="s">
        <v>146</v>
      </c>
      <c r="D1803" s="562">
        <v>69457628</v>
      </c>
      <c r="E1803" s="562">
        <v>39531919</v>
      </c>
      <c r="F1803" s="562">
        <v>108989600</v>
      </c>
      <c r="G1803" s="562">
        <f t="shared" si="33"/>
        <v>-53</v>
      </c>
      <c r="H1803" s="562"/>
      <c r="I1803" s="562"/>
      <c r="J1803" s="562"/>
    </row>
    <row r="1804" spans="1:10" hidden="1" x14ac:dyDescent="0.25">
      <c r="A1804" s="362"/>
      <c r="B1804" s="611">
        <v>44156</v>
      </c>
      <c r="C1804" s="362" t="s">
        <v>86</v>
      </c>
      <c r="D1804" s="562">
        <v>31841816</v>
      </c>
      <c r="E1804" s="562">
        <v>38002926</v>
      </c>
      <c r="F1804" s="562">
        <v>69844800</v>
      </c>
      <c r="G1804" s="562">
        <f t="shared" si="33"/>
        <v>-58</v>
      </c>
      <c r="H1804" s="562"/>
      <c r="I1804" s="562"/>
      <c r="J1804" s="562"/>
    </row>
    <row r="1805" spans="1:10" hidden="1" x14ac:dyDescent="0.25">
      <c r="A1805" s="362"/>
      <c r="B1805" s="611">
        <v>44156</v>
      </c>
      <c r="C1805" s="362" t="s">
        <v>89</v>
      </c>
      <c r="D1805" s="562">
        <v>81603057</v>
      </c>
      <c r="E1805" s="562">
        <v>46107743</v>
      </c>
      <c r="F1805" s="562">
        <v>127710800</v>
      </c>
      <c r="G1805" s="562">
        <f t="shared" si="33"/>
        <v>0</v>
      </c>
      <c r="H1805" s="562"/>
      <c r="I1805" s="562"/>
      <c r="J1805" s="562"/>
    </row>
    <row r="1806" spans="1:10" hidden="1" x14ac:dyDescent="0.25">
      <c r="A1806" s="362"/>
      <c r="B1806" s="611">
        <v>44156</v>
      </c>
      <c r="C1806" s="362" t="s">
        <v>4751</v>
      </c>
      <c r="D1806" s="562">
        <v>225398929</v>
      </c>
      <c r="E1806" s="562">
        <v>5282171</v>
      </c>
      <c r="F1806" s="562">
        <v>230681100</v>
      </c>
      <c r="G1806" s="562">
        <f t="shared" si="33"/>
        <v>0</v>
      </c>
      <c r="H1806" s="562"/>
      <c r="I1806" s="562"/>
      <c r="J1806" s="562"/>
    </row>
    <row r="1807" spans="1:10" hidden="1" x14ac:dyDescent="0.25">
      <c r="A1807" s="362"/>
      <c r="B1807" s="611">
        <v>44156</v>
      </c>
      <c r="C1807" s="362" t="s">
        <v>84</v>
      </c>
      <c r="D1807" s="562">
        <v>132808145</v>
      </c>
      <c r="E1807" s="562">
        <v>21190461</v>
      </c>
      <c r="F1807" s="562">
        <v>153998600</v>
      </c>
      <c r="G1807" s="562">
        <f t="shared" si="33"/>
        <v>6</v>
      </c>
      <c r="H1807" s="562"/>
      <c r="I1807" s="562"/>
      <c r="J1807" s="562"/>
    </row>
    <row r="1808" spans="1:10" hidden="1" x14ac:dyDescent="0.25">
      <c r="A1808" s="362"/>
      <c r="B1808" s="611">
        <v>44156</v>
      </c>
      <c r="C1808" s="362" t="s">
        <v>81</v>
      </c>
      <c r="D1808" s="562">
        <v>91817878</v>
      </c>
      <c r="E1808" s="562">
        <v>8888584</v>
      </c>
      <c r="F1808" s="562">
        <v>100706500</v>
      </c>
      <c r="G1808" s="562">
        <f t="shared" si="33"/>
        <v>-38</v>
      </c>
      <c r="H1808" s="562"/>
      <c r="I1808" s="562"/>
      <c r="J1808" s="562"/>
    </row>
    <row r="1809" spans="1:10" hidden="1" x14ac:dyDescent="0.25">
      <c r="A1809" s="362"/>
      <c r="B1809" s="611">
        <v>44156</v>
      </c>
      <c r="C1809" s="362" t="s">
        <v>79</v>
      </c>
      <c r="D1809" s="562">
        <v>28812165</v>
      </c>
      <c r="E1809" s="562">
        <v>2831183</v>
      </c>
      <c r="F1809" s="562">
        <v>31643400</v>
      </c>
      <c r="G1809" s="562">
        <f t="shared" si="33"/>
        <v>-52</v>
      </c>
      <c r="H1809" s="562"/>
      <c r="I1809" s="562"/>
      <c r="J1809" s="562"/>
    </row>
    <row r="1810" spans="1:10" hidden="1" x14ac:dyDescent="0.25">
      <c r="A1810" s="362"/>
      <c r="B1810" s="611">
        <v>44156</v>
      </c>
      <c r="C1810" s="362" t="s">
        <v>82</v>
      </c>
      <c r="D1810" s="562">
        <v>18368299</v>
      </c>
      <c r="E1810" s="562">
        <v>5539544</v>
      </c>
      <c r="F1810" s="562">
        <v>23907900</v>
      </c>
      <c r="G1810" s="562">
        <f t="shared" si="33"/>
        <v>-57</v>
      </c>
      <c r="H1810" s="562"/>
      <c r="I1810" s="562"/>
      <c r="J1810" s="562"/>
    </row>
    <row r="1811" spans="1:10" hidden="1" x14ac:dyDescent="0.25">
      <c r="A1811" s="362"/>
      <c r="B1811" s="611">
        <v>44156</v>
      </c>
      <c r="C1811" s="362" t="s">
        <v>78</v>
      </c>
      <c r="D1811" s="562">
        <v>150758953</v>
      </c>
      <c r="E1811" s="562">
        <v>3968847</v>
      </c>
      <c r="F1811" s="562">
        <v>154727800</v>
      </c>
      <c r="G1811" s="562">
        <f t="shared" si="33"/>
        <v>0</v>
      </c>
      <c r="H1811" s="562"/>
      <c r="I1811" s="562"/>
      <c r="J1811" s="562"/>
    </row>
    <row r="1812" spans="1:10" hidden="1" x14ac:dyDescent="0.25">
      <c r="A1812" s="362"/>
      <c r="B1812" s="611">
        <v>44156</v>
      </c>
      <c r="C1812" s="362" t="s">
        <v>85</v>
      </c>
      <c r="D1812" s="562">
        <v>18120800</v>
      </c>
      <c r="E1812" s="562"/>
      <c r="F1812" s="562">
        <v>18120800</v>
      </c>
      <c r="G1812" s="562"/>
      <c r="H1812" s="562"/>
      <c r="I1812" s="562"/>
      <c r="J1812" s="562"/>
    </row>
    <row r="1813" spans="1:10" hidden="1" x14ac:dyDescent="0.25">
      <c r="A1813" s="362"/>
      <c r="B1813" s="611">
        <v>44156</v>
      </c>
      <c r="C1813" s="362" t="s">
        <v>166</v>
      </c>
      <c r="D1813" s="562"/>
      <c r="E1813" s="562"/>
      <c r="F1813" s="562"/>
      <c r="G1813" s="562"/>
      <c r="H1813" s="562"/>
      <c r="I1813" s="562"/>
      <c r="J1813" s="562"/>
    </row>
    <row r="1814" spans="1:10" hidden="1" x14ac:dyDescent="0.25">
      <c r="A1814" s="362"/>
      <c r="B1814" s="611">
        <v>44156</v>
      </c>
      <c r="C1814" s="362" t="s">
        <v>3435</v>
      </c>
      <c r="D1814" s="562"/>
      <c r="E1814" s="562"/>
      <c r="F1814" s="562"/>
      <c r="G1814" s="562"/>
      <c r="H1814" s="562"/>
      <c r="I1814" s="562"/>
      <c r="J1814" s="562"/>
    </row>
    <row r="1815" spans="1:10" hidden="1" x14ac:dyDescent="0.25">
      <c r="A1815" s="532"/>
      <c r="B1815" s="532"/>
      <c r="C1815" s="532"/>
      <c r="D1815" s="564"/>
      <c r="E1815" s="564"/>
      <c r="F1815" s="564"/>
      <c r="G1815" s="564"/>
      <c r="H1815" s="564"/>
      <c r="I1815" s="564"/>
      <c r="J1815" s="564"/>
    </row>
    <row r="1816" spans="1:10" hidden="1" x14ac:dyDescent="0.25">
      <c r="A1816" s="362"/>
      <c r="B1816" s="611">
        <v>44158</v>
      </c>
      <c r="C1816" s="362" t="s">
        <v>80</v>
      </c>
      <c r="D1816" s="562">
        <v>155555520</v>
      </c>
      <c r="E1816" s="562">
        <v>89036051</v>
      </c>
      <c r="F1816" s="562"/>
      <c r="G1816" s="562"/>
      <c r="H1816" s="562"/>
      <c r="I1816" s="562"/>
      <c r="J1816" s="562"/>
    </row>
    <row r="1817" spans="1:10" hidden="1" x14ac:dyDescent="0.25">
      <c r="A1817" s="362"/>
      <c r="B1817" s="611">
        <v>44158</v>
      </c>
      <c r="C1817" s="362" t="s">
        <v>83</v>
      </c>
      <c r="D1817" s="562">
        <v>327134602</v>
      </c>
      <c r="E1817" s="562">
        <v>117024441</v>
      </c>
      <c r="F1817" s="562"/>
      <c r="G1817" s="562"/>
      <c r="H1817" s="562"/>
      <c r="I1817" s="562"/>
      <c r="J1817" s="562"/>
    </row>
    <row r="1818" spans="1:10" hidden="1" x14ac:dyDescent="0.25">
      <c r="A1818" s="362"/>
      <c r="B1818" s="611">
        <v>44158</v>
      </c>
      <c r="C1818" s="362" t="s">
        <v>88</v>
      </c>
      <c r="D1818" s="562">
        <v>225186054</v>
      </c>
      <c r="E1818" s="562">
        <v>14407612</v>
      </c>
      <c r="F1818" s="562"/>
      <c r="G1818" s="562"/>
      <c r="H1818" s="562"/>
      <c r="I1818" s="562"/>
      <c r="J1818" s="562"/>
    </row>
    <row r="1819" spans="1:10" hidden="1" x14ac:dyDescent="0.25">
      <c r="A1819" s="362"/>
      <c r="B1819" s="611">
        <v>44158</v>
      </c>
      <c r="C1819" s="362" t="s">
        <v>146</v>
      </c>
      <c r="D1819" s="562">
        <v>94343195</v>
      </c>
      <c r="E1819" s="562">
        <v>97309985</v>
      </c>
      <c r="F1819" s="562"/>
      <c r="G1819" s="562"/>
      <c r="H1819" s="562"/>
      <c r="I1819" s="562"/>
      <c r="J1819" s="562"/>
    </row>
    <row r="1820" spans="1:10" hidden="1" x14ac:dyDescent="0.25">
      <c r="A1820" s="362"/>
      <c r="B1820" s="611">
        <v>44158</v>
      </c>
      <c r="C1820" s="362" t="s">
        <v>86</v>
      </c>
      <c r="D1820" s="562">
        <v>41517325</v>
      </c>
      <c r="E1820" s="562">
        <v>22672811</v>
      </c>
      <c r="F1820" s="562"/>
      <c r="G1820" s="562"/>
      <c r="H1820" s="562"/>
      <c r="I1820" s="562"/>
      <c r="J1820" s="562"/>
    </row>
    <row r="1821" spans="1:10" hidden="1" x14ac:dyDescent="0.25">
      <c r="A1821" s="362"/>
      <c r="B1821" s="611">
        <v>44158</v>
      </c>
      <c r="C1821" s="362" t="s">
        <v>89</v>
      </c>
      <c r="D1821" s="562">
        <v>109755213</v>
      </c>
      <c r="E1821" s="562">
        <v>67090587</v>
      </c>
      <c r="F1821" s="562"/>
      <c r="G1821" s="562"/>
      <c r="H1821" s="562"/>
      <c r="I1821" s="562"/>
      <c r="J1821" s="562"/>
    </row>
    <row r="1822" spans="1:10" hidden="1" x14ac:dyDescent="0.25">
      <c r="A1822" s="362"/>
      <c r="B1822" s="611">
        <v>44158</v>
      </c>
      <c r="C1822" s="362" t="s">
        <v>4751</v>
      </c>
      <c r="D1822" s="562">
        <v>213835491</v>
      </c>
      <c r="E1822" s="562">
        <v>11253209</v>
      </c>
      <c r="F1822" s="562"/>
      <c r="G1822" s="562"/>
      <c r="H1822" s="562"/>
      <c r="I1822" s="562"/>
      <c r="J1822" s="562"/>
    </row>
    <row r="1823" spans="1:10" hidden="1" x14ac:dyDescent="0.25">
      <c r="A1823" s="362"/>
      <c r="B1823" s="611">
        <v>44158</v>
      </c>
      <c r="C1823" s="362" t="s">
        <v>84</v>
      </c>
      <c r="D1823" s="562">
        <v>221340712</v>
      </c>
      <c r="E1823" s="562">
        <v>7320240</v>
      </c>
      <c r="F1823" s="562"/>
      <c r="G1823" s="562"/>
      <c r="H1823" s="562"/>
      <c r="I1823" s="562"/>
      <c r="J1823" s="562"/>
    </row>
    <row r="1824" spans="1:10" hidden="1" x14ac:dyDescent="0.25">
      <c r="A1824" s="362"/>
      <c r="B1824" s="611">
        <v>44158</v>
      </c>
      <c r="C1824" s="362" t="s">
        <v>81</v>
      </c>
      <c r="D1824" s="562">
        <v>84107633</v>
      </c>
      <c r="E1824" s="562">
        <v>7895866</v>
      </c>
      <c r="F1824" s="562"/>
      <c r="G1824" s="562"/>
      <c r="H1824" s="562"/>
      <c r="I1824" s="562"/>
      <c r="J1824" s="562"/>
    </row>
    <row r="1825" spans="1:10" hidden="1" x14ac:dyDescent="0.25">
      <c r="A1825" s="362"/>
      <c r="B1825" s="611">
        <v>44158</v>
      </c>
      <c r="C1825" s="362" t="s">
        <v>79</v>
      </c>
      <c r="D1825" s="562">
        <v>82237180</v>
      </c>
      <c r="E1825" s="562">
        <v>1759678</v>
      </c>
      <c r="F1825" s="562"/>
      <c r="G1825" s="562"/>
      <c r="H1825" s="562"/>
      <c r="I1825" s="562"/>
      <c r="J1825" s="562"/>
    </row>
    <row r="1826" spans="1:10" hidden="1" x14ac:dyDescent="0.25">
      <c r="A1826" s="362"/>
      <c r="B1826" s="611">
        <v>44158</v>
      </c>
      <c r="C1826" s="362" t="s">
        <v>82</v>
      </c>
      <c r="D1826" s="562">
        <v>41321510</v>
      </c>
      <c r="E1826" s="562">
        <v>733300</v>
      </c>
      <c r="F1826" s="562"/>
      <c r="G1826" s="562"/>
      <c r="H1826" s="562"/>
      <c r="I1826" s="562"/>
      <c r="J1826" s="562"/>
    </row>
    <row r="1827" spans="1:10" hidden="1" x14ac:dyDescent="0.25">
      <c r="A1827" s="362"/>
      <c r="B1827" s="611">
        <v>44158</v>
      </c>
      <c r="C1827" s="362" t="s">
        <v>78</v>
      </c>
      <c r="D1827" s="562">
        <v>92268499</v>
      </c>
      <c r="E1827" s="562">
        <v>1906801</v>
      </c>
      <c r="F1827" s="562"/>
      <c r="G1827" s="562"/>
      <c r="H1827" s="562"/>
      <c r="I1827" s="562"/>
      <c r="J1827" s="562"/>
    </row>
    <row r="1828" spans="1:10" hidden="1" x14ac:dyDescent="0.25">
      <c r="A1828" s="362"/>
      <c r="B1828" s="611">
        <v>44158</v>
      </c>
      <c r="C1828" s="362" t="s">
        <v>85</v>
      </c>
      <c r="D1828" s="562">
        <v>48902700</v>
      </c>
      <c r="E1828" s="562"/>
      <c r="F1828" s="562"/>
      <c r="G1828" s="562"/>
      <c r="H1828" s="562"/>
      <c r="I1828" s="562"/>
      <c r="J1828" s="562"/>
    </row>
    <row r="1829" spans="1:10" hidden="1" x14ac:dyDescent="0.25">
      <c r="A1829" s="362"/>
      <c r="B1829" s="611">
        <v>44158</v>
      </c>
      <c r="C1829" s="362" t="s">
        <v>166</v>
      </c>
      <c r="D1829" s="562">
        <v>119470451</v>
      </c>
      <c r="E1829" s="562"/>
      <c r="F1829" s="562"/>
      <c r="G1829" s="562"/>
      <c r="H1829" s="562"/>
      <c r="I1829" s="562"/>
      <c r="J1829" s="562"/>
    </row>
    <row r="1830" spans="1:10" hidden="1" x14ac:dyDescent="0.25">
      <c r="A1830" s="362"/>
      <c r="B1830" s="611">
        <v>44158</v>
      </c>
      <c r="C1830" s="362" t="s">
        <v>3435</v>
      </c>
      <c r="D1830" s="562">
        <v>48858544</v>
      </c>
      <c r="E1830" s="562"/>
      <c r="F1830" s="562"/>
      <c r="G1830" s="562"/>
      <c r="H1830" s="562"/>
      <c r="I1830" s="562"/>
      <c r="J1830" s="562"/>
    </row>
    <row r="1831" spans="1:10" hidden="1" x14ac:dyDescent="0.25">
      <c r="A1831" s="532"/>
      <c r="B1831" s="532"/>
      <c r="C1831" s="532"/>
      <c r="D1831" s="564"/>
      <c r="E1831" s="564"/>
      <c r="F1831" s="564"/>
      <c r="G1831" s="564"/>
      <c r="H1831" s="564"/>
      <c r="I1831" s="564"/>
      <c r="J1831" s="564"/>
    </row>
    <row r="1832" spans="1:10" hidden="1" x14ac:dyDescent="0.25">
      <c r="A1832" s="362"/>
      <c r="B1832" s="611">
        <v>44159</v>
      </c>
      <c r="C1832" s="362" t="s">
        <v>80</v>
      </c>
      <c r="D1832" s="562">
        <v>299267423</v>
      </c>
      <c r="E1832" s="562"/>
      <c r="F1832" s="562"/>
      <c r="G1832" s="562"/>
      <c r="H1832" s="562"/>
      <c r="I1832" s="562"/>
      <c r="J1832" s="562"/>
    </row>
    <row r="1833" spans="1:10" hidden="1" x14ac:dyDescent="0.25">
      <c r="A1833" s="362"/>
      <c r="B1833" s="611">
        <v>44159</v>
      </c>
      <c r="C1833" s="362" t="s">
        <v>83</v>
      </c>
      <c r="D1833" s="562">
        <v>295721479</v>
      </c>
      <c r="E1833" s="562">
        <v>7106613</v>
      </c>
      <c r="F1833" s="562"/>
      <c r="G1833" s="562"/>
      <c r="H1833" s="562"/>
      <c r="I1833" s="562"/>
      <c r="J1833" s="562"/>
    </row>
    <row r="1834" spans="1:10" hidden="1" x14ac:dyDescent="0.25">
      <c r="A1834" s="362"/>
      <c r="B1834" s="611">
        <v>44159</v>
      </c>
      <c r="C1834" s="362" t="s">
        <v>88</v>
      </c>
      <c r="D1834" s="562">
        <v>230542050</v>
      </c>
      <c r="E1834" s="562">
        <v>7948363</v>
      </c>
      <c r="F1834" s="562"/>
      <c r="G1834" s="562"/>
      <c r="H1834" s="562"/>
      <c r="I1834" s="562"/>
      <c r="J1834" s="562"/>
    </row>
    <row r="1835" spans="1:10" hidden="1" x14ac:dyDescent="0.25">
      <c r="A1835" s="362"/>
      <c r="B1835" s="611">
        <v>44159</v>
      </c>
      <c r="C1835" s="362" t="s">
        <v>146</v>
      </c>
      <c r="D1835" s="562">
        <v>119564723</v>
      </c>
      <c r="E1835" s="562">
        <v>49021518</v>
      </c>
      <c r="F1835" s="562"/>
      <c r="G1835" s="562"/>
      <c r="H1835" s="562"/>
      <c r="I1835" s="562"/>
      <c r="J1835" s="562"/>
    </row>
    <row r="1836" spans="1:10" hidden="1" x14ac:dyDescent="0.25">
      <c r="A1836" s="362"/>
      <c r="B1836" s="611">
        <v>44159</v>
      </c>
      <c r="C1836" s="362" t="s">
        <v>86</v>
      </c>
      <c r="D1836" s="562">
        <v>32566831</v>
      </c>
      <c r="E1836" s="562">
        <v>155073494</v>
      </c>
      <c r="F1836" s="562"/>
      <c r="G1836" s="562"/>
      <c r="H1836" s="562"/>
      <c r="I1836" s="562"/>
      <c r="J1836" s="562"/>
    </row>
    <row r="1837" spans="1:10" hidden="1" x14ac:dyDescent="0.25">
      <c r="A1837" s="362"/>
      <c r="B1837" s="611">
        <v>44159</v>
      </c>
      <c r="C1837" s="362" t="s">
        <v>89</v>
      </c>
      <c r="D1837" s="562">
        <v>92657078</v>
      </c>
      <c r="E1837" s="562">
        <v>11606522</v>
      </c>
      <c r="F1837" s="562"/>
      <c r="G1837" s="562"/>
      <c r="H1837" s="562"/>
      <c r="I1837" s="562"/>
      <c r="J1837" s="562"/>
    </row>
    <row r="1838" spans="1:10" hidden="1" x14ac:dyDescent="0.25">
      <c r="A1838" s="362"/>
      <c r="B1838" s="611">
        <v>44159</v>
      </c>
      <c r="C1838" s="362" t="s">
        <v>4751</v>
      </c>
      <c r="D1838" s="562">
        <v>167722765</v>
      </c>
      <c r="E1838" s="562">
        <v>18724235</v>
      </c>
      <c r="F1838" s="562"/>
      <c r="G1838" s="562"/>
      <c r="H1838" s="562"/>
      <c r="I1838" s="562"/>
      <c r="J1838" s="562"/>
    </row>
    <row r="1839" spans="1:10" hidden="1" x14ac:dyDescent="0.25">
      <c r="A1839" s="362"/>
      <c r="B1839" s="611">
        <v>44159</v>
      </c>
      <c r="C1839" s="362" t="s">
        <v>84</v>
      </c>
      <c r="D1839" s="562">
        <v>174232621</v>
      </c>
      <c r="E1839" s="562">
        <v>25477609</v>
      </c>
      <c r="F1839" s="562"/>
      <c r="G1839" s="562"/>
      <c r="H1839" s="562"/>
      <c r="I1839" s="562"/>
      <c r="J1839" s="562"/>
    </row>
    <row r="1840" spans="1:10" hidden="1" x14ac:dyDescent="0.25">
      <c r="A1840" s="362"/>
      <c r="B1840" s="611">
        <v>44159</v>
      </c>
      <c r="C1840" s="362" t="s">
        <v>81</v>
      </c>
      <c r="D1840" s="562">
        <v>60043184</v>
      </c>
      <c r="E1840" s="562">
        <v>12194783</v>
      </c>
      <c r="F1840" s="562"/>
      <c r="G1840" s="562"/>
      <c r="H1840" s="562"/>
      <c r="I1840" s="562"/>
      <c r="J1840" s="562"/>
    </row>
    <row r="1841" spans="1:10" hidden="1" x14ac:dyDescent="0.25">
      <c r="A1841" s="362"/>
      <c r="B1841" s="611">
        <v>44159</v>
      </c>
      <c r="C1841" s="362" t="s">
        <v>79</v>
      </c>
      <c r="D1841" s="562">
        <v>55230265</v>
      </c>
      <c r="E1841" s="562">
        <v>517400</v>
      </c>
      <c r="F1841" s="562"/>
      <c r="G1841" s="562"/>
      <c r="H1841" s="562"/>
      <c r="I1841" s="562"/>
      <c r="J1841" s="562"/>
    </row>
    <row r="1842" spans="1:10" hidden="1" x14ac:dyDescent="0.25">
      <c r="A1842" s="362"/>
      <c r="B1842" s="611">
        <v>44159</v>
      </c>
      <c r="C1842" s="362" t="s">
        <v>82</v>
      </c>
      <c r="D1842" s="562">
        <v>51892383</v>
      </c>
      <c r="E1842" s="562">
        <v>2104500</v>
      </c>
      <c r="F1842" s="562"/>
      <c r="G1842" s="562"/>
      <c r="H1842" s="562"/>
      <c r="I1842" s="562"/>
      <c r="J1842" s="562"/>
    </row>
    <row r="1843" spans="1:10" hidden="1" x14ac:dyDescent="0.25">
      <c r="A1843" s="362"/>
      <c r="B1843" s="611">
        <v>44159</v>
      </c>
      <c r="C1843" s="362" t="s">
        <v>78</v>
      </c>
      <c r="D1843" s="562">
        <v>61181227</v>
      </c>
      <c r="E1843" s="562">
        <v>1272473</v>
      </c>
      <c r="F1843" s="562"/>
      <c r="G1843" s="562"/>
      <c r="H1843" s="562"/>
      <c r="I1843" s="562"/>
      <c r="J1843" s="562"/>
    </row>
    <row r="1844" spans="1:10" hidden="1" x14ac:dyDescent="0.25">
      <c r="A1844" s="362"/>
      <c r="B1844" s="611">
        <v>44159</v>
      </c>
      <c r="C1844" s="362" t="s">
        <v>85</v>
      </c>
      <c r="D1844" s="562">
        <v>47039700</v>
      </c>
      <c r="E1844" s="562"/>
      <c r="F1844" s="562"/>
      <c r="G1844" s="562"/>
      <c r="H1844" s="562"/>
      <c r="I1844" s="562"/>
      <c r="J1844" s="562"/>
    </row>
    <row r="1845" spans="1:10" hidden="1" x14ac:dyDescent="0.25">
      <c r="A1845" s="362"/>
      <c r="B1845" s="611">
        <v>44159</v>
      </c>
      <c r="C1845" s="362" t="s">
        <v>166</v>
      </c>
      <c r="D1845" s="562">
        <v>172323660</v>
      </c>
      <c r="E1845" s="562"/>
      <c r="F1845" s="562"/>
      <c r="G1845" s="562"/>
      <c r="H1845" s="562"/>
      <c r="I1845" s="562"/>
      <c r="J1845" s="562"/>
    </row>
    <row r="1846" spans="1:10" hidden="1" x14ac:dyDescent="0.25">
      <c r="A1846" s="362"/>
      <c r="B1846" s="611">
        <v>44159</v>
      </c>
      <c r="C1846" s="362" t="s">
        <v>3435</v>
      </c>
      <c r="D1846" s="562">
        <v>23513655</v>
      </c>
      <c r="E1846" s="562"/>
      <c r="F1846" s="562"/>
      <c r="G1846" s="562"/>
      <c r="H1846" s="562"/>
      <c r="I1846" s="562"/>
      <c r="J1846" s="562"/>
    </row>
    <row r="1847" spans="1:10" hidden="1" x14ac:dyDescent="0.25">
      <c r="A1847" s="532"/>
      <c r="B1847" s="532"/>
      <c r="C1847" s="532"/>
      <c r="D1847" s="564"/>
      <c r="E1847" s="564"/>
      <c r="F1847" s="564"/>
      <c r="G1847" s="564"/>
      <c r="H1847" s="564"/>
      <c r="I1847" s="564"/>
      <c r="J1847" s="564"/>
    </row>
    <row r="1848" spans="1:10" hidden="1" x14ac:dyDescent="0.25">
      <c r="A1848" s="362"/>
      <c r="B1848" s="611">
        <v>44160</v>
      </c>
      <c r="C1848" s="362" t="s">
        <v>80</v>
      </c>
      <c r="D1848" s="562"/>
      <c r="E1848" s="562"/>
      <c r="F1848" s="562"/>
      <c r="G1848" s="562"/>
      <c r="H1848" s="562"/>
      <c r="I1848" s="562"/>
      <c r="J1848" s="562"/>
    </row>
    <row r="1849" spans="1:10" hidden="1" x14ac:dyDescent="0.25">
      <c r="A1849" s="362"/>
      <c r="B1849" s="611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hidden="1" x14ac:dyDescent="0.25">
      <c r="A1850" s="362"/>
      <c r="B1850" s="611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hidden="1" x14ac:dyDescent="0.25">
      <c r="A1851" s="362"/>
      <c r="B1851" s="611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hidden="1" x14ac:dyDescent="0.25">
      <c r="A1852" s="362"/>
      <c r="B1852" s="611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hidden="1" x14ac:dyDescent="0.25">
      <c r="A1853" s="362"/>
      <c r="B1853" s="611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hidden="1" x14ac:dyDescent="0.25">
      <c r="A1854" s="362"/>
      <c r="B1854" s="611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hidden="1" x14ac:dyDescent="0.25">
      <c r="A1855" s="362"/>
      <c r="B1855" s="611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hidden="1" x14ac:dyDescent="0.25">
      <c r="A1856" s="362"/>
      <c r="B1856" s="611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hidden="1" x14ac:dyDescent="0.25">
      <c r="A1857" s="362"/>
      <c r="B1857" s="611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hidden="1" x14ac:dyDescent="0.25">
      <c r="A1858" s="362"/>
      <c r="B1858" s="611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hidden="1" x14ac:dyDescent="0.25">
      <c r="A1859" s="362"/>
      <c r="B1859" s="611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hidden="1" x14ac:dyDescent="0.25">
      <c r="A1860" s="362"/>
      <c r="B1860" s="611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hidden="1" x14ac:dyDescent="0.25">
      <c r="A1861" s="362"/>
      <c r="B1861" s="611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hidden="1" x14ac:dyDescent="0.25">
      <c r="A1862" s="362"/>
      <c r="B1862" s="611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hidden="1" x14ac:dyDescent="0.25">
      <c r="A1863" s="532"/>
      <c r="B1863" s="532"/>
      <c r="C1863" s="532"/>
      <c r="D1863" s="532"/>
      <c r="E1863" s="532"/>
      <c r="F1863" s="532"/>
      <c r="G1863" s="532"/>
      <c r="H1863" s="532"/>
      <c r="I1863" s="532"/>
      <c r="J1863" s="532"/>
    </row>
    <row r="1864" spans="1:10" hidden="1" x14ac:dyDescent="0.25">
      <c r="A1864" s="362"/>
      <c r="B1864" s="611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hidden="1" x14ac:dyDescent="0.25">
      <c r="A1865" s="362"/>
      <c r="B1865" s="611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hidden="1" x14ac:dyDescent="0.25">
      <c r="A1866" s="362"/>
      <c r="B1866" s="611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hidden="1" x14ac:dyDescent="0.25">
      <c r="A1867" s="362"/>
      <c r="B1867" s="611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hidden="1" x14ac:dyDescent="0.25">
      <c r="A1868" s="362"/>
      <c r="B1868" s="611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hidden="1" x14ac:dyDescent="0.25">
      <c r="A1869" s="362"/>
      <c r="B1869" s="611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hidden="1" x14ac:dyDescent="0.25">
      <c r="A1870" s="362"/>
      <c r="B1870" s="611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hidden="1" x14ac:dyDescent="0.25">
      <c r="A1871" s="362"/>
      <c r="B1871" s="611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hidden="1" x14ac:dyDescent="0.25">
      <c r="A1872" s="362"/>
      <c r="B1872" s="611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hidden="1" x14ac:dyDescent="0.25">
      <c r="A1873" s="362"/>
      <c r="B1873" s="611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hidden="1" x14ac:dyDescent="0.25">
      <c r="A1874" s="362"/>
      <c r="B1874" s="611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hidden="1" x14ac:dyDescent="0.25">
      <c r="A1875" s="362"/>
      <c r="B1875" s="611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hidden="1" x14ac:dyDescent="0.25">
      <c r="A1876" s="362"/>
      <c r="B1876" s="611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hidden="1" x14ac:dyDescent="0.25">
      <c r="A1877" s="362"/>
      <c r="B1877" s="611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hidden="1" x14ac:dyDescent="0.25">
      <c r="A1878" s="362"/>
      <c r="B1878" s="611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hidden="1" x14ac:dyDescent="0.25">
      <c r="A1879" s="532"/>
      <c r="B1879" s="532"/>
      <c r="C1879" s="532"/>
      <c r="D1879" s="532"/>
      <c r="E1879" s="532"/>
      <c r="F1879" s="532"/>
      <c r="G1879" s="532"/>
      <c r="H1879" s="532"/>
      <c r="I1879" s="532"/>
      <c r="J1879" s="532"/>
    </row>
    <row r="1880" spans="1:10" hidden="1" x14ac:dyDescent="0.25">
      <c r="A1880" s="362"/>
      <c r="B1880" s="611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hidden="1" x14ac:dyDescent="0.25">
      <c r="A1881" s="362"/>
      <c r="B1881" s="611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hidden="1" x14ac:dyDescent="0.25">
      <c r="A1882" s="362"/>
      <c r="B1882" s="611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hidden="1" x14ac:dyDescent="0.25">
      <c r="A1883" s="362"/>
      <c r="B1883" s="611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hidden="1" x14ac:dyDescent="0.25">
      <c r="A1884" s="362"/>
      <c r="B1884" s="611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hidden="1" x14ac:dyDescent="0.25">
      <c r="A1885" s="362"/>
      <c r="B1885" s="611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hidden="1" x14ac:dyDescent="0.25">
      <c r="A1886" s="362"/>
      <c r="B1886" s="611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hidden="1" x14ac:dyDescent="0.25">
      <c r="A1887" s="362"/>
      <c r="B1887" s="611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hidden="1" x14ac:dyDescent="0.25">
      <c r="A1888" s="362"/>
      <c r="B1888" s="611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hidden="1" x14ac:dyDescent="0.25">
      <c r="A1889" s="362"/>
      <c r="B1889" s="611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hidden="1" x14ac:dyDescent="0.25">
      <c r="A1890" s="362"/>
      <c r="B1890" s="611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hidden="1" x14ac:dyDescent="0.25">
      <c r="A1891" s="362"/>
      <c r="B1891" s="611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hidden="1" x14ac:dyDescent="0.25">
      <c r="A1892" s="362"/>
      <c r="B1892" s="611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hidden="1" x14ac:dyDescent="0.25">
      <c r="A1893" s="362"/>
      <c r="B1893" s="611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hidden="1" x14ac:dyDescent="0.25">
      <c r="A1894" s="362"/>
      <c r="B1894" s="611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hidden="1" x14ac:dyDescent="0.25">
      <c r="A1895" s="532"/>
      <c r="B1895" s="532"/>
      <c r="C1895" s="532"/>
      <c r="D1895" s="532"/>
      <c r="E1895" s="532"/>
      <c r="F1895" s="532"/>
      <c r="G1895" s="532"/>
      <c r="H1895" s="532"/>
      <c r="I1895" s="532"/>
      <c r="J1895" s="532"/>
    </row>
    <row r="1896" spans="1:10" hidden="1" x14ac:dyDescent="0.25">
      <c r="A1896" s="362"/>
      <c r="B1896" s="611">
        <v>44170</v>
      </c>
      <c r="C1896" s="362" t="s">
        <v>80</v>
      </c>
      <c r="D1896" s="562">
        <v>140095583</v>
      </c>
      <c r="E1896" s="562"/>
      <c r="F1896" s="562"/>
      <c r="G1896" s="562"/>
      <c r="H1896" s="562"/>
      <c r="I1896" s="562"/>
      <c r="J1896" s="562"/>
    </row>
    <row r="1897" spans="1:10" hidden="1" x14ac:dyDescent="0.25">
      <c r="A1897" s="362"/>
      <c r="B1897" s="611">
        <v>44170</v>
      </c>
      <c r="C1897" s="362" t="s">
        <v>83</v>
      </c>
      <c r="D1897" s="562">
        <v>179195597</v>
      </c>
      <c r="E1897" s="562">
        <v>21754176</v>
      </c>
      <c r="F1897" s="562"/>
      <c r="G1897" s="562"/>
      <c r="H1897" s="562"/>
      <c r="I1897" s="562"/>
      <c r="J1897" s="562"/>
    </row>
    <row r="1898" spans="1:10" hidden="1" x14ac:dyDescent="0.25">
      <c r="A1898" s="362"/>
      <c r="B1898" s="611">
        <v>44170</v>
      </c>
      <c r="C1898" s="362" t="s">
        <v>88</v>
      </c>
      <c r="D1898" s="562">
        <v>147392258</v>
      </c>
      <c r="E1898" s="562">
        <v>9659256</v>
      </c>
      <c r="F1898" s="562"/>
      <c r="G1898" s="562"/>
      <c r="H1898" s="562"/>
      <c r="I1898" s="562"/>
      <c r="J1898" s="562"/>
    </row>
    <row r="1899" spans="1:10" hidden="1" x14ac:dyDescent="0.25">
      <c r="A1899" s="362"/>
      <c r="B1899" s="611">
        <v>44170</v>
      </c>
      <c r="C1899" s="362" t="s">
        <v>146</v>
      </c>
      <c r="D1899" s="562">
        <v>66795889</v>
      </c>
      <c r="E1899" s="562">
        <v>30261150</v>
      </c>
      <c r="F1899" s="562"/>
      <c r="G1899" s="562"/>
      <c r="H1899" s="562"/>
      <c r="I1899" s="562"/>
      <c r="J1899" s="562"/>
    </row>
    <row r="1900" spans="1:10" hidden="1" x14ac:dyDescent="0.25">
      <c r="A1900" s="362"/>
      <c r="B1900" s="611">
        <v>44170</v>
      </c>
      <c r="C1900" s="362" t="s">
        <v>86</v>
      </c>
      <c r="D1900" s="562">
        <v>50536233</v>
      </c>
      <c r="E1900" s="562">
        <v>36088620</v>
      </c>
      <c r="F1900" s="562"/>
      <c r="G1900" s="562"/>
      <c r="H1900" s="562"/>
      <c r="I1900" s="562"/>
      <c r="J1900" s="562"/>
    </row>
    <row r="1901" spans="1:10" hidden="1" x14ac:dyDescent="0.25">
      <c r="A1901" s="362"/>
      <c r="B1901" s="611">
        <v>44170</v>
      </c>
      <c r="C1901" s="362" t="s">
        <v>89</v>
      </c>
      <c r="D1901" s="562">
        <v>96712296</v>
      </c>
      <c r="E1901" s="562">
        <v>15200404</v>
      </c>
      <c r="F1901" s="562"/>
      <c r="G1901" s="562"/>
      <c r="H1901" s="562"/>
      <c r="I1901" s="562"/>
      <c r="J1901" s="562"/>
    </row>
    <row r="1902" spans="1:10" hidden="1" x14ac:dyDescent="0.25">
      <c r="A1902" s="362"/>
      <c r="B1902" s="611">
        <v>44170</v>
      </c>
      <c r="C1902" s="362" t="s">
        <v>4751</v>
      </c>
      <c r="D1902" s="562">
        <v>190574822</v>
      </c>
      <c r="E1902" s="562">
        <v>8160178</v>
      </c>
      <c r="F1902" s="562"/>
      <c r="G1902" s="562"/>
      <c r="H1902" s="562"/>
      <c r="I1902" s="562"/>
      <c r="J1902" s="562"/>
    </row>
    <row r="1903" spans="1:10" hidden="1" x14ac:dyDescent="0.25">
      <c r="A1903" s="362"/>
      <c r="B1903" s="611">
        <v>44170</v>
      </c>
      <c r="C1903" s="362" t="s">
        <v>84</v>
      </c>
      <c r="D1903" s="562">
        <v>265715235</v>
      </c>
      <c r="E1903" s="562">
        <v>10513467</v>
      </c>
      <c r="F1903" s="562"/>
      <c r="G1903" s="562"/>
      <c r="H1903" s="562"/>
      <c r="I1903" s="562"/>
      <c r="J1903" s="562"/>
    </row>
    <row r="1904" spans="1:10" hidden="1" x14ac:dyDescent="0.25">
      <c r="A1904" s="362"/>
      <c r="B1904" s="611">
        <v>44170</v>
      </c>
      <c r="C1904" s="362" t="s">
        <v>81</v>
      </c>
      <c r="D1904" s="562">
        <v>112428246</v>
      </c>
      <c r="E1904" s="562">
        <v>17479033</v>
      </c>
      <c r="F1904" s="562"/>
      <c r="G1904" s="562"/>
      <c r="H1904" s="562"/>
      <c r="I1904" s="562"/>
      <c r="J1904" s="562"/>
    </row>
    <row r="1905" spans="1:10" hidden="1" x14ac:dyDescent="0.25">
      <c r="A1905" s="362"/>
      <c r="B1905" s="611">
        <v>44170</v>
      </c>
      <c r="C1905" s="362" t="s">
        <v>79</v>
      </c>
      <c r="D1905" s="562">
        <v>29171194</v>
      </c>
      <c r="E1905" s="562">
        <v>7997803</v>
      </c>
      <c r="F1905" s="562"/>
      <c r="G1905" s="562"/>
      <c r="H1905" s="562"/>
      <c r="I1905" s="562"/>
      <c r="J1905" s="562"/>
    </row>
    <row r="1906" spans="1:10" hidden="1" x14ac:dyDescent="0.25">
      <c r="A1906" s="362"/>
      <c r="B1906" s="611">
        <v>44170</v>
      </c>
      <c r="C1906" s="362" t="s">
        <v>82</v>
      </c>
      <c r="D1906" s="562">
        <v>44027484</v>
      </c>
      <c r="E1906" s="562">
        <v>3322838</v>
      </c>
      <c r="F1906" s="562"/>
      <c r="G1906" s="562"/>
      <c r="H1906" s="562"/>
      <c r="I1906" s="562"/>
      <c r="J1906" s="562"/>
    </row>
    <row r="1907" spans="1:10" hidden="1" x14ac:dyDescent="0.25">
      <c r="A1907" s="362"/>
      <c r="B1907" s="611">
        <v>44170</v>
      </c>
      <c r="C1907" s="362" t="s">
        <v>78</v>
      </c>
      <c r="D1907" s="562">
        <v>133195460</v>
      </c>
      <c r="E1907" s="562">
        <v>4021940</v>
      </c>
      <c r="F1907" s="562"/>
      <c r="G1907" s="562"/>
      <c r="H1907" s="562"/>
      <c r="I1907" s="562"/>
      <c r="J1907" s="562"/>
    </row>
    <row r="1908" spans="1:10" hidden="1" x14ac:dyDescent="0.25">
      <c r="A1908" s="362"/>
      <c r="B1908" s="611">
        <v>44170</v>
      </c>
      <c r="C1908" s="362" t="s">
        <v>85</v>
      </c>
      <c r="D1908" s="562">
        <v>40699300</v>
      </c>
      <c r="E1908" s="562"/>
      <c r="F1908" s="562"/>
      <c r="G1908" s="562"/>
      <c r="H1908" s="562"/>
      <c r="I1908" s="562"/>
      <c r="J1908" s="562"/>
    </row>
    <row r="1909" spans="1:10" hidden="1" x14ac:dyDescent="0.25">
      <c r="A1909" s="362"/>
      <c r="B1909" s="611">
        <v>44170</v>
      </c>
      <c r="C1909" s="362" t="s">
        <v>166</v>
      </c>
      <c r="D1909" s="562"/>
      <c r="E1909" s="562"/>
      <c r="F1909" s="562"/>
      <c r="G1909" s="562"/>
      <c r="H1909" s="562"/>
      <c r="I1909" s="562"/>
      <c r="J1909" s="562"/>
    </row>
    <row r="1910" spans="1:10" hidden="1" x14ac:dyDescent="0.25">
      <c r="A1910" s="362"/>
      <c r="B1910" s="611">
        <v>44170</v>
      </c>
      <c r="C1910" s="362" t="s">
        <v>3435</v>
      </c>
      <c r="D1910" s="562"/>
      <c r="E1910" s="562"/>
      <c r="F1910" s="562"/>
      <c r="G1910" s="562"/>
      <c r="H1910" s="562"/>
      <c r="I1910" s="562"/>
      <c r="J1910" s="562"/>
    </row>
    <row r="1911" spans="1:10" x14ac:dyDescent="0.25">
      <c r="A1911" s="532"/>
      <c r="B1911" s="532"/>
      <c r="C1911" s="532"/>
      <c r="D1911" s="564"/>
      <c r="E1911" s="564"/>
      <c r="F1911" s="564"/>
      <c r="G1911" s="564"/>
      <c r="H1911" s="564"/>
      <c r="I1911" s="564"/>
      <c r="J1911" s="564"/>
    </row>
    <row r="1912" spans="1:10" hidden="1" x14ac:dyDescent="0.25">
      <c r="A1912" s="362"/>
      <c r="B1912" s="611">
        <v>44177</v>
      </c>
      <c r="C1912" s="362" t="s">
        <v>86</v>
      </c>
      <c r="D1912" s="562">
        <v>51110449</v>
      </c>
      <c r="E1912" s="562">
        <v>146122052</v>
      </c>
      <c r="F1912" s="562">
        <v>197232600</v>
      </c>
      <c r="G1912" s="562">
        <f>D1912+E1912-F1912</f>
        <v>-99</v>
      </c>
      <c r="H1912" s="562"/>
      <c r="I1912" s="562"/>
      <c r="J1912" s="562"/>
    </row>
    <row r="1913" spans="1:10" hidden="1" x14ac:dyDescent="0.25">
      <c r="A1913" s="362"/>
      <c r="B1913" s="611">
        <v>44177</v>
      </c>
      <c r="C1913" s="362" t="s">
        <v>87</v>
      </c>
      <c r="D1913" s="562">
        <v>79872909</v>
      </c>
      <c r="E1913" s="562">
        <v>147495085</v>
      </c>
      <c r="F1913" s="562">
        <v>227535800</v>
      </c>
      <c r="G1913" s="562">
        <f t="shared" ref="G1913:G1926" si="34">D1913+E1913-F1913</f>
        <v>-167806</v>
      </c>
      <c r="H1913" s="562"/>
      <c r="I1913" s="562"/>
      <c r="J1913" s="562"/>
    </row>
    <row r="1914" spans="1:10" hidden="1" x14ac:dyDescent="0.25">
      <c r="A1914" s="362"/>
      <c r="B1914" s="611">
        <v>44177</v>
      </c>
      <c r="C1914" s="362" t="s">
        <v>88</v>
      </c>
      <c r="D1914" s="562">
        <v>263204970</v>
      </c>
      <c r="E1914" s="562">
        <v>17133932</v>
      </c>
      <c r="F1914" s="562">
        <v>280339000</v>
      </c>
      <c r="G1914" s="562">
        <f t="shared" si="34"/>
        <v>-98</v>
      </c>
      <c r="H1914" s="562"/>
      <c r="I1914" s="562"/>
      <c r="J1914" s="562"/>
    </row>
    <row r="1915" spans="1:10" hidden="1" x14ac:dyDescent="0.25">
      <c r="A1915" s="362"/>
      <c r="B1915" s="611">
        <v>44177</v>
      </c>
      <c r="C1915" s="362" t="s">
        <v>82</v>
      </c>
      <c r="D1915" s="562">
        <v>137354147</v>
      </c>
      <c r="E1915" s="562">
        <v>4121879</v>
      </c>
      <c r="F1915" s="562">
        <v>141476100</v>
      </c>
      <c r="G1915" s="562">
        <f t="shared" si="34"/>
        <v>-74</v>
      </c>
      <c r="H1915" s="562"/>
      <c r="I1915" s="562"/>
      <c r="J1915" s="562"/>
    </row>
    <row r="1916" spans="1:10" hidden="1" x14ac:dyDescent="0.25">
      <c r="A1916" s="362"/>
      <c r="B1916" s="611">
        <v>44177</v>
      </c>
      <c r="C1916" s="362" t="s">
        <v>80</v>
      </c>
      <c r="D1916" s="562">
        <v>163713889</v>
      </c>
      <c r="E1916" s="562">
        <v>86814750</v>
      </c>
      <c r="F1916" s="562">
        <v>250530700</v>
      </c>
      <c r="G1916" s="562">
        <f t="shared" si="34"/>
        <v>-2061</v>
      </c>
      <c r="H1916" s="562"/>
      <c r="I1916" s="562"/>
      <c r="J1916" s="562"/>
    </row>
    <row r="1917" spans="1:10" hidden="1" x14ac:dyDescent="0.25">
      <c r="A1917" s="362"/>
      <c r="B1917" s="611">
        <v>44177</v>
      </c>
      <c r="C1917" s="362" t="s">
        <v>83</v>
      </c>
      <c r="D1917" s="562">
        <v>260284324</v>
      </c>
      <c r="E1917" s="562">
        <v>18835568</v>
      </c>
      <c r="F1917" s="562">
        <v>279119900</v>
      </c>
      <c r="G1917" s="562">
        <f t="shared" si="34"/>
        <v>-8</v>
      </c>
      <c r="H1917" s="562"/>
      <c r="I1917" s="562"/>
      <c r="J1917" s="562"/>
    </row>
    <row r="1918" spans="1:10" hidden="1" x14ac:dyDescent="0.25">
      <c r="A1918" s="362"/>
      <c r="B1918" s="611">
        <v>44177</v>
      </c>
      <c r="C1918" s="362" t="s">
        <v>78</v>
      </c>
      <c r="D1918" s="562">
        <v>91825862</v>
      </c>
      <c r="E1918" s="562">
        <v>3487838</v>
      </c>
      <c r="F1918" s="562">
        <v>95313700</v>
      </c>
      <c r="G1918" s="562">
        <f t="shared" si="34"/>
        <v>0</v>
      </c>
      <c r="H1918" s="562"/>
      <c r="I1918" s="562"/>
      <c r="J1918" s="562"/>
    </row>
    <row r="1919" spans="1:10" hidden="1" x14ac:dyDescent="0.25">
      <c r="A1919" s="362"/>
      <c r="B1919" s="611">
        <v>44177</v>
      </c>
      <c r="C1919" s="362" t="s">
        <v>141</v>
      </c>
      <c r="D1919" s="562">
        <v>36166172</v>
      </c>
      <c r="E1919" s="562"/>
      <c r="F1919" s="562">
        <v>36166200</v>
      </c>
      <c r="G1919" s="562">
        <f t="shared" si="34"/>
        <v>-28</v>
      </c>
      <c r="H1919" s="562"/>
      <c r="I1919" s="562"/>
      <c r="J1919" s="562"/>
    </row>
    <row r="1920" spans="1:10" hidden="1" x14ac:dyDescent="0.25">
      <c r="A1920" s="362"/>
      <c r="B1920" s="611">
        <v>44177</v>
      </c>
      <c r="C1920" s="362" t="s">
        <v>89</v>
      </c>
      <c r="D1920" s="562">
        <v>95002279</v>
      </c>
      <c r="E1920" s="562">
        <v>39832321</v>
      </c>
      <c r="F1920" s="562">
        <v>134834600</v>
      </c>
      <c r="G1920" s="562">
        <f t="shared" si="34"/>
        <v>0</v>
      </c>
      <c r="H1920" s="562"/>
      <c r="I1920" s="562"/>
      <c r="J1920" s="562"/>
    </row>
    <row r="1921" spans="1:10" hidden="1" x14ac:dyDescent="0.25">
      <c r="A1921" s="362"/>
      <c r="B1921" s="611">
        <v>44177</v>
      </c>
      <c r="C1921" s="362" t="s">
        <v>81</v>
      </c>
      <c r="D1921" s="562">
        <v>79492067</v>
      </c>
      <c r="E1921" s="562">
        <v>9353735</v>
      </c>
      <c r="F1921" s="562">
        <f>50764200+38081700</f>
        <v>88845900</v>
      </c>
      <c r="G1921" s="562">
        <f t="shared" si="34"/>
        <v>-98</v>
      </c>
      <c r="H1921" s="562"/>
      <c r="I1921" s="562"/>
      <c r="J1921" s="562"/>
    </row>
    <row r="1922" spans="1:10" hidden="1" x14ac:dyDescent="0.25">
      <c r="A1922" s="362"/>
      <c r="B1922" s="611">
        <v>44177</v>
      </c>
      <c r="C1922" s="362" t="s">
        <v>84</v>
      </c>
      <c r="D1922" s="562">
        <v>177005378</v>
      </c>
      <c r="E1922" s="562">
        <v>7953209</v>
      </c>
      <c r="F1922" s="562">
        <v>184953500</v>
      </c>
      <c r="G1922" s="562">
        <f t="shared" si="34"/>
        <v>5087</v>
      </c>
      <c r="H1922" s="562"/>
      <c r="I1922" s="562"/>
      <c r="J1922" s="562"/>
    </row>
    <row r="1923" spans="1:10" hidden="1" x14ac:dyDescent="0.25">
      <c r="A1923" s="362"/>
      <c r="B1923" s="611">
        <v>44177</v>
      </c>
      <c r="C1923" s="362" t="s">
        <v>4751</v>
      </c>
      <c r="D1923" s="562">
        <v>192596050</v>
      </c>
      <c r="E1923" s="562">
        <v>64525750</v>
      </c>
      <c r="F1923" s="562">
        <v>257121800</v>
      </c>
      <c r="G1923" s="562">
        <f t="shared" si="34"/>
        <v>0</v>
      </c>
      <c r="H1923" s="562"/>
      <c r="I1923" s="562"/>
      <c r="J1923" s="562"/>
    </row>
    <row r="1924" spans="1:10" hidden="1" x14ac:dyDescent="0.25">
      <c r="A1924" s="362"/>
      <c r="B1924" s="611">
        <v>44177</v>
      </c>
      <c r="C1924" s="362" t="s">
        <v>166</v>
      </c>
      <c r="D1924" s="562"/>
      <c r="E1924" s="562"/>
      <c r="F1924" s="562"/>
      <c r="G1924" s="562">
        <f t="shared" si="34"/>
        <v>0</v>
      </c>
      <c r="H1924" s="562"/>
      <c r="I1924" s="562"/>
      <c r="J1924" s="562"/>
    </row>
    <row r="1925" spans="1:10" hidden="1" x14ac:dyDescent="0.25">
      <c r="A1925" s="362"/>
      <c r="B1925" s="611">
        <v>44177</v>
      </c>
      <c r="C1925" s="362" t="s">
        <v>3435</v>
      </c>
      <c r="D1925" s="562"/>
      <c r="E1925" s="562"/>
      <c r="F1925" s="562"/>
      <c r="G1925" s="562">
        <f t="shared" si="34"/>
        <v>0</v>
      </c>
      <c r="H1925" s="562"/>
      <c r="I1925" s="562"/>
      <c r="J1925" s="562"/>
    </row>
    <row r="1926" spans="1:10" hidden="1" x14ac:dyDescent="0.25">
      <c r="A1926" s="362"/>
      <c r="B1926" s="611">
        <v>44177</v>
      </c>
      <c r="C1926" s="362" t="s">
        <v>85</v>
      </c>
      <c r="D1926" s="562">
        <v>26277300</v>
      </c>
      <c r="E1926" s="562"/>
      <c r="F1926" s="562">
        <v>26277300</v>
      </c>
      <c r="G1926" s="562">
        <f t="shared" si="34"/>
        <v>0</v>
      </c>
      <c r="H1926" s="562"/>
      <c r="I1926" s="562"/>
      <c r="J1926" s="562"/>
    </row>
    <row r="1927" spans="1:10" hidden="1" x14ac:dyDescent="0.25">
      <c r="A1927" s="532"/>
      <c r="B1927" s="532"/>
      <c r="C1927" s="532"/>
      <c r="D1927" s="564"/>
      <c r="E1927" s="564"/>
      <c r="F1927" s="564"/>
      <c r="G1927" s="564"/>
      <c r="H1927" s="564"/>
      <c r="I1927" s="564"/>
      <c r="J1927" s="564"/>
    </row>
    <row r="1928" spans="1:10" hidden="1" x14ac:dyDescent="0.25">
      <c r="A1928" s="362"/>
      <c r="B1928" s="611">
        <v>44179</v>
      </c>
      <c r="C1928" s="362" t="s">
        <v>86</v>
      </c>
      <c r="D1928" s="562">
        <v>55014767</v>
      </c>
      <c r="E1928" s="562">
        <v>110760917</v>
      </c>
      <c r="F1928" s="562">
        <v>165775600</v>
      </c>
      <c r="G1928" s="562">
        <f>D1928+E1928-F1928</f>
        <v>84</v>
      </c>
      <c r="H1928" s="562"/>
      <c r="I1928" s="562"/>
      <c r="J1928" s="562"/>
    </row>
    <row r="1929" spans="1:10" hidden="1" x14ac:dyDescent="0.25">
      <c r="A1929" s="362"/>
      <c r="B1929" s="611">
        <v>44179</v>
      </c>
      <c r="C1929" s="362" t="s">
        <v>87</v>
      </c>
      <c r="D1929" s="562">
        <v>98855231</v>
      </c>
      <c r="E1929" s="562">
        <v>75877793</v>
      </c>
      <c r="F1929" s="562">
        <v>174733100</v>
      </c>
      <c r="G1929" s="562">
        <f t="shared" ref="G1929:G1942" si="35">D1929+E1929-F1929</f>
        <v>-76</v>
      </c>
      <c r="H1929" s="562"/>
      <c r="I1929" s="562"/>
      <c r="J1929" s="562"/>
    </row>
    <row r="1930" spans="1:10" hidden="1" x14ac:dyDescent="0.25">
      <c r="A1930" s="362"/>
      <c r="B1930" s="611">
        <v>44179</v>
      </c>
      <c r="C1930" s="362" t="s">
        <v>88</v>
      </c>
      <c r="D1930" s="562">
        <v>428090513</v>
      </c>
      <c r="E1930" s="562">
        <v>83428888</v>
      </c>
      <c r="F1930" s="562">
        <v>511518500</v>
      </c>
      <c r="G1930" s="562">
        <f t="shared" si="35"/>
        <v>901</v>
      </c>
      <c r="H1930" s="562"/>
      <c r="I1930" s="562"/>
      <c r="J1930" s="562"/>
    </row>
    <row r="1931" spans="1:10" hidden="1" x14ac:dyDescent="0.25">
      <c r="A1931" s="362"/>
      <c r="B1931" s="611">
        <v>44179</v>
      </c>
      <c r="C1931" s="362" t="s">
        <v>82</v>
      </c>
      <c r="D1931" s="562">
        <v>145289614</v>
      </c>
      <c r="E1931" s="562">
        <v>1100344</v>
      </c>
      <c r="F1931" s="562">
        <v>146390000</v>
      </c>
      <c r="G1931" s="562">
        <f t="shared" si="35"/>
        <v>-42</v>
      </c>
      <c r="H1931" s="562"/>
      <c r="I1931" s="562"/>
      <c r="J1931" s="562"/>
    </row>
    <row r="1932" spans="1:10" hidden="1" x14ac:dyDescent="0.25">
      <c r="A1932" s="362"/>
      <c r="B1932" s="611">
        <v>44179</v>
      </c>
      <c r="C1932" s="362" t="s">
        <v>80</v>
      </c>
      <c r="D1932" s="562">
        <v>252226842</v>
      </c>
      <c r="E1932" s="562">
        <v>6032104</v>
      </c>
      <c r="F1932" s="562">
        <v>258258500</v>
      </c>
      <c r="G1932" s="562">
        <f t="shared" si="35"/>
        <v>446</v>
      </c>
      <c r="H1932" s="562"/>
      <c r="I1932" s="562"/>
      <c r="J1932" s="562"/>
    </row>
    <row r="1933" spans="1:10" hidden="1" x14ac:dyDescent="0.25">
      <c r="A1933" s="362"/>
      <c r="B1933" s="611">
        <v>44179</v>
      </c>
      <c r="C1933" s="362" t="s">
        <v>83</v>
      </c>
      <c r="D1933" s="562">
        <v>472843948</v>
      </c>
      <c r="E1933" s="562">
        <v>18738551</v>
      </c>
      <c r="F1933" s="562">
        <v>491582500</v>
      </c>
      <c r="G1933" s="562">
        <f t="shared" si="35"/>
        <v>-1</v>
      </c>
      <c r="H1933" s="562"/>
      <c r="I1933" s="562"/>
      <c r="J1933" s="562"/>
    </row>
    <row r="1934" spans="1:10" hidden="1" x14ac:dyDescent="0.25">
      <c r="A1934" s="362"/>
      <c r="B1934" s="611">
        <v>44179</v>
      </c>
      <c r="C1934" s="362" t="s">
        <v>78</v>
      </c>
      <c r="D1934" s="562">
        <v>51328423</v>
      </c>
      <c r="E1934" s="562">
        <v>3312577</v>
      </c>
      <c r="F1934" s="562">
        <v>54641000</v>
      </c>
      <c r="G1934" s="562">
        <f t="shared" si="35"/>
        <v>0</v>
      </c>
      <c r="H1934" s="562"/>
      <c r="I1934" s="562"/>
      <c r="J1934" s="562"/>
    </row>
    <row r="1935" spans="1:10" hidden="1" x14ac:dyDescent="0.25">
      <c r="A1935" s="362"/>
      <c r="B1935" s="611">
        <v>44179</v>
      </c>
      <c r="C1935" s="362" t="s">
        <v>141</v>
      </c>
      <c r="D1935" s="562">
        <v>40905081</v>
      </c>
      <c r="E1935" s="562">
        <v>191351</v>
      </c>
      <c r="F1935" s="562">
        <v>41096500</v>
      </c>
      <c r="G1935" s="562">
        <f t="shared" si="35"/>
        <v>-68</v>
      </c>
      <c r="H1935" s="562"/>
      <c r="I1935" s="562"/>
      <c r="J1935" s="562"/>
    </row>
    <row r="1936" spans="1:10" hidden="1" x14ac:dyDescent="0.25">
      <c r="A1936" s="362"/>
      <c r="B1936" s="611">
        <v>44179</v>
      </c>
      <c r="C1936" s="362" t="s">
        <v>89</v>
      </c>
      <c r="D1936" s="562">
        <v>99769998</v>
      </c>
      <c r="E1936" s="562">
        <v>33675802</v>
      </c>
      <c r="F1936" s="562">
        <v>133445800</v>
      </c>
      <c r="G1936" s="562">
        <f t="shared" si="35"/>
        <v>0</v>
      </c>
      <c r="H1936" s="562"/>
      <c r="I1936" s="562"/>
      <c r="J1936" s="562"/>
    </row>
    <row r="1937" spans="1:10" hidden="1" x14ac:dyDescent="0.25">
      <c r="A1937" s="362"/>
      <c r="B1937" s="611">
        <v>44179</v>
      </c>
      <c r="C1937" s="362" t="s">
        <v>81</v>
      </c>
      <c r="D1937" s="562">
        <v>96907212</v>
      </c>
      <c r="E1937" s="562">
        <v>18859926</v>
      </c>
      <c r="F1937" s="562">
        <v>115767200</v>
      </c>
      <c r="G1937" s="562">
        <f t="shared" si="35"/>
        <v>-62</v>
      </c>
      <c r="H1937" s="562"/>
      <c r="I1937" s="562"/>
      <c r="J1937" s="562"/>
    </row>
    <row r="1938" spans="1:10" hidden="1" x14ac:dyDescent="0.25">
      <c r="A1938" s="362"/>
      <c r="B1938" s="611">
        <v>44179</v>
      </c>
      <c r="C1938" s="362" t="s">
        <v>84</v>
      </c>
      <c r="D1938" s="562">
        <v>214919321</v>
      </c>
      <c r="E1938" s="562">
        <v>8337965</v>
      </c>
      <c r="F1938" s="562">
        <v>223256800</v>
      </c>
      <c r="G1938" s="562">
        <f t="shared" si="35"/>
        <v>486</v>
      </c>
      <c r="H1938" s="562"/>
      <c r="I1938" s="562"/>
      <c r="J1938" s="562"/>
    </row>
    <row r="1939" spans="1:10" hidden="1" x14ac:dyDescent="0.25">
      <c r="A1939" s="362"/>
      <c r="B1939" s="611">
        <v>44179</v>
      </c>
      <c r="C1939" s="362" t="s">
        <v>4751</v>
      </c>
      <c r="D1939" s="562">
        <v>166849357</v>
      </c>
      <c r="E1939" s="562">
        <v>13135743</v>
      </c>
      <c r="F1939" s="562">
        <v>179985100</v>
      </c>
      <c r="G1939" s="562">
        <f t="shared" si="35"/>
        <v>0</v>
      </c>
      <c r="H1939" s="562"/>
      <c r="I1939" s="562"/>
      <c r="J1939" s="562"/>
    </row>
    <row r="1940" spans="1:10" hidden="1" x14ac:dyDescent="0.25">
      <c r="A1940" s="362"/>
      <c r="B1940" s="611">
        <v>44179</v>
      </c>
      <c r="C1940" s="362" t="s">
        <v>166</v>
      </c>
      <c r="D1940" s="562">
        <v>44040523</v>
      </c>
      <c r="E1940" s="562"/>
      <c r="F1940" s="562">
        <v>44040500</v>
      </c>
      <c r="G1940" s="562">
        <f t="shared" si="35"/>
        <v>23</v>
      </c>
      <c r="H1940" s="562"/>
      <c r="I1940" s="562"/>
      <c r="J1940" s="562"/>
    </row>
    <row r="1941" spans="1:10" hidden="1" x14ac:dyDescent="0.25">
      <c r="A1941" s="362"/>
      <c r="B1941" s="611">
        <v>44179</v>
      </c>
      <c r="C1941" s="362" t="s">
        <v>3435</v>
      </c>
      <c r="D1941" s="562">
        <v>30772277</v>
      </c>
      <c r="E1941" s="562"/>
      <c r="F1941" s="562">
        <v>30772300</v>
      </c>
      <c r="G1941" s="562">
        <f t="shared" si="35"/>
        <v>-23</v>
      </c>
      <c r="H1941" s="562"/>
      <c r="I1941" s="562"/>
      <c r="J1941" s="562"/>
    </row>
    <row r="1942" spans="1:10" hidden="1" x14ac:dyDescent="0.25">
      <c r="A1942" s="362"/>
      <c r="B1942" s="611">
        <v>44179</v>
      </c>
      <c r="C1942" s="362" t="s">
        <v>85</v>
      </c>
      <c r="D1942" s="562">
        <v>43635500</v>
      </c>
      <c r="E1942" s="562"/>
      <c r="F1942" s="562">
        <v>43635500</v>
      </c>
      <c r="G1942" s="562">
        <f t="shared" si="35"/>
        <v>0</v>
      </c>
      <c r="H1942" s="562"/>
      <c r="I1942" s="562"/>
      <c r="J1942" s="562"/>
    </row>
    <row r="1943" spans="1:10" hidden="1" x14ac:dyDescent="0.25">
      <c r="A1943" s="532"/>
      <c r="B1943" s="532"/>
      <c r="C1943" s="532"/>
      <c r="D1943" s="564"/>
      <c r="E1943" s="564"/>
      <c r="F1943" s="564"/>
      <c r="G1943" s="564"/>
      <c r="H1943" s="564"/>
      <c r="I1943" s="564"/>
      <c r="J1943" s="564"/>
    </row>
    <row r="1944" spans="1:10" hidden="1" x14ac:dyDescent="0.25">
      <c r="A1944" s="362"/>
      <c r="B1944" s="611">
        <v>44180</v>
      </c>
      <c r="C1944" s="362" t="s">
        <v>86</v>
      </c>
      <c r="D1944" s="562">
        <v>78564093</v>
      </c>
      <c r="E1944" s="562">
        <v>121544286</v>
      </c>
      <c r="F1944" s="562">
        <v>200108400</v>
      </c>
      <c r="G1944" s="562">
        <f>D1944+E1944-F1944</f>
        <v>-21</v>
      </c>
      <c r="H1944" s="562"/>
      <c r="I1944" s="562"/>
      <c r="J1944" s="562"/>
    </row>
    <row r="1945" spans="1:10" hidden="1" x14ac:dyDescent="0.25">
      <c r="A1945" s="362"/>
      <c r="B1945" s="611">
        <v>44180</v>
      </c>
      <c r="C1945" s="362" t="s">
        <v>87</v>
      </c>
      <c r="D1945" s="562">
        <v>125745607</v>
      </c>
      <c r="E1945" s="562">
        <v>85536901</v>
      </c>
      <c r="F1945" s="562">
        <v>211282600</v>
      </c>
      <c r="G1945" s="562">
        <f t="shared" ref="G1945:G1958" si="36">D1945+E1945-F1945</f>
        <v>-92</v>
      </c>
      <c r="H1945" s="562"/>
      <c r="I1945" s="562"/>
      <c r="J1945" s="562"/>
    </row>
    <row r="1946" spans="1:10" hidden="1" x14ac:dyDescent="0.25">
      <c r="A1946" s="362"/>
      <c r="B1946" s="611">
        <v>44180</v>
      </c>
      <c r="C1946" s="362" t="s">
        <v>88</v>
      </c>
      <c r="D1946" s="562">
        <v>140593497</v>
      </c>
      <c r="E1946" s="562">
        <v>7939761</v>
      </c>
      <c r="F1946" s="562">
        <v>148533300</v>
      </c>
      <c r="G1946" s="562">
        <f t="shared" si="36"/>
        <v>-42</v>
      </c>
      <c r="H1946" s="562"/>
      <c r="I1946" s="562"/>
      <c r="J1946" s="562"/>
    </row>
    <row r="1947" spans="1:10" hidden="1" x14ac:dyDescent="0.25">
      <c r="A1947" s="362"/>
      <c r="B1947" s="611">
        <v>44180</v>
      </c>
      <c r="C1947" s="362" t="s">
        <v>82</v>
      </c>
      <c r="D1947" s="562">
        <v>116598528</v>
      </c>
      <c r="E1947" s="562">
        <v>2513200</v>
      </c>
      <c r="F1947" s="562">
        <v>119111800</v>
      </c>
      <c r="G1947" s="562">
        <f t="shared" si="36"/>
        <v>-72</v>
      </c>
      <c r="H1947" s="562"/>
      <c r="I1947" s="562"/>
      <c r="J1947" s="562"/>
    </row>
    <row r="1948" spans="1:10" hidden="1" x14ac:dyDescent="0.25">
      <c r="A1948" s="362"/>
      <c r="B1948" s="611">
        <v>44180</v>
      </c>
      <c r="C1948" s="362" t="s">
        <v>80</v>
      </c>
      <c r="D1948" s="562">
        <v>193243621</v>
      </c>
      <c r="E1948" s="562"/>
      <c r="F1948" s="562">
        <v>193243700</v>
      </c>
      <c r="G1948" s="562">
        <f t="shared" si="36"/>
        <v>-79</v>
      </c>
      <c r="H1948" s="562"/>
      <c r="I1948" s="562"/>
      <c r="J1948" s="562"/>
    </row>
    <row r="1949" spans="1:10" hidden="1" x14ac:dyDescent="0.25">
      <c r="A1949" s="362"/>
      <c r="B1949" s="611">
        <v>44180</v>
      </c>
      <c r="C1949" s="362" t="s">
        <v>83</v>
      </c>
      <c r="D1949" s="562">
        <v>161216854</v>
      </c>
      <c r="E1949" s="562">
        <v>14972916</v>
      </c>
      <c r="F1949" s="562">
        <v>176189800</v>
      </c>
      <c r="G1949" s="562">
        <f t="shared" si="36"/>
        <v>-30</v>
      </c>
      <c r="H1949" s="562"/>
      <c r="I1949" s="562"/>
      <c r="J1949" s="562"/>
    </row>
    <row r="1950" spans="1:10" hidden="1" x14ac:dyDescent="0.25">
      <c r="A1950" s="362"/>
      <c r="B1950" s="611">
        <v>44180</v>
      </c>
      <c r="C1950" s="362" t="s">
        <v>78</v>
      </c>
      <c r="D1950" s="562">
        <v>64257740</v>
      </c>
      <c r="E1950" s="562">
        <v>14481560</v>
      </c>
      <c r="F1950" s="562">
        <v>78739300</v>
      </c>
      <c r="G1950" s="562">
        <f t="shared" si="36"/>
        <v>0</v>
      </c>
      <c r="H1950" s="562"/>
      <c r="I1950" s="562"/>
      <c r="J1950" s="562"/>
    </row>
    <row r="1951" spans="1:10" hidden="1" x14ac:dyDescent="0.25">
      <c r="A1951" s="362"/>
      <c r="B1951" s="611">
        <v>44180</v>
      </c>
      <c r="C1951" s="362" t="s">
        <v>141</v>
      </c>
      <c r="D1951" s="562">
        <v>51142203</v>
      </c>
      <c r="E1951" s="562">
        <v>487000</v>
      </c>
      <c r="F1951" s="562">
        <v>51629300</v>
      </c>
      <c r="G1951" s="562">
        <f t="shared" si="36"/>
        <v>-97</v>
      </c>
      <c r="H1951" s="562"/>
      <c r="I1951" s="562"/>
      <c r="J1951" s="562"/>
    </row>
    <row r="1952" spans="1:10" hidden="1" x14ac:dyDescent="0.25">
      <c r="A1952" s="362"/>
      <c r="B1952" s="611">
        <v>44180</v>
      </c>
      <c r="C1952" s="362" t="s">
        <v>89</v>
      </c>
      <c r="D1952" s="562">
        <v>148890466</v>
      </c>
      <c r="E1952" s="562">
        <v>11428634</v>
      </c>
      <c r="F1952" s="562">
        <v>160319100</v>
      </c>
      <c r="G1952" s="562">
        <f t="shared" si="36"/>
        <v>0</v>
      </c>
      <c r="H1952" s="562"/>
      <c r="I1952" s="562"/>
      <c r="J1952" s="562"/>
    </row>
    <row r="1953" spans="1:10" hidden="1" x14ac:dyDescent="0.25">
      <c r="A1953" s="362"/>
      <c r="B1953" s="611">
        <v>44180</v>
      </c>
      <c r="C1953" s="362" t="s">
        <v>81</v>
      </c>
      <c r="D1953" s="562">
        <v>82415032</v>
      </c>
      <c r="E1953" s="562">
        <v>11990940</v>
      </c>
      <c r="F1953" s="562">
        <v>94406000</v>
      </c>
      <c r="G1953" s="562">
        <f t="shared" si="36"/>
        <v>-28</v>
      </c>
      <c r="H1953" s="562"/>
      <c r="I1953" s="562"/>
      <c r="J1953" s="562"/>
    </row>
    <row r="1954" spans="1:10" hidden="1" x14ac:dyDescent="0.25">
      <c r="A1954" s="362"/>
      <c r="B1954" s="611">
        <v>44180</v>
      </c>
      <c r="C1954" s="362" t="s">
        <v>84</v>
      </c>
      <c r="D1954" s="562">
        <v>263609824</v>
      </c>
      <c r="E1954" s="562">
        <v>11589151</v>
      </c>
      <c r="F1954" s="562">
        <v>275199600</v>
      </c>
      <c r="G1954" s="562">
        <f t="shared" si="36"/>
        <v>-625</v>
      </c>
      <c r="H1954" s="562"/>
      <c r="I1954" s="562"/>
      <c r="J1954" s="562"/>
    </row>
    <row r="1955" spans="1:10" hidden="1" x14ac:dyDescent="0.25">
      <c r="A1955" s="362"/>
      <c r="B1955" s="611">
        <v>44180</v>
      </c>
      <c r="C1955" s="362" t="s">
        <v>4751</v>
      </c>
      <c r="D1955" s="562">
        <v>149926944</v>
      </c>
      <c r="E1955" s="562">
        <v>10124256</v>
      </c>
      <c r="F1955" s="562">
        <v>160051200</v>
      </c>
      <c r="G1955" s="562">
        <f t="shared" si="36"/>
        <v>0</v>
      </c>
      <c r="H1955" s="562"/>
      <c r="I1955" s="562"/>
      <c r="J1955" s="562"/>
    </row>
    <row r="1956" spans="1:10" hidden="1" x14ac:dyDescent="0.25">
      <c r="A1956" s="362"/>
      <c r="B1956" s="611">
        <v>44180</v>
      </c>
      <c r="C1956" s="362" t="s">
        <v>166</v>
      </c>
      <c r="D1956" s="562">
        <v>45546052</v>
      </c>
      <c r="E1956" s="562"/>
      <c r="F1956" s="562">
        <v>45546000</v>
      </c>
      <c r="G1956" s="562">
        <f t="shared" si="36"/>
        <v>52</v>
      </c>
      <c r="H1956" s="562"/>
      <c r="I1956" s="562"/>
      <c r="J1956" s="562"/>
    </row>
    <row r="1957" spans="1:10" hidden="1" x14ac:dyDescent="0.25">
      <c r="A1957" s="362"/>
      <c r="B1957" s="611">
        <v>44180</v>
      </c>
      <c r="C1957" s="362" t="s">
        <v>3435</v>
      </c>
      <c r="D1957" s="562">
        <v>39221524</v>
      </c>
      <c r="E1957" s="562"/>
      <c r="F1957" s="562">
        <v>39221600</v>
      </c>
      <c r="G1957" s="562">
        <f t="shared" si="36"/>
        <v>-76</v>
      </c>
      <c r="H1957" s="562"/>
      <c r="I1957" s="562"/>
      <c r="J1957" s="562"/>
    </row>
    <row r="1958" spans="1:10" hidden="1" x14ac:dyDescent="0.25">
      <c r="A1958" s="362"/>
      <c r="B1958" s="611">
        <v>44180</v>
      </c>
      <c r="C1958" s="362" t="s">
        <v>85</v>
      </c>
      <c r="D1958" s="562">
        <v>39560500</v>
      </c>
      <c r="E1958" s="562"/>
      <c r="F1958" s="562">
        <v>39560500</v>
      </c>
      <c r="G1958" s="562">
        <f t="shared" si="36"/>
        <v>0</v>
      </c>
      <c r="H1958" s="562"/>
      <c r="I1958" s="562"/>
      <c r="J1958" s="562"/>
    </row>
    <row r="1959" spans="1:10" hidden="1" x14ac:dyDescent="0.25">
      <c r="A1959" s="532"/>
      <c r="B1959" s="532"/>
      <c r="C1959" s="532"/>
      <c r="D1959" s="564"/>
      <c r="E1959" s="564"/>
      <c r="F1959" s="564"/>
      <c r="G1959" s="564"/>
      <c r="H1959" s="564"/>
      <c r="I1959" s="564"/>
      <c r="J1959" s="564"/>
    </row>
    <row r="1960" spans="1:10" hidden="1" x14ac:dyDescent="0.25">
      <c r="A1960" s="362"/>
      <c r="B1960" s="611">
        <v>44181</v>
      </c>
      <c r="C1960" s="362" t="s">
        <v>86</v>
      </c>
      <c r="D1960" s="562">
        <v>48980161</v>
      </c>
      <c r="E1960" s="562">
        <v>52690880</v>
      </c>
      <c r="F1960" s="562">
        <v>101671000</v>
      </c>
      <c r="G1960" s="562">
        <f>D1960+E1960-F1960</f>
        <v>41</v>
      </c>
      <c r="H1960" s="562"/>
      <c r="I1960" s="562"/>
      <c r="J1960" s="562"/>
    </row>
    <row r="1961" spans="1:10" hidden="1" x14ac:dyDescent="0.25">
      <c r="A1961" s="362"/>
      <c r="B1961" s="611">
        <v>44181</v>
      </c>
      <c r="C1961" s="362" t="s">
        <v>87</v>
      </c>
      <c r="D1961" s="562">
        <v>64182527</v>
      </c>
      <c r="E1961" s="562">
        <v>112395891</v>
      </c>
      <c r="F1961" s="562">
        <v>176578500</v>
      </c>
      <c r="G1961" s="562">
        <f t="shared" ref="G1961:G2024" si="37">D1961+E1961-F1961</f>
        <v>-82</v>
      </c>
      <c r="H1961" s="562"/>
      <c r="I1961" s="562"/>
      <c r="J1961" s="562"/>
    </row>
    <row r="1962" spans="1:10" hidden="1" x14ac:dyDescent="0.25">
      <c r="A1962" s="362"/>
      <c r="B1962" s="611">
        <v>44181</v>
      </c>
      <c r="C1962" s="362" t="s">
        <v>88</v>
      </c>
      <c r="D1962" s="562">
        <v>152771141</v>
      </c>
      <c r="E1962" s="562">
        <v>6500794</v>
      </c>
      <c r="F1962" s="562">
        <v>159272000</v>
      </c>
      <c r="G1962" s="562">
        <f t="shared" si="37"/>
        <v>-65</v>
      </c>
      <c r="H1962" s="562"/>
      <c r="I1962" s="562"/>
      <c r="J1962" s="562"/>
    </row>
    <row r="1963" spans="1:10" hidden="1" x14ac:dyDescent="0.25">
      <c r="A1963" s="362"/>
      <c r="B1963" s="611">
        <v>44181</v>
      </c>
      <c r="C1963" s="362" t="s">
        <v>82</v>
      </c>
      <c r="D1963" s="562">
        <v>77265536</v>
      </c>
      <c r="E1963" s="562">
        <v>3997171</v>
      </c>
      <c r="F1963" s="562">
        <v>81262800</v>
      </c>
      <c r="G1963" s="562">
        <f t="shared" si="37"/>
        <v>-93</v>
      </c>
      <c r="H1963" s="562"/>
      <c r="I1963" s="562"/>
      <c r="J1963" s="562"/>
    </row>
    <row r="1964" spans="1:10" hidden="1" x14ac:dyDescent="0.25">
      <c r="A1964" s="362"/>
      <c r="B1964" s="611">
        <v>44181</v>
      </c>
      <c r="C1964" s="362" t="s">
        <v>80</v>
      </c>
      <c r="D1964" s="562">
        <v>223961929</v>
      </c>
      <c r="E1964" s="562">
        <v>2093271</v>
      </c>
      <c r="F1964" s="562">
        <v>226055200</v>
      </c>
      <c r="G1964" s="562">
        <f t="shared" si="37"/>
        <v>0</v>
      </c>
      <c r="H1964" s="562"/>
      <c r="I1964" s="562"/>
      <c r="J1964" s="562"/>
    </row>
    <row r="1965" spans="1:10" hidden="1" x14ac:dyDescent="0.25">
      <c r="A1965" s="362"/>
      <c r="B1965" s="611">
        <v>44181</v>
      </c>
      <c r="C1965" s="362" t="s">
        <v>83</v>
      </c>
      <c r="D1965" s="562">
        <v>191918054</v>
      </c>
      <c r="E1965" s="562">
        <v>112413512</v>
      </c>
      <c r="F1965" s="562">
        <v>304331600</v>
      </c>
      <c r="G1965" s="562">
        <f t="shared" si="37"/>
        <v>-34</v>
      </c>
      <c r="H1965" s="562"/>
      <c r="I1965" s="562"/>
      <c r="J1965" s="562"/>
    </row>
    <row r="1966" spans="1:10" hidden="1" x14ac:dyDescent="0.25">
      <c r="A1966" s="362"/>
      <c r="B1966" s="611">
        <v>44181</v>
      </c>
      <c r="C1966" s="362" t="s">
        <v>78</v>
      </c>
      <c r="D1966" s="562">
        <v>165629648</v>
      </c>
      <c r="E1966" s="562">
        <v>345052</v>
      </c>
      <c r="F1966" s="562">
        <v>165974700</v>
      </c>
      <c r="G1966" s="562">
        <f t="shared" si="37"/>
        <v>0</v>
      </c>
      <c r="H1966" s="562"/>
      <c r="I1966" s="562"/>
      <c r="J1966" s="562"/>
    </row>
    <row r="1967" spans="1:10" hidden="1" x14ac:dyDescent="0.25">
      <c r="A1967" s="362"/>
      <c r="B1967" s="611">
        <v>44181</v>
      </c>
      <c r="C1967" s="362" t="s">
        <v>141</v>
      </c>
      <c r="D1967" s="562">
        <v>54228722</v>
      </c>
      <c r="E1967" s="562">
        <v>1126294</v>
      </c>
      <c r="F1967" s="562">
        <v>55355100</v>
      </c>
      <c r="G1967" s="562">
        <f t="shared" si="37"/>
        <v>-84</v>
      </c>
      <c r="H1967" s="562"/>
      <c r="I1967" s="562"/>
      <c r="J1967" s="562"/>
    </row>
    <row r="1968" spans="1:10" hidden="1" x14ac:dyDescent="0.25">
      <c r="A1968" s="362"/>
      <c r="B1968" s="611">
        <v>44181</v>
      </c>
      <c r="C1968" s="362" t="s">
        <v>89</v>
      </c>
      <c r="D1968" s="562">
        <v>124943356</v>
      </c>
      <c r="E1968" s="562">
        <v>4986844</v>
      </c>
      <c r="F1968" s="562">
        <v>129930200</v>
      </c>
      <c r="G1968" s="562">
        <f t="shared" si="37"/>
        <v>0</v>
      </c>
      <c r="H1968" s="562"/>
      <c r="I1968" s="562"/>
      <c r="J1968" s="562"/>
    </row>
    <row r="1969" spans="1:10" hidden="1" x14ac:dyDescent="0.25">
      <c r="A1969" s="362"/>
      <c r="B1969" s="611">
        <v>44181</v>
      </c>
      <c r="C1969" s="362" t="s">
        <v>81</v>
      </c>
      <c r="D1969" s="562">
        <v>110881194</v>
      </c>
      <c r="E1969" s="562">
        <v>4895323</v>
      </c>
      <c r="F1969" s="562">
        <v>115776500</v>
      </c>
      <c r="G1969" s="562">
        <f t="shared" si="37"/>
        <v>17</v>
      </c>
      <c r="H1969" s="562"/>
      <c r="I1969" s="562"/>
      <c r="J1969" s="562"/>
    </row>
    <row r="1970" spans="1:10" hidden="1" x14ac:dyDescent="0.25">
      <c r="A1970" s="362"/>
      <c r="B1970" s="611">
        <v>44181</v>
      </c>
      <c r="C1970" s="362" t="s">
        <v>84</v>
      </c>
      <c r="D1970" s="562">
        <v>221741411</v>
      </c>
      <c r="E1970" s="562">
        <v>6244731</v>
      </c>
      <c r="F1970" s="562">
        <v>227986100</v>
      </c>
      <c r="G1970" s="562">
        <f t="shared" si="37"/>
        <v>42</v>
      </c>
      <c r="H1970" s="562"/>
      <c r="I1970" s="562"/>
      <c r="J1970" s="562"/>
    </row>
    <row r="1971" spans="1:10" hidden="1" x14ac:dyDescent="0.25">
      <c r="A1971" s="362"/>
      <c r="B1971" s="611">
        <v>44181</v>
      </c>
      <c r="C1971" s="362" t="s">
        <v>4751</v>
      </c>
      <c r="D1971" s="562">
        <v>206870122</v>
      </c>
      <c r="E1971" s="562">
        <v>8342278</v>
      </c>
      <c r="F1971" s="562">
        <v>215212400</v>
      </c>
      <c r="G1971" s="562">
        <f t="shared" si="37"/>
        <v>0</v>
      </c>
      <c r="H1971" s="362"/>
      <c r="I1971" s="362"/>
      <c r="J1971" s="362"/>
    </row>
    <row r="1972" spans="1:10" hidden="1" x14ac:dyDescent="0.25">
      <c r="A1972" s="362"/>
      <c r="B1972" s="611">
        <v>44181</v>
      </c>
      <c r="C1972" s="362" t="s">
        <v>166</v>
      </c>
      <c r="D1972" s="562">
        <v>80703590</v>
      </c>
      <c r="E1972" s="362"/>
      <c r="F1972" s="562">
        <v>80703600</v>
      </c>
      <c r="G1972" s="562">
        <f t="shared" si="37"/>
        <v>-10</v>
      </c>
      <c r="H1972" s="362"/>
      <c r="I1972" s="362"/>
      <c r="J1972" s="362"/>
    </row>
    <row r="1973" spans="1:10" hidden="1" x14ac:dyDescent="0.25">
      <c r="A1973" s="362"/>
      <c r="B1973" s="611">
        <v>44181</v>
      </c>
      <c r="C1973" s="362" t="s">
        <v>3435</v>
      </c>
      <c r="D1973" s="562">
        <v>280207078</v>
      </c>
      <c r="E1973" s="362"/>
      <c r="F1973" s="562">
        <v>280207100</v>
      </c>
      <c r="G1973" s="562">
        <f t="shared" si="37"/>
        <v>-22</v>
      </c>
      <c r="H1973" s="362"/>
      <c r="I1973" s="362"/>
      <c r="J1973" s="362"/>
    </row>
    <row r="1974" spans="1:10" hidden="1" x14ac:dyDescent="0.25">
      <c r="A1974" s="362"/>
      <c r="B1974" s="611">
        <v>44181</v>
      </c>
      <c r="C1974" s="362" t="s">
        <v>85</v>
      </c>
      <c r="D1974" s="562">
        <v>36927600</v>
      </c>
      <c r="E1974" s="362"/>
      <c r="F1974" s="562">
        <v>36927600</v>
      </c>
      <c r="G1974" s="562">
        <f t="shared" si="37"/>
        <v>0</v>
      </c>
      <c r="H1974" s="362"/>
      <c r="I1974" s="362"/>
      <c r="J1974" s="362"/>
    </row>
    <row r="1975" spans="1:10" hidden="1" x14ac:dyDescent="0.25">
      <c r="A1975" s="532"/>
      <c r="B1975" s="532"/>
      <c r="C1975" s="532"/>
      <c r="D1975" s="532"/>
      <c r="E1975" s="532"/>
      <c r="F1975" s="564"/>
      <c r="G1975" s="564"/>
      <c r="H1975" s="532"/>
      <c r="I1975" s="532"/>
      <c r="J1975" s="532"/>
    </row>
    <row r="1976" spans="1:10" hidden="1" x14ac:dyDescent="0.25">
      <c r="A1976" s="362"/>
      <c r="B1976" s="611">
        <v>44182</v>
      </c>
      <c r="C1976" s="362" t="s">
        <v>86</v>
      </c>
      <c r="D1976" s="562">
        <v>75864141</v>
      </c>
      <c r="E1976" s="562">
        <v>65861115</v>
      </c>
      <c r="F1976" s="562">
        <v>141725300</v>
      </c>
      <c r="G1976" s="562">
        <f t="shared" si="37"/>
        <v>-44</v>
      </c>
      <c r="H1976" s="362"/>
      <c r="I1976" s="362"/>
      <c r="J1976" s="362"/>
    </row>
    <row r="1977" spans="1:10" hidden="1" x14ac:dyDescent="0.25">
      <c r="A1977" s="362"/>
      <c r="B1977" s="611">
        <v>44182</v>
      </c>
      <c r="C1977" s="362" t="s">
        <v>87</v>
      </c>
      <c r="D1977" s="562">
        <v>124055703</v>
      </c>
      <c r="E1977" s="562">
        <v>85832500</v>
      </c>
      <c r="F1977" s="562">
        <v>209888200</v>
      </c>
      <c r="G1977" s="562">
        <f t="shared" si="37"/>
        <v>3</v>
      </c>
      <c r="H1977" s="362"/>
      <c r="I1977" s="362"/>
      <c r="J1977" s="362"/>
    </row>
    <row r="1978" spans="1:10" hidden="1" x14ac:dyDescent="0.25">
      <c r="A1978" s="362"/>
      <c r="B1978" s="611">
        <v>44182</v>
      </c>
      <c r="C1978" s="362" t="s">
        <v>88</v>
      </c>
      <c r="D1978" s="562">
        <v>233398599</v>
      </c>
      <c r="E1978" s="562">
        <v>8883049</v>
      </c>
      <c r="F1978" s="562">
        <v>242281600</v>
      </c>
      <c r="G1978" s="562">
        <f t="shared" si="37"/>
        <v>48</v>
      </c>
      <c r="H1978" s="362"/>
      <c r="I1978" s="362"/>
      <c r="J1978" s="362"/>
    </row>
    <row r="1979" spans="1:10" hidden="1" x14ac:dyDescent="0.25">
      <c r="A1979" s="362"/>
      <c r="B1979" s="611">
        <v>44182</v>
      </c>
      <c r="C1979" s="362" t="s">
        <v>82</v>
      </c>
      <c r="D1979" s="562">
        <v>106688539</v>
      </c>
      <c r="E1979" s="562">
        <v>5224715</v>
      </c>
      <c r="F1979" s="562">
        <v>111913300</v>
      </c>
      <c r="G1979" s="562">
        <f t="shared" si="37"/>
        <v>-46</v>
      </c>
      <c r="H1979" s="362"/>
      <c r="I1979" s="362"/>
      <c r="J1979" s="362"/>
    </row>
    <row r="1980" spans="1:10" hidden="1" x14ac:dyDescent="0.25">
      <c r="A1980" s="362"/>
      <c r="B1980" s="611">
        <v>44182</v>
      </c>
      <c r="C1980" s="362" t="s">
        <v>80</v>
      </c>
      <c r="D1980" s="562">
        <v>267811032</v>
      </c>
      <c r="E1980" s="562">
        <v>57186996</v>
      </c>
      <c r="F1980" s="562">
        <v>324998500</v>
      </c>
      <c r="G1980" s="562">
        <f t="shared" si="37"/>
        <v>-472</v>
      </c>
      <c r="H1980" s="362"/>
      <c r="I1980" s="362"/>
      <c r="J1980" s="362"/>
    </row>
    <row r="1981" spans="1:10" hidden="1" x14ac:dyDescent="0.25">
      <c r="A1981" s="362"/>
      <c r="B1981" s="611">
        <v>44182</v>
      </c>
      <c r="C1981" s="362" t="s">
        <v>83</v>
      </c>
      <c r="D1981" s="562">
        <v>243434704</v>
      </c>
      <c r="E1981" s="562">
        <v>9733829</v>
      </c>
      <c r="F1981" s="562">
        <v>253168600</v>
      </c>
      <c r="G1981" s="562">
        <f t="shared" si="37"/>
        <v>-67</v>
      </c>
      <c r="H1981" s="362"/>
      <c r="I1981" s="362"/>
      <c r="J1981" s="362"/>
    </row>
    <row r="1982" spans="1:10" hidden="1" x14ac:dyDescent="0.25">
      <c r="A1982" s="362"/>
      <c r="B1982" s="611">
        <v>44182</v>
      </c>
      <c r="C1982" s="362" t="s">
        <v>78</v>
      </c>
      <c r="D1982" s="562">
        <v>73671273</v>
      </c>
      <c r="E1982" s="562">
        <v>363327</v>
      </c>
      <c r="F1982" s="562">
        <v>74034600</v>
      </c>
      <c r="G1982" s="562">
        <f t="shared" si="37"/>
        <v>0</v>
      </c>
      <c r="H1982" s="362"/>
      <c r="I1982" s="362"/>
      <c r="J1982" s="362"/>
    </row>
    <row r="1983" spans="1:10" hidden="1" x14ac:dyDescent="0.25">
      <c r="A1983" s="362"/>
      <c r="B1983" s="611">
        <v>44182</v>
      </c>
      <c r="C1983" s="362" t="s">
        <v>141</v>
      </c>
      <c r="D1983" s="562">
        <v>75639867</v>
      </c>
      <c r="E1983" s="562">
        <v>815000</v>
      </c>
      <c r="F1983" s="562">
        <v>76454900</v>
      </c>
      <c r="G1983" s="562">
        <f t="shared" si="37"/>
        <v>-33</v>
      </c>
      <c r="H1983" s="362"/>
      <c r="I1983" s="362"/>
      <c r="J1983" s="362"/>
    </row>
    <row r="1984" spans="1:10" hidden="1" x14ac:dyDescent="0.25">
      <c r="A1984" s="362"/>
      <c r="B1984" s="611">
        <v>44182</v>
      </c>
      <c r="C1984" s="362" t="s">
        <v>89</v>
      </c>
      <c r="D1984" s="562">
        <v>144539275</v>
      </c>
      <c r="E1984" s="562">
        <v>57125625</v>
      </c>
      <c r="F1984" s="562">
        <v>201664900</v>
      </c>
      <c r="G1984" s="562">
        <f t="shared" si="37"/>
        <v>0</v>
      </c>
      <c r="H1984" s="362"/>
      <c r="I1984" s="362"/>
      <c r="J1984" s="362"/>
    </row>
    <row r="1985" spans="1:10" hidden="1" x14ac:dyDescent="0.25">
      <c r="A1985" s="362"/>
      <c r="B1985" s="611">
        <v>44182</v>
      </c>
      <c r="C1985" s="362" t="s">
        <v>81</v>
      </c>
      <c r="D1985" s="562">
        <v>58744359</v>
      </c>
      <c r="E1985" s="562">
        <v>3863797</v>
      </c>
      <c r="F1985" s="562">
        <v>62608300</v>
      </c>
      <c r="G1985" s="562">
        <f t="shared" si="37"/>
        <v>-144</v>
      </c>
      <c r="H1985" s="362"/>
      <c r="I1985" s="362"/>
      <c r="J1985" s="362"/>
    </row>
    <row r="1986" spans="1:10" hidden="1" x14ac:dyDescent="0.25">
      <c r="A1986" s="362"/>
      <c r="B1986" s="611">
        <v>44182</v>
      </c>
      <c r="C1986" s="362" t="s">
        <v>84</v>
      </c>
      <c r="D1986" s="562">
        <v>282676728</v>
      </c>
      <c r="E1986" s="562">
        <v>18951067</v>
      </c>
      <c r="F1986" s="562">
        <v>301627600</v>
      </c>
      <c r="G1986" s="562">
        <f t="shared" si="37"/>
        <v>195</v>
      </c>
      <c r="H1986" s="362"/>
      <c r="I1986" s="362"/>
      <c r="J1986" s="362"/>
    </row>
    <row r="1987" spans="1:10" hidden="1" x14ac:dyDescent="0.25">
      <c r="A1987" s="362"/>
      <c r="B1987" s="611">
        <v>44182</v>
      </c>
      <c r="C1987" s="362" t="s">
        <v>4751</v>
      </c>
      <c r="D1987" s="562">
        <v>311315406</v>
      </c>
      <c r="E1987" s="562">
        <v>15967094</v>
      </c>
      <c r="F1987" s="562">
        <v>327282500</v>
      </c>
      <c r="G1987" s="562">
        <f t="shared" si="37"/>
        <v>0</v>
      </c>
      <c r="H1987" s="362"/>
      <c r="I1987" s="362"/>
      <c r="J1987" s="362"/>
    </row>
    <row r="1988" spans="1:10" hidden="1" x14ac:dyDescent="0.25">
      <c r="A1988" s="362"/>
      <c r="B1988" s="611">
        <v>44182</v>
      </c>
      <c r="C1988" s="362" t="s">
        <v>166</v>
      </c>
      <c r="D1988" s="562">
        <v>62777749</v>
      </c>
      <c r="E1988" s="562"/>
      <c r="F1988" s="562">
        <v>62777800</v>
      </c>
      <c r="G1988" s="562">
        <f t="shared" si="37"/>
        <v>-51</v>
      </c>
      <c r="H1988" s="362"/>
      <c r="I1988" s="362"/>
      <c r="J1988" s="362"/>
    </row>
    <row r="1989" spans="1:10" hidden="1" x14ac:dyDescent="0.25">
      <c r="A1989" s="362"/>
      <c r="B1989" s="611">
        <v>44182</v>
      </c>
      <c r="C1989" s="362" t="s">
        <v>3435</v>
      </c>
      <c r="D1989" s="562">
        <v>49640125</v>
      </c>
      <c r="E1989" s="562"/>
      <c r="F1989" s="562">
        <v>49640200</v>
      </c>
      <c r="G1989" s="562">
        <f t="shared" si="37"/>
        <v>-75</v>
      </c>
      <c r="H1989" s="362"/>
      <c r="I1989" s="362"/>
      <c r="J1989" s="362"/>
    </row>
    <row r="1990" spans="1:10" hidden="1" x14ac:dyDescent="0.25">
      <c r="A1990" s="362"/>
      <c r="B1990" s="611">
        <v>44182</v>
      </c>
      <c r="C1990" s="362" t="s">
        <v>85</v>
      </c>
      <c r="D1990" s="562">
        <v>23636300</v>
      </c>
      <c r="E1990" s="562"/>
      <c r="F1990" s="562">
        <v>23636300</v>
      </c>
      <c r="G1990" s="562">
        <f t="shared" si="37"/>
        <v>0</v>
      </c>
      <c r="H1990" s="362"/>
      <c r="I1990" s="362"/>
      <c r="J1990" s="362"/>
    </row>
    <row r="1991" spans="1:10" hidden="1" x14ac:dyDescent="0.25">
      <c r="A1991" s="532"/>
      <c r="B1991" s="532"/>
      <c r="C1991" s="532"/>
      <c r="D1991" s="564"/>
      <c r="E1991" s="564"/>
      <c r="F1991" s="564"/>
      <c r="G1991" s="564">
        <f t="shared" si="37"/>
        <v>0</v>
      </c>
      <c r="H1991" s="532"/>
      <c r="I1991" s="532"/>
      <c r="J1991" s="532"/>
    </row>
    <row r="1992" spans="1:10" hidden="1" x14ac:dyDescent="0.25">
      <c r="A1992" s="362"/>
      <c r="B1992" s="611">
        <v>44183</v>
      </c>
      <c r="C1992" s="362" t="s">
        <v>86</v>
      </c>
      <c r="D1992" s="562">
        <v>53950104</v>
      </c>
      <c r="E1992" s="562">
        <v>90974435</v>
      </c>
      <c r="F1992" s="562">
        <v>144924600</v>
      </c>
      <c r="G1992" s="562">
        <f t="shared" si="37"/>
        <v>-61</v>
      </c>
      <c r="H1992" s="362"/>
      <c r="I1992" s="362"/>
      <c r="J1992" s="362"/>
    </row>
    <row r="1993" spans="1:10" hidden="1" x14ac:dyDescent="0.25">
      <c r="A1993" s="362"/>
      <c r="B1993" s="611">
        <v>44183</v>
      </c>
      <c r="C1993" s="362" t="s">
        <v>87</v>
      </c>
      <c r="D1993" s="562">
        <v>105003405</v>
      </c>
      <c r="E1993" s="562">
        <v>97208883</v>
      </c>
      <c r="F1993" s="562">
        <v>202212500</v>
      </c>
      <c r="G1993" s="562">
        <f t="shared" si="37"/>
        <v>-212</v>
      </c>
      <c r="H1993" s="362"/>
      <c r="I1993" s="362"/>
      <c r="J1993" s="362"/>
    </row>
    <row r="1994" spans="1:10" hidden="1" x14ac:dyDescent="0.25">
      <c r="A1994" s="362"/>
      <c r="B1994" s="611">
        <v>44183</v>
      </c>
      <c r="C1994" s="362" t="s">
        <v>88</v>
      </c>
      <c r="D1994" s="562">
        <v>138580990</v>
      </c>
      <c r="E1994" s="562">
        <v>212236247</v>
      </c>
      <c r="F1994" s="562">
        <v>350817000</v>
      </c>
      <c r="G1994" s="562">
        <f t="shared" si="37"/>
        <v>237</v>
      </c>
      <c r="H1994" s="362"/>
      <c r="I1994" s="362"/>
      <c r="J1994" s="362"/>
    </row>
    <row r="1995" spans="1:10" hidden="1" x14ac:dyDescent="0.25">
      <c r="A1995" s="362"/>
      <c r="B1995" s="611">
        <v>44183</v>
      </c>
      <c r="C1995" s="362" t="s">
        <v>82</v>
      </c>
      <c r="D1995" s="562">
        <v>73994824</v>
      </c>
      <c r="E1995" s="562">
        <v>20529471</v>
      </c>
      <c r="F1995" s="562">
        <v>94524200</v>
      </c>
      <c r="G1995" s="562">
        <f t="shared" si="37"/>
        <v>95</v>
      </c>
      <c r="H1995" s="362"/>
      <c r="I1995" s="362"/>
      <c r="J1995" s="362"/>
    </row>
    <row r="1996" spans="1:10" hidden="1" x14ac:dyDescent="0.25">
      <c r="A1996" s="362"/>
      <c r="B1996" s="611">
        <v>44183</v>
      </c>
      <c r="C1996" s="362" t="s">
        <v>80</v>
      </c>
      <c r="D1996" s="562">
        <v>193174100</v>
      </c>
      <c r="E1996" s="562"/>
      <c r="F1996" s="562">
        <v>193174100</v>
      </c>
      <c r="G1996" s="562">
        <f t="shared" si="37"/>
        <v>0</v>
      </c>
      <c r="H1996" s="362"/>
      <c r="I1996" s="362"/>
      <c r="J1996" s="362"/>
    </row>
    <row r="1997" spans="1:10" hidden="1" x14ac:dyDescent="0.25">
      <c r="A1997" s="362"/>
      <c r="B1997" s="611">
        <v>44183</v>
      </c>
      <c r="C1997" s="362" t="s">
        <v>83</v>
      </c>
      <c r="D1997" s="562">
        <v>373667924</v>
      </c>
      <c r="E1997" s="562">
        <v>4544898</v>
      </c>
      <c r="F1997" s="562">
        <v>378212900</v>
      </c>
      <c r="G1997" s="562">
        <f t="shared" si="37"/>
        <v>-78</v>
      </c>
      <c r="H1997" s="362"/>
      <c r="I1997" s="362"/>
      <c r="J1997" s="362"/>
    </row>
    <row r="1998" spans="1:10" hidden="1" x14ac:dyDescent="0.25">
      <c r="A1998" s="362"/>
      <c r="B1998" s="611">
        <v>44183</v>
      </c>
      <c r="C1998" s="362" t="s">
        <v>78</v>
      </c>
      <c r="D1998" s="562">
        <v>79599751</v>
      </c>
      <c r="E1998" s="562">
        <v>2145249</v>
      </c>
      <c r="F1998" s="562">
        <v>81745000</v>
      </c>
      <c r="G1998" s="562">
        <f t="shared" si="37"/>
        <v>0</v>
      </c>
      <c r="H1998" s="362"/>
      <c r="I1998" s="362"/>
      <c r="J1998" s="362"/>
    </row>
    <row r="1999" spans="1:10" hidden="1" x14ac:dyDescent="0.25">
      <c r="A1999" s="362"/>
      <c r="B1999" s="611">
        <v>44183</v>
      </c>
      <c r="C1999" s="362" t="s">
        <v>141</v>
      </c>
      <c r="D1999" s="562">
        <v>56191850</v>
      </c>
      <c r="E1999" s="562">
        <v>697897</v>
      </c>
      <c r="F1999" s="562">
        <v>56889800</v>
      </c>
      <c r="G1999" s="562">
        <f t="shared" si="37"/>
        <v>-53</v>
      </c>
      <c r="H1999" s="362"/>
      <c r="I1999" s="362"/>
      <c r="J1999" s="362"/>
    </row>
    <row r="2000" spans="1:10" hidden="1" x14ac:dyDescent="0.25">
      <c r="A2000" s="362"/>
      <c r="B2000" s="611">
        <v>44183</v>
      </c>
      <c r="C2000" s="362" t="s">
        <v>89</v>
      </c>
      <c r="D2000" s="562">
        <v>246473236</v>
      </c>
      <c r="E2000" s="562">
        <v>1827464</v>
      </c>
      <c r="F2000" s="562">
        <v>248300700</v>
      </c>
      <c r="G2000" s="562">
        <f t="shared" si="37"/>
        <v>0</v>
      </c>
      <c r="H2000" s="362"/>
      <c r="I2000" s="362"/>
      <c r="J2000" s="362"/>
    </row>
    <row r="2001" spans="1:10" hidden="1" x14ac:dyDescent="0.25">
      <c r="A2001" s="362"/>
      <c r="B2001" s="611">
        <v>44183</v>
      </c>
      <c r="C2001" s="362" t="s">
        <v>81</v>
      </c>
      <c r="D2001" s="562">
        <v>42988542</v>
      </c>
      <c r="E2001" s="562">
        <v>4529569</v>
      </c>
      <c r="F2001" s="562">
        <v>47518500</v>
      </c>
      <c r="G2001" s="562">
        <f t="shared" si="37"/>
        <v>-389</v>
      </c>
      <c r="H2001" s="362"/>
      <c r="I2001" s="362"/>
      <c r="J2001" s="362"/>
    </row>
    <row r="2002" spans="1:10" hidden="1" x14ac:dyDescent="0.25">
      <c r="A2002" s="362"/>
      <c r="B2002" s="611">
        <v>44183</v>
      </c>
      <c r="C2002" s="362" t="s">
        <v>84</v>
      </c>
      <c r="D2002" s="562">
        <v>170251134</v>
      </c>
      <c r="E2002" s="562">
        <v>15641413</v>
      </c>
      <c r="F2002" s="562">
        <v>185892100</v>
      </c>
      <c r="G2002" s="562">
        <f t="shared" si="37"/>
        <v>447</v>
      </c>
      <c r="H2002" s="362"/>
      <c r="I2002" s="362"/>
      <c r="J2002" s="362"/>
    </row>
    <row r="2003" spans="1:10" hidden="1" x14ac:dyDescent="0.25">
      <c r="A2003" s="362"/>
      <c r="B2003" s="611">
        <v>44183</v>
      </c>
      <c r="C2003" s="362" t="s">
        <v>4751</v>
      </c>
      <c r="D2003" s="562">
        <v>155374189</v>
      </c>
      <c r="E2003" s="562">
        <v>14319711</v>
      </c>
      <c r="F2003" s="562">
        <v>169693900</v>
      </c>
      <c r="G2003" s="562">
        <f t="shared" si="37"/>
        <v>0</v>
      </c>
      <c r="H2003" s="362"/>
      <c r="I2003" s="362"/>
      <c r="J2003" s="362"/>
    </row>
    <row r="2004" spans="1:10" hidden="1" x14ac:dyDescent="0.25">
      <c r="A2004" s="362"/>
      <c r="B2004" s="611">
        <v>44183</v>
      </c>
      <c r="C2004" s="362" t="s">
        <v>166</v>
      </c>
      <c r="D2004" s="562">
        <v>49963178</v>
      </c>
      <c r="E2004" s="562"/>
      <c r="F2004" s="562">
        <v>49963200</v>
      </c>
      <c r="G2004" s="562">
        <f t="shared" si="37"/>
        <v>-22</v>
      </c>
      <c r="H2004" s="362"/>
      <c r="I2004" s="362"/>
      <c r="J2004" s="362"/>
    </row>
    <row r="2005" spans="1:10" hidden="1" x14ac:dyDescent="0.25">
      <c r="A2005" s="362"/>
      <c r="B2005" s="611">
        <v>44183</v>
      </c>
      <c r="C2005" s="362" t="s">
        <v>3435</v>
      </c>
      <c r="D2005" s="562">
        <v>43607529</v>
      </c>
      <c r="E2005" s="562"/>
      <c r="F2005" s="562">
        <v>43607600</v>
      </c>
      <c r="G2005" s="562">
        <f t="shared" si="37"/>
        <v>-71</v>
      </c>
      <c r="H2005" s="362"/>
      <c r="I2005" s="362"/>
      <c r="J2005" s="362"/>
    </row>
    <row r="2006" spans="1:10" hidden="1" x14ac:dyDescent="0.25">
      <c r="A2006" s="362"/>
      <c r="B2006" s="611">
        <v>44183</v>
      </c>
      <c r="C2006" s="362" t="s">
        <v>85</v>
      </c>
      <c r="D2006" s="562">
        <v>29182300</v>
      </c>
      <c r="E2006" s="562"/>
      <c r="F2006" s="562">
        <v>29182300</v>
      </c>
      <c r="G2006" s="562">
        <f t="shared" si="37"/>
        <v>0</v>
      </c>
      <c r="H2006" s="362"/>
      <c r="I2006" s="362"/>
      <c r="J2006" s="362"/>
    </row>
    <row r="2007" spans="1:10" hidden="1" x14ac:dyDescent="0.25">
      <c r="A2007" s="532"/>
      <c r="B2007" s="532"/>
      <c r="C2007" s="532"/>
      <c r="D2007" s="564"/>
      <c r="E2007" s="564"/>
      <c r="F2007" s="564"/>
      <c r="G2007" s="564">
        <f t="shared" si="37"/>
        <v>0</v>
      </c>
      <c r="H2007" s="532"/>
      <c r="I2007" s="532"/>
      <c r="J2007" s="532"/>
    </row>
    <row r="2008" spans="1:10" hidden="1" x14ac:dyDescent="0.25">
      <c r="A2008" s="362"/>
      <c r="B2008" s="611">
        <v>44184</v>
      </c>
      <c r="C2008" s="362" t="s">
        <v>86</v>
      </c>
      <c r="D2008" s="562">
        <v>63363244</v>
      </c>
      <c r="E2008" s="562">
        <v>62145580</v>
      </c>
      <c r="F2008" s="562">
        <v>125508800</v>
      </c>
      <c r="G2008" s="562">
        <f t="shared" si="37"/>
        <v>24</v>
      </c>
      <c r="H2008" s="362"/>
      <c r="I2008" s="362"/>
      <c r="J2008" s="362"/>
    </row>
    <row r="2009" spans="1:10" hidden="1" x14ac:dyDescent="0.25">
      <c r="A2009" s="362"/>
      <c r="B2009" s="611">
        <v>44184</v>
      </c>
      <c r="C2009" s="362" t="s">
        <v>87</v>
      </c>
      <c r="D2009" s="562">
        <v>70704071</v>
      </c>
      <c r="E2009" s="562">
        <v>61757547</v>
      </c>
      <c r="F2009" s="562">
        <v>132461700</v>
      </c>
      <c r="G2009" s="562">
        <f t="shared" si="37"/>
        <v>-82</v>
      </c>
      <c r="H2009" s="362"/>
      <c r="I2009" s="362"/>
      <c r="J2009" s="362"/>
    </row>
    <row r="2010" spans="1:10" hidden="1" x14ac:dyDescent="0.25">
      <c r="A2010" s="362"/>
      <c r="B2010" s="611">
        <v>44184</v>
      </c>
      <c r="C2010" s="362" t="s">
        <v>88</v>
      </c>
      <c r="D2010" s="562">
        <v>119689050</v>
      </c>
      <c r="E2010" s="562">
        <v>17691757</v>
      </c>
      <c r="F2010" s="562">
        <v>137380600</v>
      </c>
      <c r="G2010" s="562">
        <f t="shared" si="37"/>
        <v>207</v>
      </c>
      <c r="H2010" s="362"/>
      <c r="I2010" s="362"/>
      <c r="J2010" s="362"/>
    </row>
    <row r="2011" spans="1:10" hidden="1" x14ac:dyDescent="0.25">
      <c r="A2011" s="362"/>
      <c r="B2011" s="611">
        <v>44184</v>
      </c>
      <c r="C2011" s="362" t="s">
        <v>82</v>
      </c>
      <c r="D2011" s="562">
        <v>218240757</v>
      </c>
      <c r="E2011" s="562">
        <v>4774000</v>
      </c>
      <c r="F2011" s="562">
        <v>223014800</v>
      </c>
      <c r="G2011" s="562">
        <f t="shared" si="37"/>
        <v>-43</v>
      </c>
      <c r="H2011" s="362"/>
      <c r="I2011" s="362"/>
      <c r="J2011" s="362"/>
    </row>
    <row r="2012" spans="1:10" hidden="1" x14ac:dyDescent="0.25">
      <c r="A2012" s="362"/>
      <c r="B2012" s="611">
        <v>44184</v>
      </c>
      <c r="C2012" s="362" t="s">
        <v>80</v>
      </c>
      <c r="D2012" s="562">
        <v>203707700</v>
      </c>
      <c r="E2012" s="562">
        <v>5121000</v>
      </c>
      <c r="F2012" s="562">
        <v>208828700</v>
      </c>
      <c r="G2012" s="562">
        <f t="shared" si="37"/>
        <v>0</v>
      </c>
      <c r="H2012" s="362"/>
      <c r="I2012" s="362"/>
      <c r="J2012" s="362"/>
    </row>
    <row r="2013" spans="1:10" hidden="1" x14ac:dyDescent="0.25">
      <c r="A2013" s="362"/>
      <c r="B2013" s="611">
        <v>44184</v>
      </c>
      <c r="C2013" s="362" t="s">
        <v>83</v>
      </c>
      <c r="D2013" s="562">
        <v>182473078</v>
      </c>
      <c r="E2013" s="562">
        <v>17486437</v>
      </c>
      <c r="F2013" s="562">
        <v>199959600</v>
      </c>
      <c r="G2013" s="562">
        <f t="shared" si="37"/>
        <v>-85</v>
      </c>
      <c r="H2013" s="362"/>
      <c r="I2013" s="362"/>
      <c r="J2013" s="362"/>
    </row>
    <row r="2014" spans="1:10" hidden="1" x14ac:dyDescent="0.25">
      <c r="A2014" s="362"/>
      <c r="B2014" s="611">
        <v>44184</v>
      </c>
      <c r="C2014" s="362" t="s">
        <v>78</v>
      </c>
      <c r="D2014" s="562">
        <v>114309831</v>
      </c>
      <c r="E2014" s="562">
        <v>2591569</v>
      </c>
      <c r="F2014" s="562">
        <v>116901400</v>
      </c>
      <c r="G2014" s="562">
        <f t="shared" si="37"/>
        <v>0</v>
      </c>
      <c r="H2014" s="362"/>
      <c r="I2014" s="362"/>
      <c r="J2014" s="362"/>
    </row>
    <row r="2015" spans="1:10" hidden="1" x14ac:dyDescent="0.25">
      <c r="A2015" s="362"/>
      <c r="B2015" s="611">
        <v>44184</v>
      </c>
      <c r="C2015" s="362" t="s">
        <v>141</v>
      </c>
      <c r="D2015" s="562">
        <v>31213311</v>
      </c>
      <c r="E2015" s="562">
        <v>3018270</v>
      </c>
      <c r="F2015" s="562">
        <v>34231600</v>
      </c>
      <c r="G2015" s="562">
        <f t="shared" si="37"/>
        <v>-19</v>
      </c>
      <c r="H2015" s="362"/>
      <c r="I2015" s="362"/>
      <c r="J2015" s="362"/>
    </row>
    <row r="2016" spans="1:10" hidden="1" x14ac:dyDescent="0.25">
      <c r="A2016" s="362"/>
      <c r="B2016" s="611">
        <v>44184</v>
      </c>
      <c r="C2016" s="362" t="s">
        <v>89</v>
      </c>
      <c r="D2016" s="562">
        <v>86429213</v>
      </c>
      <c r="E2016" s="562">
        <v>110625787</v>
      </c>
      <c r="F2016" s="562">
        <v>197055000</v>
      </c>
      <c r="G2016" s="562">
        <f t="shared" si="37"/>
        <v>0</v>
      </c>
      <c r="H2016" s="362"/>
      <c r="I2016" s="362"/>
      <c r="J2016" s="362"/>
    </row>
    <row r="2017" spans="1:10" hidden="1" x14ac:dyDescent="0.25">
      <c r="A2017" s="362"/>
      <c r="B2017" s="611">
        <v>44184</v>
      </c>
      <c r="C2017" s="362" t="s">
        <v>81</v>
      </c>
      <c r="D2017" s="562">
        <v>98397111</v>
      </c>
      <c r="E2017" s="562">
        <v>22371954</v>
      </c>
      <c r="F2017" s="562">
        <f>76200920+44568180</f>
        <v>120769100</v>
      </c>
      <c r="G2017" s="562">
        <f t="shared" si="37"/>
        <v>-35</v>
      </c>
      <c r="H2017" s="362"/>
      <c r="I2017" s="362"/>
      <c r="J2017" s="362"/>
    </row>
    <row r="2018" spans="1:10" hidden="1" x14ac:dyDescent="0.25">
      <c r="A2018" s="362"/>
      <c r="B2018" s="611">
        <v>44184</v>
      </c>
      <c r="C2018" s="362" t="s">
        <v>84</v>
      </c>
      <c r="D2018" s="562">
        <v>120317905</v>
      </c>
      <c r="E2018" s="562">
        <v>11577403</v>
      </c>
      <c r="F2018" s="562">
        <v>131895300</v>
      </c>
      <c r="G2018" s="562">
        <f t="shared" si="37"/>
        <v>8</v>
      </c>
      <c r="H2018" s="362"/>
      <c r="I2018" s="362"/>
      <c r="J2018" s="362"/>
    </row>
    <row r="2019" spans="1:10" hidden="1" x14ac:dyDescent="0.25">
      <c r="A2019" s="362"/>
      <c r="B2019" s="611">
        <v>44184</v>
      </c>
      <c r="C2019" s="362" t="s">
        <v>4751</v>
      </c>
      <c r="D2019" s="562">
        <v>233898043</v>
      </c>
      <c r="E2019" s="562">
        <v>11080657</v>
      </c>
      <c r="F2019" s="562">
        <v>244978700</v>
      </c>
      <c r="G2019" s="562">
        <f t="shared" si="37"/>
        <v>0</v>
      </c>
      <c r="H2019" s="362"/>
      <c r="I2019" s="362"/>
      <c r="J2019" s="362"/>
    </row>
    <row r="2020" spans="1:10" hidden="1" x14ac:dyDescent="0.25">
      <c r="A2020" s="362"/>
      <c r="B2020" s="611">
        <v>44184</v>
      </c>
      <c r="C2020" s="362" t="s">
        <v>166</v>
      </c>
      <c r="D2020" s="562"/>
      <c r="E2020" s="562"/>
      <c r="F2020" s="562"/>
      <c r="G2020" s="562">
        <f t="shared" si="37"/>
        <v>0</v>
      </c>
      <c r="H2020" s="362"/>
      <c r="I2020" s="362"/>
      <c r="J2020" s="362"/>
    </row>
    <row r="2021" spans="1:10" hidden="1" x14ac:dyDescent="0.25">
      <c r="A2021" s="362"/>
      <c r="B2021" s="611">
        <v>44184</v>
      </c>
      <c r="C2021" s="362" t="s">
        <v>3435</v>
      </c>
      <c r="D2021" s="562"/>
      <c r="E2021" s="562"/>
      <c r="F2021" s="562"/>
      <c r="G2021" s="562">
        <f t="shared" si="37"/>
        <v>0</v>
      </c>
      <c r="H2021" s="362"/>
      <c r="I2021" s="362"/>
      <c r="J2021" s="362"/>
    </row>
    <row r="2022" spans="1:10" hidden="1" x14ac:dyDescent="0.25">
      <c r="A2022" s="362"/>
      <c r="B2022" s="611">
        <v>44184</v>
      </c>
      <c r="C2022" s="362" t="s">
        <v>85</v>
      </c>
      <c r="D2022" s="562">
        <v>19113200</v>
      </c>
      <c r="E2022" s="562"/>
      <c r="F2022" s="562">
        <v>19113200</v>
      </c>
      <c r="G2022" s="562">
        <f t="shared" si="37"/>
        <v>0</v>
      </c>
      <c r="H2022" s="362"/>
      <c r="I2022" s="362"/>
      <c r="J2022" s="362"/>
    </row>
    <row r="2023" spans="1:10" hidden="1" x14ac:dyDescent="0.25">
      <c r="A2023" s="532"/>
      <c r="B2023" s="532"/>
      <c r="C2023" s="532"/>
      <c r="D2023" s="564"/>
      <c r="E2023" s="564"/>
      <c r="F2023" s="564"/>
      <c r="G2023" s="564">
        <f t="shared" si="37"/>
        <v>0</v>
      </c>
      <c r="H2023" s="532"/>
      <c r="I2023" s="532"/>
      <c r="J2023" s="532"/>
    </row>
    <row r="2024" spans="1:10" hidden="1" x14ac:dyDescent="0.25">
      <c r="A2024" s="362"/>
      <c r="B2024" s="611">
        <v>44186</v>
      </c>
      <c r="C2024" s="362" t="s">
        <v>86</v>
      </c>
      <c r="D2024" s="562">
        <v>55057937</v>
      </c>
      <c r="E2024" s="562">
        <v>19516903</v>
      </c>
      <c r="F2024" s="562">
        <v>74574900</v>
      </c>
      <c r="G2024" s="562">
        <f t="shared" si="37"/>
        <v>-60</v>
      </c>
      <c r="H2024" s="362"/>
      <c r="I2024" s="362"/>
      <c r="J2024" s="362"/>
    </row>
    <row r="2025" spans="1:10" hidden="1" x14ac:dyDescent="0.25">
      <c r="A2025" s="362"/>
      <c r="B2025" s="611">
        <v>44186</v>
      </c>
      <c r="C2025" s="362" t="s">
        <v>87</v>
      </c>
      <c r="D2025" s="562">
        <v>121067437</v>
      </c>
      <c r="E2025" s="562">
        <v>210690886</v>
      </c>
      <c r="F2025" s="562">
        <v>331758000</v>
      </c>
      <c r="G2025" s="562">
        <f t="shared" ref="G2025:G2088" si="38">D2025+E2025-F2025</f>
        <v>323</v>
      </c>
      <c r="H2025" s="362"/>
      <c r="I2025" s="362"/>
      <c r="J2025" s="362"/>
    </row>
    <row r="2026" spans="1:10" hidden="1" x14ac:dyDescent="0.25">
      <c r="A2026" s="362"/>
      <c r="B2026" s="611">
        <v>44186</v>
      </c>
      <c r="C2026" s="362" t="s">
        <v>88</v>
      </c>
      <c r="D2026" s="562">
        <v>262948899</v>
      </c>
      <c r="E2026" s="562">
        <v>64500426</v>
      </c>
      <c r="F2026" s="562">
        <v>327449800</v>
      </c>
      <c r="G2026" s="562">
        <f t="shared" si="38"/>
        <v>-475</v>
      </c>
      <c r="H2026" s="362"/>
      <c r="I2026" s="362"/>
      <c r="J2026" s="362"/>
    </row>
    <row r="2027" spans="1:10" hidden="1" x14ac:dyDescent="0.25">
      <c r="A2027" s="362"/>
      <c r="B2027" s="611">
        <v>44186</v>
      </c>
      <c r="C2027" s="362" t="s">
        <v>82</v>
      </c>
      <c r="D2027" s="562">
        <v>49387333</v>
      </c>
      <c r="E2027" s="562">
        <v>12200966</v>
      </c>
      <c r="F2027" s="562">
        <v>61588300</v>
      </c>
      <c r="G2027" s="562">
        <f t="shared" si="38"/>
        <v>-1</v>
      </c>
      <c r="H2027" s="362"/>
      <c r="I2027" s="362"/>
      <c r="J2027" s="362"/>
    </row>
    <row r="2028" spans="1:10" hidden="1" x14ac:dyDescent="0.25">
      <c r="A2028" s="362"/>
      <c r="B2028" s="611">
        <v>44186</v>
      </c>
      <c r="C2028" s="362" t="s">
        <v>80</v>
      </c>
      <c r="D2028" s="562">
        <v>178431459</v>
      </c>
      <c r="E2028" s="562"/>
      <c r="F2028" s="562">
        <v>178431500</v>
      </c>
      <c r="G2028" s="562">
        <f t="shared" si="38"/>
        <v>-41</v>
      </c>
      <c r="H2028" s="362"/>
      <c r="I2028" s="362"/>
      <c r="J2028" s="362"/>
    </row>
    <row r="2029" spans="1:10" hidden="1" x14ac:dyDescent="0.25">
      <c r="A2029" s="362"/>
      <c r="B2029" s="611">
        <v>44186</v>
      </c>
      <c r="C2029" s="362" t="s">
        <v>83</v>
      </c>
      <c r="D2029" s="562">
        <v>300868701</v>
      </c>
      <c r="E2029" s="562">
        <v>112501301</v>
      </c>
      <c r="F2029" s="562">
        <v>413370000</v>
      </c>
      <c r="G2029" s="562">
        <f t="shared" si="38"/>
        <v>2</v>
      </c>
      <c r="H2029" s="362"/>
      <c r="I2029" s="362"/>
      <c r="J2029" s="362"/>
    </row>
    <row r="2030" spans="1:10" hidden="1" x14ac:dyDescent="0.25">
      <c r="A2030" s="362"/>
      <c r="B2030" s="611">
        <v>44186</v>
      </c>
      <c r="C2030" s="362" t="s">
        <v>78</v>
      </c>
      <c r="D2030" s="562">
        <v>95447954</v>
      </c>
      <c r="E2030" s="562">
        <v>822146</v>
      </c>
      <c r="F2030" s="562">
        <v>96270100</v>
      </c>
      <c r="G2030" s="562">
        <f t="shared" si="38"/>
        <v>0</v>
      </c>
      <c r="H2030" s="362"/>
      <c r="I2030" s="362"/>
      <c r="J2030" s="362"/>
    </row>
    <row r="2031" spans="1:10" hidden="1" x14ac:dyDescent="0.25">
      <c r="A2031" s="362"/>
      <c r="B2031" s="611">
        <v>44186</v>
      </c>
      <c r="C2031" s="362" t="s">
        <v>141</v>
      </c>
      <c r="D2031" s="562">
        <v>73446355</v>
      </c>
      <c r="E2031" s="562">
        <v>1880699</v>
      </c>
      <c r="F2031" s="562">
        <v>75327100</v>
      </c>
      <c r="G2031" s="562">
        <f t="shared" si="38"/>
        <v>-46</v>
      </c>
      <c r="H2031" s="362"/>
      <c r="I2031" s="362"/>
      <c r="J2031" s="362"/>
    </row>
    <row r="2032" spans="1:10" hidden="1" x14ac:dyDescent="0.25">
      <c r="A2032" s="362"/>
      <c r="B2032" s="611">
        <v>44186</v>
      </c>
      <c r="C2032" s="362" t="s">
        <v>89</v>
      </c>
      <c r="D2032" s="562">
        <v>161558130</v>
      </c>
      <c r="E2032" s="562">
        <v>16522070</v>
      </c>
      <c r="F2032" s="562">
        <v>178080200</v>
      </c>
      <c r="G2032" s="562">
        <f t="shared" si="38"/>
        <v>0</v>
      </c>
      <c r="H2032" s="362"/>
      <c r="I2032" s="362"/>
      <c r="J2032" s="362"/>
    </row>
    <row r="2033" spans="1:10" hidden="1" x14ac:dyDescent="0.25">
      <c r="A2033" s="362"/>
      <c r="B2033" s="611">
        <v>44186</v>
      </c>
      <c r="C2033" s="362" t="s">
        <v>81</v>
      </c>
      <c r="D2033" s="562">
        <v>40517001</v>
      </c>
      <c r="E2033" s="562">
        <v>10429038</v>
      </c>
      <c r="F2033" s="562">
        <v>50946100</v>
      </c>
      <c r="G2033" s="562">
        <f t="shared" si="38"/>
        <v>-61</v>
      </c>
      <c r="H2033" s="362"/>
      <c r="I2033" s="362"/>
      <c r="J2033" s="362"/>
    </row>
    <row r="2034" spans="1:10" hidden="1" x14ac:dyDescent="0.25">
      <c r="A2034" s="362"/>
      <c r="B2034" s="611">
        <v>44186</v>
      </c>
      <c r="C2034" s="362" t="s">
        <v>84</v>
      </c>
      <c r="D2034" s="562">
        <v>256852131</v>
      </c>
      <c r="E2034" s="562">
        <v>7842600</v>
      </c>
      <c r="F2034" s="562">
        <v>264694800</v>
      </c>
      <c r="G2034" s="562">
        <f t="shared" si="38"/>
        <v>-69</v>
      </c>
      <c r="H2034" s="362"/>
      <c r="I2034" s="362"/>
      <c r="J2034" s="362"/>
    </row>
    <row r="2035" spans="1:10" hidden="1" x14ac:dyDescent="0.25">
      <c r="A2035" s="362"/>
      <c r="B2035" s="611">
        <v>44186</v>
      </c>
      <c r="C2035" s="362" t="s">
        <v>4751</v>
      </c>
      <c r="D2035" s="562">
        <v>213416892</v>
      </c>
      <c r="E2035" s="562">
        <v>18883808</v>
      </c>
      <c r="F2035" s="562">
        <v>232300700</v>
      </c>
      <c r="G2035" s="562">
        <f t="shared" si="38"/>
        <v>0</v>
      </c>
      <c r="H2035" s="362"/>
      <c r="I2035" s="362"/>
      <c r="J2035" s="362"/>
    </row>
    <row r="2036" spans="1:10" hidden="1" x14ac:dyDescent="0.25">
      <c r="A2036" s="362"/>
      <c r="B2036" s="611">
        <v>44186</v>
      </c>
      <c r="C2036" s="362" t="s">
        <v>166</v>
      </c>
      <c r="D2036" s="562">
        <v>57966477</v>
      </c>
      <c r="E2036" s="362"/>
      <c r="F2036" s="562">
        <v>57966500</v>
      </c>
      <c r="G2036" s="562">
        <f t="shared" si="38"/>
        <v>-23</v>
      </c>
      <c r="H2036" s="362"/>
      <c r="I2036" s="362"/>
      <c r="J2036" s="362"/>
    </row>
    <row r="2037" spans="1:10" hidden="1" x14ac:dyDescent="0.25">
      <c r="A2037" s="362"/>
      <c r="B2037" s="611">
        <v>44186</v>
      </c>
      <c r="C2037" s="362" t="s">
        <v>3435</v>
      </c>
      <c r="D2037" s="562">
        <v>38910148</v>
      </c>
      <c r="E2037" s="362"/>
      <c r="F2037" s="562">
        <v>38910200</v>
      </c>
      <c r="G2037" s="562">
        <f t="shared" si="38"/>
        <v>-52</v>
      </c>
      <c r="H2037" s="362"/>
      <c r="I2037" s="362"/>
      <c r="J2037" s="362"/>
    </row>
    <row r="2038" spans="1:10" hidden="1" x14ac:dyDescent="0.25">
      <c r="A2038" s="362"/>
      <c r="B2038" s="611">
        <v>44186</v>
      </c>
      <c r="C2038" s="362" t="s">
        <v>85</v>
      </c>
      <c r="D2038" s="562">
        <v>43415700</v>
      </c>
      <c r="E2038" s="562"/>
      <c r="F2038" s="562">
        <v>43415700</v>
      </c>
      <c r="G2038" s="562">
        <f t="shared" si="38"/>
        <v>0</v>
      </c>
      <c r="H2038" s="362"/>
      <c r="I2038" s="362"/>
      <c r="J2038" s="362"/>
    </row>
    <row r="2039" spans="1:10" hidden="1" x14ac:dyDescent="0.25">
      <c r="A2039" s="532"/>
      <c r="B2039" s="532"/>
      <c r="C2039" s="532"/>
      <c r="D2039" s="564"/>
      <c r="E2039" s="564"/>
      <c r="F2039" s="532"/>
      <c r="G2039" s="562">
        <f t="shared" si="38"/>
        <v>0</v>
      </c>
      <c r="H2039" s="532"/>
      <c r="I2039" s="532"/>
      <c r="J2039" s="532"/>
    </row>
    <row r="2040" spans="1:10" hidden="1" x14ac:dyDescent="0.25">
      <c r="A2040" s="362"/>
      <c r="B2040" s="611">
        <v>44187</v>
      </c>
      <c r="C2040" s="362" t="s">
        <v>86</v>
      </c>
      <c r="D2040" s="562">
        <v>36998846</v>
      </c>
      <c r="E2040" s="562">
        <v>12993660</v>
      </c>
      <c r="F2040" s="562">
        <v>49992500</v>
      </c>
      <c r="G2040" s="562">
        <f t="shared" si="38"/>
        <v>6</v>
      </c>
      <c r="H2040" s="362"/>
      <c r="I2040" s="362"/>
      <c r="J2040" s="362"/>
    </row>
    <row r="2041" spans="1:10" hidden="1" x14ac:dyDescent="0.25">
      <c r="A2041" s="362"/>
      <c r="B2041" s="611">
        <v>44187</v>
      </c>
      <c r="C2041" s="362" t="s">
        <v>87</v>
      </c>
      <c r="D2041" s="562">
        <v>75438004</v>
      </c>
      <c r="E2041" s="562">
        <v>25785985</v>
      </c>
      <c r="F2041" s="562">
        <v>101224100</v>
      </c>
      <c r="G2041" s="562">
        <f t="shared" si="38"/>
        <v>-111</v>
      </c>
      <c r="H2041" s="362"/>
      <c r="I2041" s="362"/>
      <c r="J2041" s="362"/>
    </row>
    <row r="2042" spans="1:10" hidden="1" x14ac:dyDescent="0.25">
      <c r="A2042" s="362"/>
      <c r="B2042" s="611">
        <v>44187</v>
      </c>
      <c r="C2042" s="362" t="s">
        <v>88</v>
      </c>
      <c r="D2042" s="562">
        <v>299690724</v>
      </c>
      <c r="E2042" s="562">
        <v>30173861</v>
      </c>
      <c r="F2042" s="562">
        <v>329875000</v>
      </c>
      <c r="G2042" s="562">
        <f t="shared" si="38"/>
        <v>-10415</v>
      </c>
      <c r="H2042" s="362"/>
      <c r="I2042" s="362"/>
      <c r="J2042" s="362"/>
    </row>
    <row r="2043" spans="1:10" hidden="1" x14ac:dyDescent="0.25">
      <c r="A2043" s="362"/>
      <c r="B2043" s="611">
        <v>44187</v>
      </c>
      <c r="C2043" s="362" t="s">
        <v>82</v>
      </c>
      <c r="D2043" s="562">
        <v>65549836</v>
      </c>
      <c r="E2043" s="562">
        <v>1333626</v>
      </c>
      <c r="F2043" s="562">
        <v>66883500</v>
      </c>
      <c r="G2043" s="562">
        <f t="shared" si="38"/>
        <v>-38</v>
      </c>
      <c r="H2043" s="362"/>
      <c r="I2043" s="362"/>
      <c r="J2043" s="362"/>
    </row>
    <row r="2044" spans="1:10" hidden="1" x14ac:dyDescent="0.25">
      <c r="A2044" s="362"/>
      <c r="B2044" s="611">
        <v>44187</v>
      </c>
      <c r="C2044" s="362" t="s">
        <v>80</v>
      </c>
      <c r="D2044" s="562">
        <v>233624948</v>
      </c>
      <c r="E2044" s="562">
        <v>10318452</v>
      </c>
      <c r="F2044" s="562">
        <v>243943400</v>
      </c>
      <c r="G2044" s="562">
        <f t="shared" si="38"/>
        <v>0</v>
      </c>
      <c r="H2044" s="362"/>
      <c r="I2044" s="362"/>
      <c r="J2044" s="362"/>
    </row>
    <row r="2045" spans="1:10" hidden="1" x14ac:dyDescent="0.25">
      <c r="A2045" s="362"/>
      <c r="B2045" s="611">
        <v>44187</v>
      </c>
      <c r="C2045" s="362" t="s">
        <v>83</v>
      </c>
      <c r="D2045" s="562">
        <v>274858718</v>
      </c>
      <c r="E2045" s="562">
        <v>12724280</v>
      </c>
      <c r="F2045" s="562">
        <v>287583000</v>
      </c>
      <c r="G2045" s="562">
        <f t="shared" si="38"/>
        <v>-2</v>
      </c>
      <c r="H2045" s="362"/>
      <c r="I2045" s="362"/>
      <c r="J2045" s="362"/>
    </row>
    <row r="2046" spans="1:10" hidden="1" x14ac:dyDescent="0.25">
      <c r="A2046" s="362"/>
      <c r="B2046" s="611">
        <v>44187</v>
      </c>
      <c r="C2046" s="362" t="s">
        <v>78</v>
      </c>
      <c r="D2046" s="562">
        <v>68192734</v>
      </c>
      <c r="E2046" s="562">
        <v>2655066</v>
      </c>
      <c r="F2046" s="562">
        <v>70847800</v>
      </c>
      <c r="G2046" s="562">
        <f t="shared" si="38"/>
        <v>0</v>
      </c>
      <c r="H2046" s="362"/>
      <c r="I2046" s="362"/>
      <c r="J2046" s="362"/>
    </row>
    <row r="2047" spans="1:10" hidden="1" x14ac:dyDescent="0.25">
      <c r="A2047" s="362"/>
      <c r="B2047" s="611">
        <v>44187</v>
      </c>
      <c r="C2047" s="362" t="s">
        <v>141</v>
      </c>
      <c r="D2047" s="562">
        <v>55740174</v>
      </c>
      <c r="E2047" s="562">
        <v>1337800</v>
      </c>
      <c r="F2047" s="562">
        <v>57078000</v>
      </c>
      <c r="G2047" s="562">
        <f t="shared" si="38"/>
        <v>-26</v>
      </c>
      <c r="H2047" s="362"/>
      <c r="I2047" s="362"/>
      <c r="J2047" s="362"/>
    </row>
    <row r="2048" spans="1:10" hidden="1" x14ac:dyDescent="0.25">
      <c r="A2048" s="362"/>
      <c r="B2048" s="611">
        <v>44187</v>
      </c>
      <c r="C2048" s="362" t="s">
        <v>89</v>
      </c>
      <c r="D2048" s="562">
        <v>105546725</v>
      </c>
      <c r="E2048" s="562">
        <v>15187675</v>
      </c>
      <c r="F2048" s="562">
        <v>120734400</v>
      </c>
      <c r="G2048" s="562">
        <f t="shared" si="38"/>
        <v>0</v>
      </c>
      <c r="H2048" s="362"/>
      <c r="I2048" s="362"/>
      <c r="J2048" s="362"/>
    </row>
    <row r="2049" spans="1:10" hidden="1" x14ac:dyDescent="0.25">
      <c r="A2049" s="362"/>
      <c r="B2049" s="611">
        <v>44187</v>
      </c>
      <c r="C2049" s="362" t="s">
        <v>81</v>
      </c>
      <c r="D2049" s="562">
        <v>61683108</v>
      </c>
      <c r="E2049" s="562">
        <v>22478430</v>
      </c>
      <c r="F2049" s="562">
        <f>84161600</f>
        <v>84161600</v>
      </c>
      <c r="G2049" s="562">
        <f t="shared" si="38"/>
        <v>-62</v>
      </c>
      <c r="H2049" s="362"/>
      <c r="I2049" s="362"/>
      <c r="J2049" s="362"/>
    </row>
    <row r="2050" spans="1:10" hidden="1" x14ac:dyDescent="0.25">
      <c r="A2050" s="362"/>
      <c r="B2050" s="611">
        <v>44187</v>
      </c>
      <c r="C2050" s="362" t="s">
        <v>84</v>
      </c>
      <c r="D2050" s="562">
        <v>320711858</v>
      </c>
      <c r="E2050" s="562">
        <v>9670938</v>
      </c>
      <c r="F2050" s="562">
        <v>330383000</v>
      </c>
      <c r="G2050" s="562">
        <f t="shared" si="38"/>
        <v>-204</v>
      </c>
      <c r="H2050" s="362"/>
      <c r="I2050" s="362"/>
      <c r="J2050" s="362"/>
    </row>
    <row r="2051" spans="1:10" hidden="1" x14ac:dyDescent="0.25">
      <c r="A2051" s="362"/>
      <c r="B2051" s="611">
        <v>44187</v>
      </c>
      <c r="C2051" s="362" t="s">
        <v>4751</v>
      </c>
      <c r="D2051" s="562">
        <v>252709086</v>
      </c>
      <c r="E2051" s="562">
        <v>11183114</v>
      </c>
      <c r="F2051" s="562">
        <v>263892200</v>
      </c>
      <c r="G2051" s="562">
        <f t="shared" si="38"/>
        <v>0</v>
      </c>
      <c r="H2051" s="362"/>
      <c r="I2051" s="362"/>
      <c r="J2051" s="362"/>
    </row>
    <row r="2052" spans="1:10" hidden="1" x14ac:dyDescent="0.25">
      <c r="A2052" s="362"/>
      <c r="B2052" s="611">
        <v>44187</v>
      </c>
      <c r="C2052" s="362" t="s">
        <v>166</v>
      </c>
      <c r="D2052" s="562">
        <v>67349332</v>
      </c>
      <c r="E2052" s="562"/>
      <c r="F2052" s="562">
        <v>67349500</v>
      </c>
      <c r="G2052" s="562">
        <f t="shared" si="38"/>
        <v>-168</v>
      </c>
      <c r="H2052" s="362"/>
      <c r="I2052" s="362"/>
      <c r="J2052" s="362"/>
    </row>
    <row r="2053" spans="1:10" hidden="1" x14ac:dyDescent="0.25">
      <c r="A2053" s="362"/>
      <c r="B2053" s="611">
        <v>44187</v>
      </c>
      <c r="C2053" s="362" t="s">
        <v>3435</v>
      </c>
      <c r="D2053" s="562">
        <v>20013210</v>
      </c>
      <c r="E2053" s="562"/>
      <c r="F2053" s="562">
        <v>20013300</v>
      </c>
      <c r="G2053" s="562">
        <f t="shared" si="38"/>
        <v>-90</v>
      </c>
      <c r="H2053" s="362"/>
      <c r="I2053" s="362"/>
      <c r="J2053" s="362"/>
    </row>
    <row r="2054" spans="1:10" hidden="1" x14ac:dyDescent="0.25">
      <c r="A2054" s="362"/>
      <c r="B2054" s="611">
        <v>44187</v>
      </c>
      <c r="C2054" s="362" t="s">
        <v>85</v>
      </c>
      <c r="D2054" s="562">
        <v>26561500</v>
      </c>
      <c r="E2054" s="562"/>
      <c r="F2054" s="562">
        <v>26561500</v>
      </c>
      <c r="G2054" s="562">
        <f t="shared" si="38"/>
        <v>0</v>
      </c>
      <c r="H2054" s="362"/>
      <c r="I2054" s="362"/>
      <c r="J2054" s="362"/>
    </row>
    <row r="2055" spans="1:10" hidden="1" x14ac:dyDescent="0.25">
      <c r="A2055" s="532"/>
      <c r="B2055" s="532"/>
      <c r="C2055" s="532"/>
      <c r="D2055" s="564"/>
      <c r="E2055" s="564"/>
      <c r="F2055" s="564"/>
      <c r="G2055" s="562">
        <f t="shared" si="38"/>
        <v>0</v>
      </c>
      <c r="H2055" s="532"/>
      <c r="I2055" s="532"/>
      <c r="J2055" s="532"/>
    </row>
    <row r="2056" spans="1:10" hidden="1" x14ac:dyDescent="0.25">
      <c r="A2056" s="362"/>
      <c r="B2056" s="611">
        <v>44188</v>
      </c>
      <c r="C2056" s="362" t="s">
        <v>86</v>
      </c>
      <c r="D2056" s="562">
        <v>61718617</v>
      </c>
      <c r="E2056" s="562">
        <v>204128508</v>
      </c>
      <c r="F2056" s="562">
        <v>265847000</v>
      </c>
      <c r="G2056" s="562">
        <f t="shared" si="38"/>
        <v>125</v>
      </c>
      <c r="H2056" s="362"/>
      <c r="I2056" s="362"/>
      <c r="J2056" s="362"/>
    </row>
    <row r="2057" spans="1:10" hidden="1" x14ac:dyDescent="0.25">
      <c r="A2057" s="362"/>
      <c r="B2057" s="611">
        <v>44188</v>
      </c>
      <c r="C2057" s="362" t="s">
        <v>87</v>
      </c>
      <c r="D2057" s="562">
        <v>37327251</v>
      </c>
      <c r="E2057" s="562">
        <v>55951770</v>
      </c>
      <c r="F2057" s="562">
        <v>93279000</v>
      </c>
      <c r="G2057" s="562">
        <f t="shared" si="38"/>
        <v>21</v>
      </c>
      <c r="H2057" s="362"/>
      <c r="I2057" s="362"/>
      <c r="J2057" s="362"/>
    </row>
    <row r="2058" spans="1:10" hidden="1" x14ac:dyDescent="0.25">
      <c r="A2058" s="362"/>
      <c r="B2058" s="611">
        <v>44188</v>
      </c>
      <c r="C2058" s="362" t="s">
        <v>88</v>
      </c>
      <c r="D2058" s="562">
        <v>171185931</v>
      </c>
      <c r="E2058" s="562">
        <v>18132353</v>
      </c>
      <c r="F2058" s="562">
        <v>189318300</v>
      </c>
      <c r="G2058" s="562">
        <f t="shared" si="38"/>
        <v>-16</v>
      </c>
      <c r="H2058" s="362"/>
      <c r="I2058" s="362"/>
      <c r="J2058" s="362"/>
    </row>
    <row r="2059" spans="1:10" hidden="1" x14ac:dyDescent="0.25">
      <c r="A2059" s="362"/>
      <c r="B2059" s="611">
        <v>44188</v>
      </c>
      <c r="C2059" s="362" t="s">
        <v>82</v>
      </c>
      <c r="D2059" s="562">
        <v>247880544</v>
      </c>
      <c r="E2059" s="562"/>
      <c r="F2059" s="562">
        <v>250297600</v>
      </c>
      <c r="G2059" s="562">
        <f t="shared" si="38"/>
        <v>-2417056</v>
      </c>
      <c r="H2059" s="362"/>
      <c r="I2059" s="362"/>
      <c r="J2059" s="362"/>
    </row>
    <row r="2060" spans="1:10" hidden="1" x14ac:dyDescent="0.25">
      <c r="A2060" s="362"/>
      <c r="B2060" s="611">
        <v>44188</v>
      </c>
      <c r="C2060" s="362" t="s">
        <v>80</v>
      </c>
      <c r="D2060" s="562">
        <v>181736230</v>
      </c>
      <c r="E2060" s="562"/>
      <c r="F2060" s="562">
        <v>181727500</v>
      </c>
      <c r="G2060" s="562">
        <f t="shared" si="38"/>
        <v>8730</v>
      </c>
      <c r="H2060" s="362"/>
      <c r="I2060" s="362"/>
      <c r="J2060" s="362"/>
    </row>
    <row r="2061" spans="1:10" hidden="1" x14ac:dyDescent="0.25">
      <c r="A2061" s="362"/>
      <c r="B2061" s="611">
        <v>44188</v>
      </c>
      <c r="C2061" s="362" t="s">
        <v>83</v>
      </c>
      <c r="D2061" s="562">
        <v>103762682</v>
      </c>
      <c r="E2061" s="562">
        <v>21283018</v>
      </c>
      <c r="F2061" s="562">
        <v>125045700</v>
      </c>
      <c r="G2061" s="562">
        <f t="shared" si="38"/>
        <v>0</v>
      </c>
      <c r="H2061" s="362"/>
      <c r="I2061" s="362"/>
      <c r="J2061" s="362"/>
    </row>
    <row r="2062" spans="1:10" hidden="1" x14ac:dyDescent="0.25">
      <c r="A2062" s="362"/>
      <c r="B2062" s="611">
        <v>44188</v>
      </c>
      <c r="C2062" s="362" t="s">
        <v>78</v>
      </c>
      <c r="D2062" s="562">
        <v>69595933</v>
      </c>
      <c r="E2062" s="562">
        <v>1422767</v>
      </c>
      <c r="F2062" s="562">
        <v>71018700</v>
      </c>
      <c r="G2062" s="562">
        <f t="shared" si="38"/>
        <v>0</v>
      </c>
      <c r="H2062" s="362"/>
      <c r="I2062" s="362"/>
      <c r="J2062" s="362"/>
    </row>
    <row r="2063" spans="1:10" hidden="1" x14ac:dyDescent="0.25">
      <c r="A2063" s="362"/>
      <c r="B2063" s="611">
        <v>44188</v>
      </c>
      <c r="C2063" s="362" t="s">
        <v>141</v>
      </c>
      <c r="D2063" s="562">
        <v>85428174</v>
      </c>
      <c r="E2063" s="562">
        <v>2515611</v>
      </c>
      <c r="F2063" s="562">
        <v>87943800</v>
      </c>
      <c r="G2063" s="562">
        <f t="shared" si="38"/>
        <v>-15</v>
      </c>
      <c r="H2063" s="362"/>
      <c r="I2063" s="362"/>
      <c r="J2063" s="362"/>
    </row>
    <row r="2064" spans="1:10" hidden="1" x14ac:dyDescent="0.25">
      <c r="A2064" s="362"/>
      <c r="B2064" s="611">
        <v>44188</v>
      </c>
      <c r="C2064" s="362" t="s">
        <v>89</v>
      </c>
      <c r="D2064" s="562">
        <v>21602649</v>
      </c>
      <c r="E2064" s="562">
        <v>13165151</v>
      </c>
      <c r="F2064" s="562">
        <v>34767800</v>
      </c>
      <c r="G2064" s="562">
        <f t="shared" si="38"/>
        <v>0</v>
      </c>
      <c r="H2064" s="362"/>
      <c r="I2064" s="362"/>
      <c r="J2064" s="362"/>
    </row>
    <row r="2065" spans="1:10" hidden="1" x14ac:dyDescent="0.25">
      <c r="A2065" s="362"/>
      <c r="B2065" s="611">
        <v>44188</v>
      </c>
      <c r="C2065" s="362" t="s">
        <v>81</v>
      </c>
      <c r="D2065" s="562">
        <v>13146795</v>
      </c>
      <c r="E2065" s="562">
        <v>13947700</v>
      </c>
      <c r="F2065" s="562">
        <v>27094500</v>
      </c>
      <c r="G2065" s="562">
        <f t="shared" si="38"/>
        <v>-5</v>
      </c>
      <c r="H2065" s="362"/>
      <c r="I2065" s="362"/>
      <c r="J2065" s="362"/>
    </row>
    <row r="2066" spans="1:10" hidden="1" x14ac:dyDescent="0.25">
      <c r="A2066" s="362"/>
      <c r="B2066" s="611">
        <v>44188</v>
      </c>
      <c r="C2066" s="362" t="s">
        <v>84</v>
      </c>
      <c r="D2066" s="562">
        <v>238428429</v>
      </c>
      <c r="E2066" s="562">
        <v>19544219</v>
      </c>
      <c r="F2066" s="562">
        <v>257972700</v>
      </c>
      <c r="G2066" s="562">
        <f t="shared" si="38"/>
        <v>-52</v>
      </c>
      <c r="H2066" s="362"/>
      <c r="I2066" s="362"/>
      <c r="J2066" s="362"/>
    </row>
    <row r="2067" spans="1:10" hidden="1" x14ac:dyDescent="0.25">
      <c r="A2067" s="362"/>
      <c r="B2067" s="611">
        <v>44188</v>
      </c>
      <c r="C2067" s="362" t="s">
        <v>4751</v>
      </c>
      <c r="D2067" s="562">
        <v>91309375</v>
      </c>
      <c r="E2067" s="562">
        <v>8251625</v>
      </c>
      <c r="F2067" s="562">
        <v>99561000</v>
      </c>
      <c r="G2067" s="562">
        <f t="shared" si="38"/>
        <v>0</v>
      </c>
      <c r="H2067" s="362"/>
      <c r="I2067" s="362"/>
      <c r="J2067" s="362"/>
    </row>
    <row r="2068" spans="1:10" hidden="1" x14ac:dyDescent="0.25">
      <c r="A2068" s="362"/>
      <c r="B2068" s="611">
        <v>44188</v>
      </c>
      <c r="C2068" s="362" t="s">
        <v>166</v>
      </c>
      <c r="D2068" s="562">
        <v>8732337</v>
      </c>
      <c r="E2068" s="562"/>
      <c r="F2068" s="562">
        <v>8732500</v>
      </c>
      <c r="G2068" s="562">
        <f t="shared" si="38"/>
        <v>-163</v>
      </c>
      <c r="H2068" s="362"/>
      <c r="I2068" s="362"/>
      <c r="J2068" s="362"/>
    </row>
    <row r="2069" spans="1:10" hidden="1" x14ac:dyDescent="0.25">
      <c r="A2069" s="362"/>
      <c r="B2069" s="611">
        <v>44188</v>
      </c>
      <c r="C2069" s="362" t="s">
        <v>3435</v>
      </c>
      <c r="D2069" s="562">
        <v>43243974</v>
      </c>
      <c r="E2069" s="562"/>
      <c r="F2069" s="562">
        <v>43244000</v>
      </c>
      <c r="G2069" s="562">
        <f t="shared" si="38"/>
        <v>-26</v>
      </c>
      <c r="H2069" s="362"/>
      <c r="I2069" s="362"/>
      <c r="J2069" s="362"/>
    </row>
    <row r="2070" spans="1:10" hidden="1" x14ac:dyDescent="0.25">
      <c r="A2070" s="362"/>
      <c r="B2070" s="611">
        <v>44188</v>
      </c>
      <c r="C2070" s="362" t="s">
        <v>85</v>
      </c>
      <c r="D2070" s="562">
        <v>3920000</v>
      </c>
      <c r="E2070" s="562"/>
      <c r="F2070" s="562">
        <v>3923000</v>
      </c>
      <c r="G2070" s="562">
        <f t="shared" si="38"/>
        <v>-3000</v>
      </c>
      <c r="H2070" s="362"/>
      <c r="I2070" s="362"/>
      <c r="J2070" s="362"/>
    </row>
    <row r="2071" spans="1:10" hidden="1" x14ac:dyDescent="0.25">
      <c r="A2071" s="532"/>
      <c r="B2071" s="532"/>
      <c r="C2071" s="532"/>
      <c r="D2071" s="564"/>
      <c r="E2071" s="564"/>
      <c r="F2071" s="564"/>
      <c r="G2071" s="562">
        <f t="shared" si="38"/>
        <v>0</v>
      </c>
      <c r="H2071" s="532"/>
      <c r="I2071" s="532"/>
      <c r="J2071" s="532"/>
    </row>
    <row r="2072" spans="1:10" hidden="1" x14ac:dyDescent="0.25">
      <c r="A2072" s="362"/>
      <c r="B2072" s="611">
        <v>44189</v>
      </c>
      <c r="C2072" s="362" t="s">
        <v>86</v>
      </c>
      <c r="D2072" s="562">
        <v>94312899</v>
      </c>
      <c r="E2072" s="562">
        <v>78416709</v>
      </c>
      <c r="F2072" s="562">
        <v>172729600</v>
      </c>
      <c r="G2072" s="562">
        <f t="shared" si="38"/>
        <v>8</v>
      </c>
      <c r="H2072" s="362"/>
      <c r="I2072" s="362"/>
      <c r="J2072" s="362"/>
    </row>
    <row r="2073" spans="1:10" hidden="1" x14ac:dyDescent="0.25">
      <c r="A2073" s="362"/>
      <c r="B2073" s="611">
        <v>44189</v>
      </c>
      <c r="C2073" s="362" t="s">
        <v>87</v>
      </c>
      <c r="D2073" s="562">
        <v>66567882</v>
      </c>
      <c r="E2073" s="562">
        <v>33795422</v>
      </c>
      <c r="F2073" s="562">
        <v>100363400</v>
      </c>
      <c r="G2073" s="562">
        <f t="shared" si="38"/>
        <v>-96</v>
      </c>
      <c r="H2073" s="362"/>
      <c r="I2073" s="362"/>
      <c r="J2073" s="362"/>
    </row>
    <row r="2074" spans="1:10" hidden="1" x14ac:dyDescent="0.25">
      <c r="A2074" s="362"/>
      <c r="B2074" s="611">
        <v>44189</v>
      </c>
      <c r="C2074" s="362" t="s">
        <v>88</v>
      </c>
      <c r="D2074" s="562">
        <v>493246433</v>
      </c>
      <c r="E2074" s="562">
        <v>57412396</v>
      </c>
      <c r="F2074" s="562">
        <v>550658900</v>
      </c>
      <c r="G2074" s="562">
        <f t="shared" si="38"/>
        <v>-71</v>
      </c>
      <c r="H2074" s="362"/>
      <c r="I2074" s="362"/>
      <c r="J2074" s="362"/>
    </row>
    <row r="2075" spans="1:10" hidden="1" x14ac:dyDescent="0.25">
      <c r="A2075" s="362"/>
      <c r="B2075" s="611">
        <v>44189</v>
      </c>
      <c r="C2075" s="362" t="s">
        <v>82</v>
      </c>
      <c r="D2075" s="562">
        <v>77551844</v>
      </c>
      <c r="E2075" s="562">
        <v>264700</v>
      </c>
      <c r="F2075" s="562">
        <v>77816600</v>
      </c>
      <c r="G2075" s="562">
        <f t="shared" si="38"/>
        <v>-56</v>
      </c>
      <c r="H2075" s="362"/>
      <c r="I2075" s="362"/>
      <c r="J2075" s="362"/>
    </row>
    <row r="2076" spans="1:10" hidden="1" x14ac:dyDescent="0.25">
      <c r="A2076" s="362"/>
      <c r="B2076" s="611">
        <v>44189</v>
      </c>
      <c r="C2076" s="362" t="s">
        <v>80</v>
      </c>
      <c r="D2076" s="562">
        <v>260815523</v>
      </c>
      <c r="E2076" s="562">
        <v>38485177</v>
      </c>
      <c r="F2076" s="562">
        <v>299300700</v>
      </c>
      <c r="G2076" s="562">
        <f t="shared" si="38"/>
        <v>0</v>
      </c>
      <c r="H2076" s="362"/>
      <c r="I2076" s="362"/>
      <c r="J2076" s="362"/>
    </row>
    <row r="2077" spans="1:10" hidden="1" x14ac:dyDescent="0.25">
      <c r="A2077" s="362"/>
      <c r="B2077" s="611">
        <v>44189</v>
      </c>
      <c r="C2077" s="362" t="s">
        <v>83</v>
      </c>
      <c r="D2077" s="562">
        <v>191188274</v>
      </c>
      <c r="E2077" s="562">
        <v>256388240</v>
      </c>
      <c r="F2077" s="562">
        <v>447576600</v>
      </c>
      <c r="G2077" s="562">
        <f t="shared" si="38"/>
        <v>-86</v>
      </c>
      <c r="H2077" s="362"/>
      <c r="I2077" s="362"/>
      <c r="J2077" s="362"/>
    </row>
    <row r="2078" spans="1:10" hidden="1" x14ac:dyDescent="0.25">
      <c r="A2078" s="362"/>
      <c r="B2078" s="611">
        <v>44189</v>
      </c>
      <c r="C2078" s="362" t="s">
        <v>78</v>
      </c>
      <c r="D2078" s="562">
        <v>84839119</v>
      </c>
      <c r="E2078" s="562">
        <v>68381</v>
      </c>
      <c r="F2078" s="562">
        <v>84907500</v>
      </c>
      <c r="G2078" s="562">
        <f t="shared" si="38"/>
        <v>0</v>
      </c>
      <c r="H2078" s="362"/>
      <c r="I2078" s="362"/>
      <c r="J2078" s="362"/>
    </row>
    <row r="2079" spans="1:10" hidden="1" x14ac:dyDescent="0.25">
      <c r="A2079" s="362"/>
      <c r="B2079" s="611">
        <v>44189</v>
      </c>
      <c r="C2079" s="362" t="s">
        <v>141</v>
      </c>
      <c r="D2079" s="562">
        <v>101935650</v>
      </c>
      <c r="E2079" s="562">
        <v>637577</v>
      </c>
      <c r="F2079" s="562">
        <v>102573300</v>
      </c>
      <c r="G2079" s="562">
        <f t="shared" si="38"/>
        <v>-73</v>
      </c>
      <c r="H2079" s="362"/>
      <c r="I2079" s="362"/>
      <c r="J2079" s="362"/>
    </row>
    <row r="2080" spans="1:10" hidden="1" x14ac:dyDescent="0.25">
      <c r="A2080" s="362"/>
      <c r="B2080" s="611">
        <v>44189</v>
      </c>
      <c r="C2080" s="362" t="s">
        <v>89</v>
      </c>
      <c r="D2080" s="562">
        <v>133161811</v>
      </c>
      <c r="E2080" s="562">
        <v>3246189</v>
      </c>
      <c r="F2080" s="562">
        <v>136408000</v>
      </c>
      <c r="G2080" s="562">
        <f t="shared" si="38"/>
        <v>0</v>
      </c>
      <c r="H2080" s="362"/>
      <c r="I2080" s="362"/>
      <c r="J2080" s="362"/>
    </row>
    <row r="2081" spans="1:10" hidden="1" x14ac:dyDescent="0.25">
      <c r="A2081" s="362"/>
      <c r="B2081" s="611">
        <v>44189</v>
      </c>
      <c r="C2081" s="362" t="s">
        <v>81</v>
      </c>
      <c r="D2081" s="562">
        <v>101023408</v>
      </c>
      <c r="E2081" s="562">
        <v>30420121</v>
      </c>
      <c r="F2081" s="562">
        <v>131443600</v>
      </c>
      <c r="G2081" s="562">
        <f t="shared" si="38"/>
        <v>-71</v>
      </c>
      <c r="H2081" s="362"/>
      <c r="I2081" s="362"/>
      <c r="J2081" s="362"/>
    </row>
    <row r="2082" spans="1:10" hidden="1" x14ac:dyDescent="0.25">
      <c r="A2082" s="362"/>
      <c r="B2082" s="611">
        <v>44189</v>
      </c>
      <c r="C2082" s="362" t="s">
        <v>84</v>
      </c>
      <c r="D2082" s="562">
        <v>248609023</v>
      </c>
      <c r="E2082" s="562">
        <v>28284183</v>
      </c>
      <c r="F2082" s="562">
        <v>276893200</v>
      </c>
      <c r="G2082" s="562">
        <f t="shared" si="38"/>
        <v>6</v>
      </c>
      <c r="H2082" s="362"/>
      <c r="I2082" s="362"/>
      <c r="J2082" s="362"/>
    </row>
    <row r="2083" spans="1:10" hidden="1" x14ac:dyDescent="0.25">
      <c r="A2083" s="362"/>
      <c r="B2083" s="611">
        <v>44189</v>
      </c>
      <c r="C2083" s="362" t="s">
        <v>4751</v>
      </c>
      <c r="D2083" s="562">
        <v>168240994</v>
      </c>
      <c r="E2083" s="562">
        <v>138719906</v>
      </c>
      <c r="F2083" s="562">
        <v>306960900</v>
      </c>
      <c r="G2083" s="562">
        <f t="shared" si="38"/>
        <v>0</v>
      </c>
      <c r="H2083" s="362"/>
      <c r="I2083" s="362"/>
      <c r="J2083" s="362"/>
    </row>
    <row r="2084" spans="1:10" hidden="1" x14ac:dyDescent="0.25">
      <c r="A2084" s="362"/>
      <c r="B2084" s="611">
        <v>44189</v>
      </c>
      <c r="C2084" s="362" t="s">
        <v>166</v>
      </c>
      <c r="D2084" s="562">
        <v>73581211</v>
      </c>
      <c r="E2084" s="562"/>
      <c r="F2084" s="562">
        <v>73581500</v>
      </c>
      <c r="G2084" s="562">
        <f t="shared" si="38"/>
        <v>-289</v>
      </c>
      <c r="H2084" s="362"/>
      <c r="I2084" s="362"/>
      <c r="J2084" s="362"/>
    </row>
    <row r="2085" spans="1:10" hidden="1" x14ac:dyDescent="0.25">
      <c r="A2085" s="362"/>
      <c r="B2085" s="611">
        <v>44189</v>
      </c>
      <c r="C2085" s="362" t="s">
        <v>3435</v>
      </c>
      <c r="D2085" s="562">
        <v>38836925</v>
      </c>
      <c r="E2085" s="562"/>
      <c r="F2085" s="562">
        <v>38837000</v>
      </c>
      <c r="G2085" s="562">
        <f t="shared" si="38"/>
        <v>-75</v>
      </c>
      <c r="H2085" s="362"/>
      <c r="I2085" s="362"/>
      <c r="J2085" s="362"/>
    </row>
    <row r="2086" spans="1:10" hidden="1" x14ac:dyDescent="0.25">
      <c r="A2086" s="362"/>
      <c r="B2086" s="611">
        <v>44189</v>
      </c>
      <c r="C2086" s="362" t="s">
        <v>85</v>
      </c>
      <c r="D2086" s="562">
        <v>23566400</v>
      </c>
      <c r="E2086" s="562"/>
      <c r="F2086" s="562">
        <v>23566400</v>
      </c>
      <c r="G2086" s="562">
        <f t="shared" si="38"/>
        <v>0</v>
      </c>
      <c r="H2086" s="362"/>
      <c r="I2086" s="362"/>
      <c r="J2086" s="362"/>
    </row>
    <row r="2087" spans="1:10" hidden="1" x14ac:dyDescent="0.25">
      <c r="A2087" s="532"/>
      <c r="B2087" s="532"/>
      <c r="C2087" s="532"/>
      <c r="D2087" s="564"/>
      <c r="E2087" s="564"/>
      <c r="F2087" s="564"/>
      <c r="G2087" s="562">
        <f t="shared" si="38"/>
        <v>0</v>
      </c>
      <c r="H2087" s="532"/>
      <c r="I2087" s="532"/>
      <c r="J2087" s="532"/>
    </row>
    <row r="2088" spans="1:10" hidden="1" x14ac:dyDescent="0.25">
      <c r="A2088" s="362"/>
      <c r="B2088" s="611">
        <v>44190</v>
      </c>
      <c r="C2088" s="362" t="s">
        <v>86</v>
      </c>
      <c r="D2088" s="562">
        <v>25413656</v>
      </c>
      <c r="E2088" s="562">
        <v>31776860</v>
      </c>
      <c r="F2088" s="562">
        <v>57190300</v>
      </c>
      <c r="G2088" s="562">
        <f t="shared" si="38"/>
        <v>216</v>
      </c>
      <c r="H2088" s="362"/>
      <c r="I2088" s="362"/>
      <c r="J2088" s="362"/>
    </row>
    <row r="2089" spans="1:10" hidden="1" x14ac:dyDescent="0.25">
      <c r="A2089" s="362"/>
      <c r="B2089" s="611">
        <v>44190</v>
      </c>
      <c r="C2089" s="362" t="s">
        <v>87</v>
      </c>
      <c r="D2089" s="562">
        <v>76714224</v>
      </c>
      <c r="E2089" s="562">
        <v>81835005</v>
      </c>
      <c r="F2089" s="562">
        <v>158549300</v>
      </c>
      <c r="G2089" s="562">
        <f t="shared" ref="G2089:G2152" si="39">D2089+E2089-F2089</f>
        <v>-71</v>
      </c>
      <c r="H2089" s="362"/>
      <c r="I2089" s="362"/>
      <c r="J2089" s="362"/>
    </row>
    <row r="2090" spans="1:10" hidden="1" x14ac:dyDescent="0.25">
      <c r="A2090" s="362"/>
      <c r="B2090" s="611">
        <v>44190</v>
      </c>
      <c r="C2090" s="362" t="s">
        <v>88</v>
      </c>
      <c r="D2090" s="562">
        <v>114144060</v>
      </c>
      <c r="E2090" s="562">
        <v>6555923</v>
      </c>
      <c r="F2090" s="562">
        <v>120700000</v>
      </c>
      <c r="G2090" s="562">
        <f t="shared" si="39"/>
        <v>-17</v>
      </c>
      <c r="H2090" s="362"/>
      <c r="I2090" s="362"/>
      <c r="J2090" s="362"/>
    </row>
    <row r="2091" spans="1:10" hidden="1" x14ac:dyDescent="0.25">
      <c r="A2091" s="362"/>
      <c r="B2091" s="611">
        <v>44190</v>
      </c>
      <c r="C2091" s="362" t="s">
        <v>82</v>
      </c>
      <c r="D2091" s="562">
        <v>69237035</v>
      </c>
      <c r="E2091" s="562">
        <v>2332889</v>
      </c>
      <c r="F2091" s="562">
        <v>71570000</v>
      </c>
      <c r="G2091" s="562">
        <f t="shared" si="39"/>
        <v>-76</v>
      </c>
      <c r="H2091" s="362"/>
      <c r="I2091" s="362"/>
      <c r="J2091" s="362"/>
    </row>
    <row r="2092" spans="1:10" hidden="1" x14ac:dyDescent="0.25">
      <c r="A2092" s="362"/>
      <c r="B2092" s="611">
        <v>44190</v>
      </c>
      <c r="C2092" s="362" t="s">
        <v>80</v>
      </c>
      <c r="D2092" s="562">
        <v>127784124</v>
      </c>
      <c r="E2092" s="562">
        <v>14404500</v>
      </c>
      <c r="F2092" s="562">
        <v>142188500</v>
      </c>
      <c r="G2092" s="562">
        <f t="shared" si="39"/>
        <v>124</v>
      </c>
      <c r="H2092" s="362"/>
      <c r="I2092" s="362"/>
      <c r="J2092" s="362"/>
    </row>
    <row r="2093" spans="1:10" hidden="1" x14ac:dyDescent="0.25">
      <c r="A2093" s="362"/>
      <c r="B2093" s="611">
        <v>44190</v>
      </c>
      <c r="C2093" s="362" t="s">
        <v>83</v>
      </c>
      <c r="D2093" s="562">
        <v>242769856</v>
      </c>
      <c r="E2093" s="562">
        <v>5525170</v>
      </c>
      <c r="F2093" s="562">
        <v>248295100</v>
      </c>
      <c r="G2093" s="562">
        <f t="shared" si="39"/>
        <v>-74</v>
      </c>
      <c r="H2093" s="362"/>
      <c r="I2093" s="362"/>
      <c r="J2093" s="362"/>
    </row>
    <row r="2094" spans="1:10" hidden="1" x14ac:dyDescent="0.25">
      <c r="A2094" s="362"/>
      <c r="B2094" s="611">
        <v>44190</v>
      </c>
      <c r="C2094" s="362" t="s">
        <v>78</v>
      </c>
      <c r="D2094" s="562">
        <v>137993756</v>
      </c>
      <c r="E2094" s="562">
        <v>722744</v>
      </c>
      <c r="F2094" s="562">
        <v>138716500</v>
      </c>
      <c r="G2094" s="562">
        <f t="shared" si="39"/>
        <v>0</v>
      </c>
      <c r="H2094" s="362"/>
      <c r="I2094" s="362"/>
      <c r="J2094" s="362"/>
    </row>
    <row r="2095" spans="1:10" hidden="1" x14ac:dyDescent="0.25">
      <c r="A2095" s="362"/>
      <c r="B2095" s="611">
        <v>44190</v>
      </c>
      <c r="C2095" s="362" t="s">
        <v>141</v>
      </c>
      <c r="D2095" s="562">
        <v>68683718</v>
      </c>
      <c r="E2095" s="562">
        <v>1392200</v>
      </c>
      <c r="F2095" s="562">
        <v>70076000</v>
      </c>
      <c r="G2095" s="562">
        <f t="shared" si="39"/>
        <v>-82</v>
      </c>
      <c r="H2095" s="362"/>
      <c r="I2095" s="362"/>
      <c r="J2095" s="362"/>
    </row>
    <row r="2096" spans="1:10" hidden="1" x14ac:dyDescent="0.25">
      <c r="A2096" s="362"/>
      <c r="B2096" s="611">
        <v>44190</v>
      </c>
      <c r="C2096" s="362" t="s">
        <v>89</v>
      </c>
      <c r="D2096" s="562">
        <v>128989032</v>
      </c>
      <c r="E2096" s="562">
        <v>48545768</v>
      </c>
      <c r="F2096" s="562">
        <v>177534800</v>
      </c>
      <c r="G2096" s="562">
        <f t="shared" si="39"/>
        <v>0</v>
      </c>
      <c r="H2096" s="362"/>
      <c r="I2096" s="362"/>
      <c r="J2096" s="362"/>
    </row>
    <row r="2097" spans="1:10" hidden="1" x14ac:dyDescent="0.25">
      <c r="A2097" s="362"/>
      <c r="B2097" s="611">
        <v>44190</v>
      </c>
      <c r="C2097" s="362" t="s">
        <v>81</v>
      </c>
      <c r="D2097" s="562">
        <v>83443229</v>
      </c>
      <c r="E2097" s="562">
        <v>7490029</v>
      </c>
      <c r="F2097" s="562">
        <v>90933400</v>
      </c>
      <c r="G2097" s="562">
        <f t="shared" si="39"/>
        <v>-142</v>
      </c>
      <c r="H2097" s="362"/>
      <c r="I2097" s="362"/>
      <c r="J2097" s="362"/>
    </row>
    <row r="2098" spans="1:10" hidden="1" x14ac:dyDescent="0.25">
      <c r="A2098" s="362"/>
      <c r="B2098" s="611">
        <v>44190</v>
      </c>
      <c r="C2098" s="362" t="s">
        <v>84</v>
      </c>
      <c r="D2098" s="562">
        <v>161388633</v>
      </c>
      <c r="E2098" s="562">
        <v>8188638</v>
      </c>
      <c r="F2098" s="562">
        <v>169577900</v>
      </c>
      <c r="G2098" s="562">
        <f t="shared" si="39"/>
        <v>-629</v>
      </c>
      <c r="H2098" s="362"/>
      <c r="I2098" s="362"/>
      <c r="J2098" s="362"/>
    </row>
    <row r="2099" spans="1:10" hidden="1" x14ac:dyDescent="0.25">
      <c r="A2099" s="362"/>
      <c r="B2099" s="611">
        <v>44190</v>
      </c>
      <c r="C2099" s="362" t="s">
        <v>4751</v>
      </c>
      <c r="D2099" s="562">
        <v>171001260</v>
      </c>
      <c r="E2099" s="562">
        <v>6004640</v>
      </c>
      <c r="F2099" s="562">
        <v>177005900</v>
      </c>
      <c r="G2099" s="562">
        <f t="shared" si="39"/>
        <v>0</v>
      </c>
      <c r="H2099" s="362"/>
      <c r="I2099" s="362"/>
      <c r="J2099" s="362"/>
    </row>
    <row r="2100" spans="1:10" hidden="1" x14ac:dyDescent="0.25">
      <c r="A2100" s="362"/>
      <c r="B2100" s="611">
        <v>44190</v>
      </c>
      <c r="C2100" s="362" t="s">
        <v>166</v>
      </c>
      <c r="D2100" s="562">
        <v>31371660</v>
      </c>
      <c r="E2100" s="562"/>
      <c r="F2100" s="562">
        <v>31371700</v>
      </c>
      <c r="G2100" s="562">
        <f t="shared" si="39"/>
        <v>-40</v>
      </c>
      <c r="H2100" s="362"/>
      <c r="I2100" s="362"/>
      <c r="J2100" s="362"/>
    </row>
    <row r="2101" spans="1:10" hidden="1" x14ac:dyDescent="0.25">
      <c r="A2101" s="362"/>
      <c r="B2101" s="611">
        <v>44190</v>
      </c>
      <c r="C2101" s="362" t="s">
        <v>3435</v>
      </c>
      <c r="D2101" s="562">
        <v>34858540</v>
      </c>
      <c r="E2101" s="562"/>
      <c r="F2101" s="562">
        <v>34858600</v>
      </c>
      <c r="G2101" s="562">
        <f t="shared" si="39"/>
        <v>-60</v>
      </c>
      <c r="H2101" s="362"/>
      <c r="I2101" s="362"/>
      <c r="J2101" s="362"/>
    </row>
    <row r="2102" spans="1:10" hidden="1" x14ac:dyDescent="0.25">
      <c r="A2102" s="362"/>
      <c r="B2102" s="611">
        <v>44190</v>
      </c>
      <c r="C2102" s="362" t="s">
        <v>85</v>
      </c>
      <c r="D2102" s="562">
        <v>22297400</v>
      </c>
      <c r="E2102" s="562"/>
      <c r="F2102" s="562">
        <v>22297400</v>
      </c>
      <c r="G2102" s="562">
        <f t="shared" si="39"/>
        <v>0</v>
      </c>
      <c r="H2102" s="362"/>
      <c r="I2102" s="362"/>
      <c r="J2102" s="362"/>
    </row>
    <row r="2103" spans="1:10" hidden="1" x14ac:dyDescent="0.25">
      <c r="A2103" s="532"/>
      <c r="B2103" s="532"/>
      <c r="C2103" s="532"/>
      <c r="D2103" s="564"/>
      <c r="E2103" s="564"/>
      <c r="F2103" s="564"/>
      <c r="G2103" s="564">
        <f t="shared" si="39"/>
        <v>0</v>
      </c>
      <c r="H2103" s="532"/>
      <c r="I2103" s="532"/>
      <c r="J2103" s="532"/>
    </row>
    <row r="2104" spans="1:10" hidden="1" x14ac:dyDescent="0.25">
      <c r="A2104" s="362"/>
      <c r="B2104" s="611">
        <v>44191</v>
      </c>
      <c r="C2104" s="362" t="s">
        <v>86</v>
      </c>
      <c r="D2104" s="562">
        <v>57635631</v>
      </c>
      <c r="E2104" s="562">
        <v>145616879</v>
      </c>
      <c r="F2104" s="562">
        <v>203252500</v>
      </c>
      <c r="G2104" s="562">
        <f t="shared" si="39"/>
        <v>10</v>
      </c>
      <c r="H2104" s="362"/>
      <c r="I2104" s="362"/>
      <c r="J2104" s="362"/>
    </row>
    <row r="2105" spans="1:10" hidden="1" x14ac:dyDescent="0.25">
      <c r="A2105" s="362"/>
      <c r="B2105" s="611">
        <v>44191</v>
      </c>
      <c r="C2105" s="362" t="s">
        <v>87</v>
      </c>
      <c r="D2105" s="562">
        <v>73113416</v>
      </c>
      <c r="E2105" s="562">
        <v>102627487</v>
      </c>
      <c r="F2105" s="562">
        <v>175739800</v>
      </c>
      <c r="G2105" s="562">
        <f t="shared" si="39"/>
        <v>1103</v>
      </c>
      <c r="H2105" s="362"/>
      <c r="I2105" s="362"/>
      <c r="J2105" s="362"/>
    </row>
    <row r="2106" spans="1:10" hidden="1" x14ac:dyDescent="0.25">
      <c r="A2106" s="362"/>
      <c r="B2106" s="611">
        <v>44191</v>
      </c>
      <c r="C2106" s="362" t="s">
        <v>88</v>
      </c>
      <c r="D2106" s="562">
        <v>149436812</v>
      </c>
      <c r="E2106" s="562">
        <v>46236584</v>
      </c>
      <c r="F2106" s="562">
        <v>195673400</v>
      </c>
      <c r="G2106" s="562">
        <f t="shared" si="39"/>
        <v>-4</v>
      </c>
      <c r="H2106" s="362"/>
      <c r="I2106" s="362"/>
      <c r="J2106" s="362"/>
    </row>
    <row r="2107" spans="1:10" hidden="1" x14ac:dyDescent="0.25">
      <c r="A2107" s="362"/>
      <c r="B2107" s="611">
        <v>44191</v>
      </c>
      <c r="C2107" s="362" t="s">
        <v>82</v>
      </c>
      <c r="D2107" s="562">
        <v>324577453</v>
      </c>
      <c r="E2107" s="562">
        <v>1031336</v>
      </c>
      <c r="F2107" s="562">
        <v>325608800</v>
      </c>
      <c r="G2107" s="562">
        <f t="shared" si="39"/>
        <v>-11</v>
      </c>
      <c r="H2107" s="362"/>
      <c r="I2107" s="362"/>
      <c r="J2107" s="362"/>
    </row>
    <row r="2108" spans="1:10" hidden="1" x14ac:dyDescent="0.25">
      <c r="A2108" s="362"/>
      <c r="B2108" s="611">
        <v>44191</v>
      </c>
      <c r="C2108" s="362" t="s">
        <v>80</v>
      </c>
      <c r="D2108" s="562">
        <v>175822951</v>
      </c>
      <c r="E2108" s="562">
        <v>5910000</v>
      </c>
      <c r="F2108" s="562">
        <v>181732700</v>
      </c>
      <c r="G2108" s="562">
        <f t="shared" si="39"/>
        <v>251</v>
      </c>
      <c r="H2108" s="362"/>
      <c r="I2108" s="362"/>
      <c r="J2108" s="362"/>
    </row>
    <row r="2109" spans="1:10" hidden="1" x14ac:dyDescent="0.25">
      <c r="A2109" s="362"/>
      <c r="B2109" s="611">
        <v>44191</v>
      </c>
      <c r="C2109" s="362" t="s">
        <v>83</v>
      </c>
      <c r="D2109" s="562">
        <v>225124243</v>
      </c>
      <c r="E2109" s="562">
        <v>16107432</v>
      </c>
      <c r="F2109" s="562">
        <v>241231800</v>
      </c>
      <c r="G2109" s="562">
        <f t="shared" si="39"/>
        <v>-125</v>
      </c>
      <c r="H2109" s="362"/>
      <c r="I2109" s="362"/>
      <c r="J2109" s="362"/>
    </row>
    <row r="2110" spans="1:10" hidden="1" x14ac:dyDescent="0.25">
      <c r="A2110" s="362"/>
      <c r="B2110" s="611">
        <v>44191</v>
      </c>
      <c r="C2110" s="362" t="s">
        <v>78</v>
      </c>
      <c r="D2110" s="562">
        <v>111882385</v>
      </c>
      <c r="E2110" s="562">
        <v>1275315</v>
      </c>
      <c r="F2110" s="562">
        <v>113157700</v>
      </c>
      <c r="G2110" s="562">
        <f t="shared" si="39"/>
        <v>0</v>
      </c>
      <c r="H2110" s="362"/>
      <c r="I2110" s="362"/>
      <c r="J2110" s="362"/>
    </row>
    <row r="2111" spans="1:10" hidden="1" x14ac:dyDescent="0.25">
      <c r="A2111" s="362"/>
      <c r="B2111" s="611">
        <v>44191</v>
      </c>
      <c r="C2111" s="362" t="s">
        <v>141</v>
      </c>
      <c r="D2111" s="562">
        <v>33763025</v>
      </c>
      <c r="E2111" s="562">
        <v>7095652</v>
      </c>
      <c r="F2111" s="562">
        <v>40858700</v>
      </c>
      <c r="G2111" s="562">
        <f t="shared" si="39"/>
        <v>-23</v>
      </c>
      <c r="H2111" s="362"/>
      <c r="I2111" s="362"/>
      <c r="J2111" s="362"/>
    </row>
    <row r="2112" spans="1:10" hidden="1" x14ac:dyDescent="0.25">
      <c r="A2112" s="362"/>
      <c r="B2112" s="611">
        <v>44191</v>
      </c>
      <c r="C2112" s="362" t="s">
        <v>89</v>
      </c>
      <c r="D2112" s="562">
        <v>89689570</v>
      </c>
      <c r="E2112" s="562">
        <v>62789630</v>
      </c>
      <c r="F2112" s="562">
        <v>152479200</v>
      </c>
      <c r="G2112" s="562">
        <f t="shared" si="39"/>
        <v>0</v>
      </c>
      <c r="H2112" s="362"/>
      <c r="I2112" s="362"/>
      <c r="J2112" s="362"/>
    </row>
    <row r="2113" spans="1:10" hidden="1" x14ac:dyDescent="0.25">
      <c r="A2113" s="362"/>
      <c r="B2113" s="611">
        <v>44191</v>
      </c>
      <c r="C2113" s="362" t="s">
        <v>81</v>
      </c>
      <c r="D2113" s="562">
        <v>88124179</v>
      </c>
      <c r="E2113" s="562">
        <v>17493312</v>
      </c>
      <c r="F2113" s="562">
        <v>105617500</v>
      </c>
      <c r="G2113" s="562">
        <f t="shared" si="39"/>
        <v>-9</v>
      </c>
      <c r="H2113" s="362"/>
      <c r="I2113" s="362"/>
      <c r="J2113" s="362"/>
    </row>
    <row r="2114" spans="1:10" hidden="1" x14ac:dyDescent="0.25">
      <c r="A2114" s="362"/>
      <c r="B2114" s="611">
        <v>44191</v>
      </c>
      <c r="C2114" s="362" t="s">
        <v>84</v>
      </c>
      <c r="D2114" s="562">
        <v>175673918</v>
      </c>
      <c r="E2114" s="562">
        <v>6209874</v>
      </c>
      <c r="F2114" s="562">
        <v>181884400</v>
      </c>
      <c r="G2114" s="562">
        <f t="shared" si="39"/>
        <v>-608</v>
      </c>
      <c r="H2114" s="362"/>
      <c r="I2114" s="362"/>
      <c r="J2114" s="362"/>
    </row>
    <row r="2115" spans="1:10" hidden="1" x14ac:dyDescent="0.25">
      <c r="A2115" s="362"/>
      <c r="B2115" s="611">
        <v>44191</v>
      </c>
      <c r="C2115" s="362" t="s">
        <v>4751</v>
      </c>
      <c r="D2115" s="562">
        <v>224701472</v>
      </c>
      <c r="E2115" s="562">
        <v>6855528</v>
      </c>
      <c r="F2115" s="562">
        <v>231557000</v>
      </c>
      <c r="G2115" s="562">
        <f t="shared" si="39"/>
        <v>0</v>
      </c>
      <c r="H2115" s="362"/>
      <c r="I2115" s="362"/>
      <c r="J2115" s="362"/>
    </row>
    <row r="2116" spans="1:10" hidden="1" x14ac:dyDescent="0.25">
      <c r="A2116" s="362"/>
      <c r="B2116" s="611">
        <v>44191</v>
      </c>
      <c r="C2116" s="362" t="s">
        <v>166</v>
      </c>
      <c r="D2116" s="562"/>
      <c r="E2116" s="562"/>
      <c r="F2116" s="562"/>
      <c r="G2116" s="562">
        <f t="shared" si="39"/>
        <v>0</v>
      </c>
      <c r="H2116" s="362"/>
      <c r="I2116" s="362"/>
      <c r="J2116" s="362"/>
    </row>
    <row r="2117" spans="1:10" hidden="1" x14ac:dyDescent="0.25">
      <c r="A2117" s="362"/>
      <c r="B2117" s="611">
        <v>44191</v>
      </c>
      <c r="C2117" s="362" t="s">
        <v>3435</v>
      </c>
      <c r="D2117" s="562"/>
      <c r="E2117" s="562"/>
      <c r="F2117" s="562"/>
      <c r="G2117" s="562">
        <f t="shared" si="39"/>
        <v>0</v>
      </c>
      <c r="H2117" s="362"/>
      <c r="I2117" s="362"/>
      <c r="J2117" s="362"/>
    </row>
    <row r="2118" spans="1:10" hidden="1" x14ac:dyDescent="0.25">
      <c r="A2118" s="362"/>
      <c r="B2118" s="611">
        <v>44191</v>
      </c>
      <c r="C2118" s="362" t="s">
        <v>85</v>
      </c>
      <c r="D2118" s="562">
        <v>35303400</v>
      </c>
      <c r="E2118" s="562"/>
      <c r="F2118" s="562">
        <v>35303400</v>
      </c>
      <c r="G2118" s="562">
        <f t="shared" si="39"/>
        <v>0</v>
      </c>
      <c r="H2118" s="362"/>
      <c r="I2118" s="362"/>
      <c r="J2118" s="362"/>
    </row>
    <row r="2119" spans="1:10" hidden="1" x14ac:dyDescent="0.25">
      <c r="A2119" s="532"/>
      <c r="B2119" s="532"/>
      <c r="C2119" s="532"/>
      <c r="D2119" s="564"/>
      <c r="E2119" s="564"/>
      <c r="F2119" s="564"/>
      <c r="G2119" s="564">
        <f t="shared" si="39"/>
        <v>0</v>
      </c>
      <c r="H2119" s="532"/>
      <c r="I2119" s="532"/>
      <c r="J2119" s="532"/>
    </row>
    <row r="2120" spans="1:10" hidden="1" x14ac:dyDescent="0.25">
      <c r="A2120" s="362"/>
      <c r="B2120" s="611">
        <v>44193</v>
      </c>
      <c r="C2120" s="362" t="s">
        <v>86</v>
      </c>
      <c r="D2120" s="562">
        <v>55287731</v>
      </c>
      <c r="E2120" s="562">
        <v>35672228</v>
      </c>
      <c r="F2120" s="562">
        <v>90960000</v>
      </c>
      <c r="G2120" s="562">
        <f t="shared" si="39"/>
        <v>-41</v>
      </c>
      <c r="H2120" s="362"/>
      <c r="I2120" s="362"/>
      <c r="J2120" s="362"/>
    </row>
    <row r="2121" spans="1:10" hidden="1" x14ac:dyDescent="0.25">
      <c r="A2121" s="362"/>
      <c r="B2121" s="611">
        <v>44193</v>
      </c>
      <c r="C2121" s="362" t="s">
        <v>87</v>
      </c>
      <c r="D2121" s="562">
        <v>75503481</v>
      </c>
      <c r="E2121" s="562">
        <v>125170104</v>
      </c>
      <c r="F2121" s="562">
        <v>200673600</v>
      </c>
      <c r="G2121" s="562">
        <f t="shared" si="39"/>
        <v>-15</v>
      </c>
      <c r="H2121" s="362"/>
      <c r="I2121" s="362"/>
      <c r="J2121" s="362"/>
    </row>
    <row r="2122" spans="1:10" hidden="1" x14ac:dyDescent="0.25">
      <c r="A2122" s="362"/>
      <c r="B2122" s="611">
        <v>44193</v>
      </c>
      <c r="C2122" s="362" t="s">
        <v>88</v>
      </c>
      <c r="D2122" s="562">
        <v>386920613</v>
      </c>
      <c r="E2122" s="562">
        <v>67662384</v>
      </c>
      <c r="F2122" s="562">
        <v>454583000</v>
      </c>
      <c r="G2122" s="562">
        <f t="shared" si="39"/>
        <v>-3</v>
      </c>
      <c r="H2122" s="362"/>
      <c r="I2122" s="362"/>
      <c r="J2122" s="362"/>
    </row>
    <row r="2123" spans="1:10" hidden="1" x14ac:dyDescent="0.25">
      <c r="A2123" s="362"/>
      <c r="B2123" s="611">
        <v>44193</v>
      </c>
      <c r="C2123" s="362" t="s">
        <v>82</v>
      </c>
      <c r="D2123" s="562">
        <v>86995776</v>
      </c>
      <c r="E2123" s="562">
        <v>2592185</v>
      </c>
      <c r="F2123" s="562">
        <v>89588000</v>
      </c>
      <c r="G2123" s="562">
        <f t="shared" si="39"/>
        <v>-39</v>
      </c>
      <c r="H2123" s="362"/>
      <c r="I2123" s="362"/>
      <c r="J2123" s="362"/>
    </row>
    <row r="2124" spans="1:10" hidden="1" x14ac:dyDescent="0.25">
      <c r="A2124" s="362"/>
      <c r="B2124" s="611">
        <v>44193</v>
      </c>
      <c r="C2124" s="362" t="s">
        <v>80</v>
      </c>
      <c r="D2124" s="562">
        <v>251992856</v>
      </c>
      <c r="E2124" s="562">
        <v>21494175</v>
      </c>
      <c r="F2124" s="562">
        <v>273489000</v>
      </c>
      <c r="G2124" s="562">
        <f t="shared" si="39"/>
        <v>-1969</v>
      </c>
      <c r="H2124" s="362"/>
      <c r="I2124" s="362"/>
      <c r="J2124" s="362"/>
    </row>
    <row r="2125" spans="1:10" hidden="1" x14ac:dyDescent="0.25">
      <c r="A2125" s="362"/>
      <c r="B2125" s="611">
        <v>44193</v>
      </c>
      <c r="C2125" s="362" t="s">
        <v>83</v>
      </c>
      <c r="D2125" s="562">
        <v>229957985</v>
      </c>
      <c r="E2125" s="562">
        <v>132910581</v>
      </c>
      <c r="F2125" s="562">
        <v>362868600</v>
      </c>
      <c r="G2125" s="562">
        <f t="shared" si="39"/>
        <v>-34</v>
      </c>
      <c r="H2125" s="362"/>
      <c r="I2125" s="362"/>
      <c r="J2125" s="362"/>
    </row>
    <row r="2126" spans="1:10" hidden="1" x14ac:dyDescent="0.25">
      <c r="A2126" s="362"/>
      <c r="B2126" s="611">
        <v>44193</v>
      </c>
      <c r="C2126" s="362" t="s">
        <v>78</v>
      </c>
      <c r="D2126" s="562">
        <v>50745695</v>
      </c>
      <c r="E2126" s="562">
        <v>2313905</v>
      </c>
      <c r="F2126" s="562">
        <v>53059600</v>
      </c>
      <c r="G2126" s="562">
        <f t="shared" si="39"/>
        <v>0</v>
      </c>
      <c r="H2126" s="362"/>
      <c r="I2126" s="362"/>
      <c r="J2126" s="362"/>
    </row>
    <row r="2127" spans="1:10" hidden="1" x14ac:dyDescent="0.25">
      <c r="A2127" s="362"/>
      <c r="B2127" s="611">
        <v>44193</v>
      </c>
      <c r="C2127" s="362" t="s">
        <v>141</v>
      </c>
      <c r="D2127" s="562">
        <v>57336345</v>
      </c>
      <c r="E2127" s="562">
        <v>2369540</v>
      </c>
      <c r="F2127" s="562">
        <v>59706000</v>
      </c>
      <c r="G2127" s="562">
        <f t="shared" si="39"/>
        <v>-115</v>
      </c>
      <c r="H2127" s="362"/>
      <c r="I2127" s="362"/>
      <c r="J2127" s="362"/>
    </row>
    <row r="2128" spans="1:10" hidden="1" x14ac:dyDescent="0.25">
      <c r="A2128" s="362"/>
      <c r="B2128" s="611">
        <v>44193</v>
      </c>
      <c r="C2128" s="362" t="s">
        <v>89</v>
      </c>
      <c r="D2128" s="562">
        <v>107582038</v>
      </c>
      <c r="E2128" s="562">
        <v>62424962</v>
      </c>
      <c r="F2128" s="562">
        <v>170007000</v>
      </c>
      <c r="G2128" s="562">
        <f t="shared" si="39"/>
        <v>0</v>
      </c>
      <c r="H2128" s="362"/>
      <c r="I2128" s="362"/>
      <c r="J2128" s="362"/>
    </row>
    <row r="2129" spans="1:10" hidden="1" x14ac:dyDescent="0.25">
      <c r="A2129" s="362"/>
      <c r="B2129" s="611">
        <v>44193</v>
      </c>
      <c r="C2129" s="362" t="s">
        <v>81</v>
      </c>
      <c r="D2129" s="562">
        <v>70955771</v>
      </c>
      <c r="E2129" s="562">
        <v>11598030</v>
      </c>
      <c r="F2129" s="562">
        <v>82554400</v>
      </c>
      <c r="G2129" s="562">
        <f t="shared" si="39"/>
        <v>-599</v>
      </c>
      <c r="H2129" s="362"/>
      <c r="I2129" s="362"/>
      <c r="J2129" s="362"/>
    </row>
    <row r="2130" spans="1:10" hidden="1" x14ac:dyDescent="0.25">
      <c r="A2130" s="362"/>
      <c r="B2130" s="611">
        <v>44193</v>
      </c>
      <c r="C2130" s="362" t="s">
        <v>84</v>
      </c>
      <c r="D2130" s="562">
        <v>195071481</v>
      </c>
      <c r="E2130" s="562">
        <v>10771897</v>
      </c>
      <c r="F2130" s="562">
        <v>205843300</v>
      </c>
      <c r="G2130" s="562">
        <f t="shared" si="39"/>
        <v>78</v>
      </c>
      <c r="H2130" s="362"/>
      <c r="I2130" s="362"/>
      <c r="J2130" s="362"/>
    </row>
    <row r="2131" spans="1:10" hidden="1" x14ac:dyDescent="0.25">
      <c r="A2131" s="362"/>
      <c r="B2131" s="611">
        <v>44193</v>
      </c>
      <c r="C2131" s="362" t="s">
        <v>4751</v>
      </c>
      <c r="D2131" s="562">
        <v>178067544</v>
      </c>
      <c r="E2131" s="562">
        <v>24402956</v>
      </c>
      <c r="F2131" s="562">
        <v>202470500</v>
      </c>
      <c r="G2131" s="562">
        <f t="shared" si="39"/>
        <v>0</v>
      </c>
      <c r="H2131" s="362"/>
      <c r="I2131" s="362"/>
      <c r="J2131" s="362"/>
    </row>
    <row r="2132" spans="1:10" hidden="1" x14ac:dyDescent="0.25">
      <c r="A2132" s="362"/>
      <c r="B2132" s="611">
        <v>44193</v>
      </c>
      <c r="C2132" s="362" t="s">
        <v>166</v>
      </c>
      <c r="D2132" s="562">
        <v>43119803</v>
      </c>
      <c r="E2132" s="562"/>
      <c r="F2132" s="562">
        <v>43120000</v>
      </c>
      <c r="G2132" s="562">
        <f t="shared" si="39"/>
        <v>-197</v>
      </c>
      <c r="H2132" s="362"/>
      <c r="I2132" s="362"/>
      <c r="J2132" s="362"/>
    </row>
    <row r="2133" spans="1:10" hidden="1" x14ac:dyDescent="0.25">
      <c r="A2133" s="362"/>
      <c r="B2133" s="611">
        <v>44193</v>
      </c>
      <c r="C2133" s="362" t="s">
        <v>3435</v>
      </c>
      <c r="D2133" s="562">
        <v>38863365</v>
      </c>
      <c r="E2133" s="562"/>
      <c r="F2133" s="562">
        <v>38863400</v>
      </c>
      <c r="G2133" s="562">
        <f t="shared" si="39"/>
        <v>-35</v>
      </c>
      <c r="H2133" s="362"/>
      <c r="I2133" s="362"/>
      <c r="J2133" s="362"/>
    </row>
    <row r="2134" spans="1:10" hidden="1" x14ac:dyDescent="0.25">
      <c r="A2134" s="362"/>
      <c r="B2134" s="611">
        <v>44193</v>
      </c>
      <c r="C2134" s="362" t="s">
        <v>85</v>
      </c>
      <c r="D2134" s="562">
        <v>46505300</v>
      </c>
      <c r="E2134" s="562"/>
      <c r="F2134" s="562">
        <v>46505300</v>
      </c>
      <c r="G2134" s="562">
        <f t="shared" si="39"/>
        <v>0</v>
      </c>
      <c r="H2134" s="362"/>
      <c r="I2134" s="362"/>
      <c r="J2134" s="362"/>
    </row>
    <row r="2135" spans="1:10" hidden="1" x14ac:dyDescent="0.25">
      <c r="A2135" s="532"/>
      <c r="B2135" s="532"/>
      <c r="C2135" s="532"/>
      <c r="D2135" s="532"/>
      <c r="E2135" s="532"/>
      <c r="F2135" s="564"/>
      <c r="G2135" s="564">
        <f t="shared" si="39"/>
        <v>0</v>
      </c>
      <c r="H2135" s="532"/>
      <c r="I2135" s="532"/>
      <c r="J2135" s="532"/>
    </row>
    <row r="2136" spans="1:10" hidden="1" x14ac:dyDescent="0.25">
      <c r="A2136" s="362"/>
      <c r="B2136" s="611">
        <v>44194</v>
      </c>
      <c r="C2136" s="362" t="s">
        <v>86</v>
      </c>
      <c r="D2136" s="562">
        <v>62526008</v>
      </c>
      <c r="E2136" s="562">
        <v>66572484</v>
      </c>
      <c r="F2136" s="562">
        <v>129098700</v>
      </c>
      <c r="G2136" s="562">
        <f t="shared" si="39"/>
        <v>-208</v>
      </c>
      <c r="H2136" s="562"/>
      <c r="I2136" s="562"/>
      <c r="J2136" s="562"/>
    </row>
    <row r="2137" spans="1:10" hidden="1" x14ac:dyDescent="0.25">
      <c r="A2137" s="362"/>
      <c r="B2137" s="611">
        <v>44194</v>
      </c>
      <c r="C2137" s="362" t="s">
        <v>87</v>
      </c>
      <c r="D2137" s="562">
        <v>129121750</v>
      </c>
      <c r="E2137" s="562">
        <v>196027610</v>
      </c>
      <c r="F2137" s="562">
        <v>325149400</v>
      </c>
      <c r="G2137" s="562">
        <f t="shared" si="39"/>
        <v>-40</v>
      </c>
      <c r="H2137" s="562"/>
      <c r="I2137" s="562"/>
      <c r="J2137" s="562"/>
    </row>
    <row r="2138" spans="1:10" hidden="1" x14ac:dyDescent="0.25">
      <c r="A2138" s="362"/>
      <c r="B2138" s="611">
        <v>44194</v>
      </c>
      <c r="C2138" s="362" t="s">
        <v>88</v>
      </c>
      <c r="D2138" s="562">
        <v>128596758</v>
      </c>
      <c r="E2138" s="562">
        <v>42304867</v>
      </c>
      <c r="F2138" s="562">
        <v>170901700</v>
      </c>
      <c r="G2138" s="562">
        <f t="shared" si="39"/>
        <v>-75</v>
      </c>
      <c r="H2138" s="562"/>
      <c r="I2138" s="562"/>
      <c r="J2138" s="562"/>
    </row>
    <row r="2139" spans="1:10" hidden="1" x14ac:dyDescent="0.25">
      <c r="A2139" s="362"/>
      <c r="B2139" s="611">
        <v>44194</v>
      </c>
      <c r="C2139" s="362" t="s">
        <v>82</v>
      </c>
      <c r="D2139" s="562">
        <v>226268085</v>
      </c>
      <c r="E2139" s="562">
        <v>2320470</v>
      </c>
      <c r="F2139" s="562">
        <v>228588600</v>
      </c>
      <c r="G2139" s="562">
        <f t="shared" si="39"/>
        <v>-45</v>
      </c>
      <c r="H2139" s="562"/>
      <c r="I2139" s="562"/>
      <c r="J2139" s="562"/>
    </row>
    <row r="2140" spans="1:10" hidden="1" x14ac:dyDescent="0.25">
      <c r="A2140" s="362"/>
      <c r="B2140" s="611">
        <v>44194</v>
      </c>
      <c r="C2140" s="362" t="s">
        <v>80</v>
      </c>
      <c r="D2140" s="562">
        <v>342845500</v>
      </c>
      <c r="E2140" s="562">
        <v>2218100</v>
      </c>
      <c r="F2140" s="562">
        <v>345063600</v>
      </c>
      <c r="G2140" s="562">
        <f t="shared" si="39"/>
        <v>0</v>
      </c>
      <c r="H2140" s="562"/>
      <c r="I2140" s="562"/>
      <c r="J2140" s="562"/>
    </row>
    <row r="2141" spans="1:10" hidden="1" x14ac:dyDescent="0.25">
      <c r="A2141" s="362"/>
      <c r="B2141" s="611">
        <v>44194</v>
      </c>
      <c r="C2141" s="362" t="s">
        <v>83</v>
      </c>
      <c r="D2141" s="562">
        <v>274501863</v>
      </c>
      <c r="E2141" s="562">
        <v>161663811</v>
      </c>
      <c r="F2141" s="562">
        <v>436165700</v>
      </c>
      <c r="G2141" s="562">
        <f t="shared" si="39"/>
        <v>-26</v>
      </c>
      <c r="H2141" s="562"/>
      <c r="I2141" s="562"/>
      <c r="J2141" s="562"/>
    </row>
    <row r="2142" spans="1:10" hidden="1" x14ac:dyDescent="0.25">
      <c r="A2142" s="362"/>
      <c r="B2142" s="611">
        <v>44194</v>
      </c>
      <c r="C2142" s="362" t="s">
        <v>78</v>
      </c>
      <c r="D2142" s="562">
        <v>82596587</v>
      </c>
      <c r="E2142" s="562">
        <v>23651913</v>
      </c>
      <c r="F2142" s="562">
        <v>106248500</v>
      </c>
      <c r="G2142" s="562">
        <f t="shared" si="39"/>
        <v>0</v>
      </c>
      <c r="H2142" s="562"/>
      <c r="I2142" s="562"/>
      <c r="J2142" s="562"/>
    </row>
    <row r="2143" spans="1:10" hidden="1" x14ac:dyDescent="0.25">
      <c r="A2143" s="362"/>
      <c r="B2143" s="611">
        <v>44194</v>
      </c>
      <c r="C2143" s="362" t="s">
        <v>141</v>
      </c>
      <c r="D2143" s="562">
        <v>68299375</v>
      </c>
      <c r="E2143" s="562">
        <v>1449257</v>
      </c>
      <c r="F2143" s="562">
        <v>69748700</v>
      </c>
      <c r="G2143" s="562">
        <f t="shared" si="39"/>
        <v>-68</v>
      </c>
      <c r="H2143" s="562"/>
      <c r="I2143" s="562"/>
      <c r="J2143" s="562"/>
    </row>
    <row r="2144" spans="1:10" hidden="1" x14ac:dyDescent="0.25">
      <c r="A2144" s="362"/>
      <c r="B2144" s="611">
        <v>44194</v>
      </c>
      <c r="C2144" s="362" t="s">
        <v>89</v>
      </c>
      <c r="D2144" s="562">
        <v>124859899</v>
      </c>
      <c r="E2144" s="562">
        <v>32949701</v>
      </c>
      <c r="F2144" s="562">
        <v>157809600</v>
      </c>
      <c r="G2144" s="562">
        <f t="shared" si="39"/>
        <v>0</v>
      </c>
      <c r="H2144" s="562"/>
      <c r="I2144" s="562"/>
      <c r="J2144" s="562"/>
    </row>
    <row r="2145" spans="1:10" hidden="1" x14ac:dyDescent="0.25">
      <c r="A2145" s="362"/>
      <c r="B2145" s="611">
        <v>44194</v>
      </c>
      <c r="C2145" s="362" t="s">
        <v>81</v>
      </c>
      <c r="D2145" s="562">
        <v>85611610</v>
      </c>
      <c r="E2145" s="562">
        <v>20665140</v>
      </c>
      <c r="F2145" s="562">
        <v>106276700</v>
      </c>
      <c r="G2145" s="562">
        <f t="shared" si="39"/>
        <v>50</v>
      </c>
      <c r="H2145" s="562"/>
      <c r="I2145" s="562"/>
      <c r="J2145" s="562"/>
    </row>
    <row r="2146" spans="1:10" hidden="1" x14ac:dyDescent="0.25">
      <c r="A2146" s="362"/>
      <c r="B2146" s="611">
        <v>44194</v>
      </c>
      <c r="C2146" s="362" t="s">
        <v>84</v>
      </c>
      <c r="D2146" s="562">
        <v>190399930</v>
      </c>
      <c r="E2146" s="562">
        <v>43293826</v>
      </c>
      <c r="F2146" s="562">
        <v>233693700</v>
      </c>
      <c r="G2146" s="562">
        <f t="shared" si="39"/>
        <v>56</v>
      </c>
      <c r="H2146" s="562"/>
      <c r="I2146" s="562"/>
      <c r="J2146" s="562"/>
    </row>
    <row r="2147" spans="1:10" hidden="1" x14ac:dyDescent="0.25">
      <c r="A2147" s="362"/>
      <c r="B2147" s="611">
        <v>44194</v>
      </c>
      <c r="C2147" s="362" t="s">
        <v>4751</v>
      </c>
      <c r="D2147" s="562">
        <v>198350715</v>
      </c>
      <c r="E2147" s="562">
        <v>7590385</v>
      </c>
      <c r="F2147" s="562">
        <v>205941100</v>
      </c>
      <c r="G2147" s="562">
        <f t="shared" si="39"/>
        <v>0</v>
      </c>
      <c r="H2147" s="562"/>
      <c r="I2147" s="562"/>
      <c r="J2147" s="562"/>
    </row>
    <row r="2148" spans="1:10" hidden="1" x14ac:dyDescent="0.25">
      <c r="A2148" s="362"/>
      <c r="B2148" s="611">
        <v>44194</v>
      </c>
      <c r="C2148" s="362" t="s">
        <v>166</v>
      </c>
      <c r="D2148" s="562">
        <v>68177812</v>
      </c>
      <c r="E2148" s="562"/>
      <c r="F2148" s="562">
        <v>68177800</v>
      </c>
      <c r="G2148" s="562">
        <f t="shared" si="39"/>
        <v>12</v>
      </c>
      <c r="H2148" s="562"/>
      <c r="I2148" s="562"/>
      <c r="J2148" s="562"/>
    </row>
    <row r="2149" spans="1:10" hidden="1" x14ac:dyDescent="0.25">
      <c r="A2149" s="362"/>
      <c r="B2149" s="611">
        <v>44194</v>
      </c>
      <c r="C2149" s="362" t="s">
        <v>3435</v>
      </c>
      <c r="D2149" s="562">
        <v>170591458</v>
      </c>
      <c r="E2149" s="562"/>
      <c r="F2149" s="562">
        <v>170591500</v>
      </c>
      <c r="G2149" s="562">
        <f t="shared" si="39"/>
        <v>-42</v>
      </c>
      <c r="H2149" s="562"/>
      <c r="I2149" s="562"/>
      <c r="J2149" s="562"/>
    </row>
    <row r="2150" spans="1:10" hidden="1" x14ac:dyDescent="0.25">
      <c r="A2150" s="362"/>
      <c r="B2150" s="611">
        <v>44194</v>
      </c>
      <c r="C2150" s="362" t="s">
        <v>85</v>
      </c>
      <c r="D2150" s="562">
        <v>35820600</v>
      </c>
      <c r="E2150" s="562"/>
      <c r="F2150" s="562">
        <v>35820600</v>
      </c>
      <c r="G2150" s="562">
        <f t="shared" si="39"/>
        <v>0</v>
      </c>
      <c r="H2150" s="562"/>
      <c r="I2150" s="562"/>
      <c r="J2150" s="562"/>
    </row>
    <row r="2151" spans="1:10" hidden="1" x14ac:dyDescent="0.25">
      <c r="A2151" s="532"/>
      <c r="B2151" s="532"/>
      <c r="C2151" s="532"/>
      <c r="D2151" s="564"/>
      <c r="E2151" s="564"/>
      <c r="F2151" s="564"/>
      <c r="G2151" s="562">
        <f t="shared" si="39"/>
        <v>0</v>
      </c>
      <c r="H2151" s="564"/>
      <c r="I2151" s="564"/>
      <c r="J2151" s="564"/>
    </row>
    <row r="2152" spans="1:10" hidden="1" x14ac:dyDescent="0.25">
      <c r="A2152" s="362"/>
      <c r="B2152" s="611">
        <v>44195</v>
      </c>
      <c r="C2152" s="362" t="s">
        <v>86</v>
      </c>
      <c r="D2152" s="562">
        <v>46421223</v>
      </c>
      <c r="E2152" s="562">
        <v>94394077</v>
      </c>
      <c r="F2152" s="562">
        <v>141416900</v>
      </c>
      <c r="G2152" s="562">
        <f t="shared" si="39"/>
        <v>-601600</v>
      </c>
      <c r="H2152" s="562"/>
      <c r="I2152" s="562"/>
      <c r="J2152" s="562"/>
    </row>
    <row r="2153" spans="1:10" hidden="1" x14ac:dyDescent="0.25">
      <c r="A2153" s="362"/>
      <c r="B2153" s="611">
        <v>44195</v>
      </c>
      <c r="C2153" s="362" t="s">
        <v>87</v>
      </c>
      <c r="D2153" s="562">
        <v>199018373</v>
      </c>
      <c r="E2153" s="562">
        <v>145302279</v>
      </c>
      <c r="F2153" s="562">
        <v>347246900</v>
      </c>
      <c r="G2153" s="562">
        <f t="shared" ref="G2153:G2216" si="40">D2153+E2153-F2153</f>
        <v>-2926248</v>
      </c>
      <c r="H2153" s="562"/>
      <c r="I2153" s="562"/>
      <c r="J2153" s="562"/>
    </row>
    <row r="2154" spans="1:10" hidden="1" x14ac:dyDescent="0.25">
      <c r="A2154" s="362"/>
      <c r="B2154" s="611">
        <v>44195</v>
      </c>
      <c r="C2154" s="362" t="s">
        <v>88</v>
      </c>
      <c r="D2154" s="562">
        <v>304306656</v>
      </c>
      <c r="E2154" s="562">
        <v>66600256</v>
      </c>
      <c r="F2154" s="562">
        <v>460907000</v>
      </c>
      <c r="G2154" s="562">
        <f t="shared" si="40"/>
        <v>-90000088</v>
      </c>
      <c r="H2154" s="562"/>
      <c r="I2154" s="562"/>
      <c r="J2154" s="562"/>
    </row>
    <row r="2155" spans="1:10" hidden="1" x14ac:dyDescent="0.25">
      <c r="A2155" s="362"/>
      <c r="B2155" s="611">
        <v>44195</v>
      </c>
      <c r="C2155" s="362" t="s">
        <v>82</v>
      </c>
      <c r="D2155" s="562">
        <v>92089128</v>
      </c>
      <c r="E2155" s="562">
        <v>3731000</v>
      </c>
      <c r="F2155" s="562">
        <v>95820200</v>
      </c>
      <c r="G2155" s="562">
        <f t="shared" si="40"/>
        <v>-72</v>
      </c>
      <c r="H2155" s="562"/>
      <c r="I2155" s="562"/>
      <c r="J2155" s="562"/>
    </row>
    <row r="2156" spans="1:10" hidden="1" x14ac:dyDescent="0.25">
      <c r="A2156" s="362"/>
      <c r="B2156" s="611">
        <v>44195</v>
      </c>
      <c r="C2156" s="362" t="s">
        <v>80</v>
      </c>
      <c r="D2156" s="562">
        <v>287623927</v>
      </c>
      <c r="E2156" s="562">
        <v>160230716</v>
      </c>
      <c r="F2156" s="562">
        <v>448467300</v>
      </c>
      <c r="G2156" s="562">
        <f t="shared" si="40"/>
        <v>-612657</v>
      </c>
      <c r="H2156" s="562"/>
      <c r="I2156" s="562"/>
      <c r="J2156" s="562"/>
    </row>
    <row r="2157" spans="1:10" hidden="1" x14ac:dyDescent="0.25">
      <c r="A2157" s="362"/>
      <c r="B2157" s="611">
        <v>44195</v>
      </c>
      <c r="C2157" s="362" t="s">
        <v>83</v>
      </c>
      <c r="D2157" s="562">
        <v>269883027</v>
      </c>
      <c r="E2157" s="562">
        <v>393360373</v>
      </c>
      <c r="F2157" s="562">
        <v>659883000</v>
      </c>
      <c r="G2157" s="562">
        <f t="shared" si="40"/>
        <v>3360400</v>
      </c>
      <c r="H2157" s="562"/>
      <c r="I2157" s="562"/>
      <c r="J2157" s="562"/>
    </row>
    <row r="2158" spans="1:10" hidden="1" x14ac:dyDescent="0.25">
      <c r="A2158" s="362"/>
      <c r="B2158" s="611">
        <v>44195</v>
      </c>
      <c r="C2158" s="362" t="s">
        <v>78</v>
      </c>
      <c r="D2158" s="562">
        <v>91337436</v>
      </c>
      <c r="E2158" s="562">
        <v>1015964</v>
      </c>
      <c r="F2158" s="562">
        <v>92353400</v>
      </c>
      <c r="G2158" s="562">
        <f t="shared" si="40"/>
        <v>0</v>
      </c>
      <c r="H2158" s="562"/>
      <c r="I2158" s="562"/>
      <c r="J2158" s="562"/>
    </row>
    <row r="2159" spans="1:10" hidden="1" x14ac:dyDescent="0.25">
      <c r="A2159" s="362"/>
      <c r="B2159" s="611">
        <v>44195</v>
      </c>
      <c r="C2159" s="362" t="s">
        <v>141</v>
      </c>
      <c r="D2159" s="562">
        <v>73991440</v>
      </c>
      <c r="E2159" s="562">
        <v>1032965</v>
      </c>
      <c r="F2159" s="562">
        <v>75024500</v>
      </c>
      <c r="G2159" s="562">
        <f t="shared" si="40"/>
        <v>-95</v>
      </c>
      <c r="H2159" s="562"/>
      <c r="I2159" s="562"/>
      <c r="J2159" s="562"/>
    </row>
    <row r="2160" spans="1:10" hidden="1" x14ac:dyDescent="0.25">
      <c r="A2160" s="362"/>
      <c r="B2160" s="611">
        <v>44195</v>
      </c>
      <c r="C2160" s="362" t="s">
        <v>89</v>
      </c>
      <c r="D2160" s="562">
        <v>119919918</v>
      </c>
      <c r="E2160" s="562">
        <v>46670282</v>
      </c>
      <c r="F2160" s="562">
        <v>169320900</v>
      </c>
      <c r="G2160" s="562">
        <f t="shared" si="40"/>
        <v>-2730700</v>
      </c>
      <c r="H2160" s="562"/>
      <c r="I2160" s="562"/>
      <c r="J2160" s="562"/>
    </row>
    <row r="2161" spans="1:10" hidden="1" x14ac:dyDescent="0.25">
      <c r="A2161" s="362"/>
      <c r="B2161" s="611">
        <v>44195</v>
      </c>
      <c r="C2161" s="362" t="s">
        <v>81</v>
      </c>
      <c r="D2161" s="562">
        <v>99271367</v>
      </c>
      <c r="E2161" s="562">
        <v>18797648</v>
      </c>
      <c r="F2161" s="562">
        <v>224594000</v>
      </c>
      <c r="G2161" s="562">
        <f t="shared" si="40"/>
        <v>-106524985</v>
      </c>
      <c r="H2161" s="562"/>
      <c r="I2161" s="562"/>
      <c r="J2161" s="562"/>
    </row>
    <row r="2162" spans="1:10" hidden="1" x14ac:dyDescent="0.25">
      <c r="A2162" s="362"/>
      <c r="B2162" s="611">
        <v>44195</v>
      </c>
      <c r="C2162" s="362" t="s">
        <v>84</v>
      </c>
      <c r="D2162" s="562">
        <v>257511942</v>
      </c>
      <c r="E2162" s="562">
        <v>33082930</v>
      </c>
      <c r="F2162" s="562">
        <v>290594900</v>
      </c>
      <c r="G2162" s="562">
        <f t="shared" si="40"/>
        <v>-28</v>
      </c>
      <c r="H2162" s="562"/>
      <c r="I2162" s="562"/>
      <c r="J2162" s="562"/>
    </row>
    <row r="2163" spans="1:10" hidden="1" x14ac:dyDescent="0.25">
      <c r="A2163" s="362"/>
      <c r="B2163" s="611">
        <v>44195</v>
      </c>
      <c r="C2163" s="362" t="s">
        <v>4751</v>
      </c>
      <c r="D2163" s="562">
        <v>200835128</v>
      </c>
      <c r="E2163" s="562">
        <v>1473772</v>
      </c>
      <c r="F2163" s="562">
        <v>202308900</v>
      </c>
      <c r="G2163" s="562">
        <f t="shared" si="40"/>
        <v>0</v>
      </c>
      <c r="H2163" s="562"/>
      <c r="I2163" s="562"/>
      <c r="J2163" s="562"/>
    </row>
    <row r="2164" spans="1:10" hidden="1" x14ac:dyDescent="0.25">
      <c r="A2164" s="362"/>
      <c r="B2164" s="611">
        <v>44195</v>
      </c>
      <c r="C2164" s="362" t="s">
        <v>166</v>
      </c>
      <c r="D2164" s="562">
        <v>44784306</v>
      </c>
      <c r="E2164" s="562"/>
      <c r="F2164" s="562">
        <v>44784400</v>
      </c>
      <c r="G2164" s="562">
        <f t="shared" si="40"/>
        <v>-94</v>
      </c>
      <c r="H2164" s="562"/>
      <c r="I2164" s="562"/>
      <c r="J2164" s="562"/>
    </row>
    <row r="2165" spans="1:10" hidden="1" x14ac:dyDescent="0.25">
      <c r="A2165" s="362"/>
      <c r="B2165" s="611">
        <v>44195</v>
      </c>
      <c r="C2165" s="362" t="s">
        <v>3435</v>
      </c>
      <c r="D2165" s="562"/>
      <c r="E2165" s="562"/>
      <c r="F2165" s="562"/>
      <c r="G2165" s="562">
        <f t="shared" si="40"/>
        <v>0</v>
      </c>
      <c r="H2165" s="562"/>
      <c r="I2165" s="562"/>
      <c r="J2165" s="562"/>
    </row>
    <row r="2166" spans="1:10" hidden="1" x14ac:dyDescent="0.25">
      <c r="A2166" s="362"/>
      <c r="B2166" s="611">
        <v>44195</v>
      </c>
      <c r="C2166" s="362" t="s">
        <v>85</v>
      </c>
      <c r="D2166" s="562">
        <v>37720500</v>
      </c>
      <c r="E2166" s="562"/>
      <c r="F2166" s="562">
        <v>37720500</v>
      </c>
      <c r="G2166" s="562">
        <f t="shared" si="40"/>
        <v>0</v>
      </c>
      <c r="H2166" s="562"/>
      <c r="I2166" s="562"/>
      <c r="J2166" s="562"/>
    </row>
    <row r="2167" spans="1:10" hidden="1" x14ac:dyDescent="0.25">
      <c r="A2167" s="532"/>
      <c r="B2167" s="532"/>
      <c r="C2167" s="532"/>
      <c r="D2167" s="564"/>
      <c r="E2167" s="564"/>
      <c r="F2167" s="564"/>
      <c r="G2167" s="562">
        <f t="shared" si="40"/>
        <v>0</v>
      </c>
      <c r="H2167" s="564"/>
      <c r="I2167" s="564"/>
      <c r="J2167" s="564"/>
    </row>
    <row r="2168" spans="1:10" hidden="1" x14ac:dyDescent="0.25">
      <c r="A2168" s="362"/>
      <c r="B2168" s="611">
        <v>44196</v>
      </c>
      <c r="C2168" s="362" t="s">
        <v>86</v>
      </c>
      <c r="D2168" s="562"/>
      <c r="E2168" s="562"/>
      <c r="F2168" s="562"/>
      <c r="G2168" s="562">
        <f t="shared" si="40"/>
        <v>0</v>
      </c>
      <c r="H2168" s="562"/>
      <c r="I2168" s="562"/>
      <c r="J2168" s="562"/>
    </row>
    <row r="2169" spans="1:10" hidden="1" x14ac:dyDescent="0.25">
      <c r="A2169" s="362"/>
      <c r="B2169" s="611">
        <v>44196</v>
      </c>
      <c r="C2169" s="362" t="s">
        <v>87</v>
      </c>
      <c r="D2169" s="562"/>
      <c r="E2169" s="562"/>
      <c r="F2169" s="562"/>
      <c r="G2169" s="562">
        <f t="shared" si="40"/>
        <v>0</v>
      </c>
      <c r="H2169" s="562"/>
      <c r="I2169" s="562"/>
      <c r="J2169" s="562"/>
    </row>
    <row r="2170" spans="1:10" hidden="1" x14ac:dyDescent="0.25">
      <c r="A2170" s="362"/>
      <c r="B2170" s="611">
        <v>44196</v>
      </c>
      <c r="C2170" s="362" t="s">
        <v>88</v>
      </c>
      <c r="D2170" s="562"/>
      <c r="E2170" s="562"/>
      <c r="F2170" s="562"/>
      <c r="G2170" s="562">
        <f t="shared" si="40"/>
        <v>0</v>
      </c>
      <c r="H2170" s="562"/>
      <c r="I2170" s="562"/>
      <c r="J2170" s="562"/>
    </row>
    <row r="2171" spans="1:10" hidden="1" x14ac:dyDescent="0.25">
      <c r="A2171" s="362"/>
      <c r="B2171" s="611">
        <v>44196</v>
      </c>
      <c r="C2171" s="362" t="s">
        <v>82</v>
      </c>
      <c r="D2171" s="562"/>
      <c r="E2171" s="562"/>
      <c r="F2171" s="562"/>
      <c r="G2171" s="562">
        <f t="shared" si="40"/>
        <v>0</v>
      </c>
      <c r="H2171" s="562"/>
      <c r="I2171" s="562"/>
      <c r="J2171" s="562"/>
    </row>
    <row r="2172" spans="1:10" hidden="1" x14ac:dyDescent="0.25">
      <c r="A2172" s="362"/>
      <c r="B2172" s="611">
        <v>44196</v>
      </c>
      <c r="C2172" s="362" t="s">
        <v>80</v>
      </c>
      <c r="D2172" s="562"/>
      <c r="E2172" s="562"/>
      <c r="F2172" s="562"/>
      <c r="G2172" s="562">
        <f t="shared" si="40"/>
        <v>0</v>
      </c>
      <c r="H2172" s="562"/>
      <c r="I2172" s="562"/>
      <c r="J2172" s="562"/>
    </row>
    <row r="2173" spans="1:10" hidden="1" x14ac:dyDescent="0.25">
      <c r="A2173" s="362"/>
      <c r="B2173" s="611">
        <v>44196</v>
      </c>
      <c r="C2173" s="362" t="s">
        <v>83</v>
      </c>
      <c r="D2173" s="562"/>
      <c r="E2173" s="562"/>
      <c r="F2173" s="562"/>
      <c r="G2173" s="562">
        <f t="shared" si="40"/>
        <v>0</v>
      </c>
      <c r="H2173" s="562"/>
      <c r="I2173" s="562"/>
      <c r="J2173" s="562"/>
    </row>
    <row r="2174" spans="1:10" hidden="1" x14ac:dyDescent="0.25">
      <c r="A2174" s="362"/>
      <c r="B2174" s="611">
        <v>44196</v>
      </c>
      <c r="C2174" s="362" t="s">
        <v>78</v>
      </c>
      <c r="D2174" s="562">
        <v>94764100</v>
      </c>
      <c r="E2174" s="562"/>
      <c r="F2174" s="562">
        <v>94764100</v>
      </c>
      <c r="G2174" s="562">
        <f t="shared" si="40"/>
        <v>0</v>
      </c>
      <c r="H2174" s="562"/>
      <c r="I2174" s="562"/>
      <c r="J2174" s="562"/>
    </row>
    <row r="2175" spans="1:10" hidden="1" x14ac:dyDescent="0.25">
      <c r="A2175" s="362"/>
      <c r="B2175" s="611">
        <v>44196</v>
      </c>
      <c r="C2175" s="362" t="s">
        <v>141</v>
      </c>
      <c r="D2175" s="562">
        <v>16027535</v>
      </c>
      <c r="E2175" s="562"/>
      <c r="F2175" s="562">
        <v>16027600</v>
      </c>
      <c r="G2175" s="562">
        <f t="shared" si="40"/>
        <v>-65</v>
      </c>
      <c r="H2175" s="562"/>
      <c r="I2175" s="562"/>
      <c r="J2175" s="562"/>
    </row>
    <row r="2176" spans="1:10" hidden="1" x14ac:dyDescent="0.25">
      <c r="A2176" s="362"/>
      <c r="B2176" s="611">
        <v>44196</v>
      </c>
      <c r="C2176" s="362" t="s">
        <v>89</v>
      </c>
      <c r="D2176" s="562"/>
      <c r="E2176" s="562"/>
      <c r="F2176" s="562"/>
      <c r="G2176" s="562">
        <f t="shared" si="40"/>
        <v>0</v>
      </c>
      <c r="H2176" s="562"/>
      <c r="I2176" s="562"/>
      <c r="J2176" s="562"/>
    </row>
    <row r="2177" spans="1:10" hidden="1" x14ac:dyDescent="0.25">
      <c r="A2177" s="362"/>
      <c r="B2177" s="611">
        <v>44196</v>
      </c>
      <c r="C2177" s="362" t="s">
        <v>81</v>
      </c>
      <c r="D2177" s="562">
        <v>105527875</v>
      </c>
      <c r="E2177" s="562">
        <v>997062</v>
      </c>
      <c r="F2177" s="562">
        <v>106524985</v>
      </c>
      <c r="G2177" s="562">
        <f t="shared" si="40"/>
        <v>-48</v>
      </c>
      <c r="H2177" s="562"/>
      <c r="I2177" s="562"/>
      <c r="J2177" s="562"/>
    </row>
    <row r="2178" spans="1:10" hidden="1" x14ac:dyDescent="0.25">
      <c r="A2178" s="362"/>
      <c r="B2178" s="611">
        <v>44196</v>
      </c>
      <c r="C2178" s="362" t="s">
        <v>84</v>
      </c>
      <c r="D2178" s="562">
        <v>108883948</v>
      </c>
      <c r="E2178" s="562">
        <v>162000</v>
      </c>
      <c r="F2178" s="562">
        <v>109046000</v>
      </c>
      <c r="G2178" s="562">
        <f t="shared" si="40"/>
        <v>-52</v>
      </c>
      <c r="H2178" s="562"/>
      <c r="I2178" s="562"/>
      <c r="J2178" s="562"/>
    </row>
    <row r="2179" spans="1:10" hidden="1" x14ac:dyDescent="0.25">
      <c r="A2179" s="362"/>
      <c r="B2179" s="611">
        <v>44196</v>
      </c>
      <c r="C2179" s="362" t="s">
        <v>4751</v>
      </c>
      <c r="D2179" s="562">
        <v>204371560</v>
      </c>
      <c r="E2179" s="562">
        <v>37440</v>
      </c>
      <c r="F2179" s="562">
        <v>204409000</v>
      </c>
      <c r="G2179" s="562">
        <f t="shared" si="40"/>
        <v>0</v>
      </c>
      <c r="H2179" s="562"/>
      <c r="I2179" s="562"/>
      <c r="J2179" s="562"/>
    </row>
    <row r="2180" spans="1:10" hidden="1" x14ac:dyDescent="0.25">
      <c r="A2180" s="362"/>
      <c r="B2180" s="611">
        <v>44196</v>
      </c>
      <c r="C2180" s="362" t="s">
        <v>166</v>
      </c>
      <c r="D2180" s="562"/>
      <c r="E2180" s="562"/>
      <c r="F2180" s="562"/>
      <c r="G2180" s="562">
        <f t="shared" si="40"/>
        <v>0</v>
      </c>
      <c r="H2180" s="562"/>
      <c r="I2180" s="562"/>
      <c r="J2180" s="562"/>
    </row>
    <row r="2181" spans="1:10" hidden="1" x14ac:dyDescent="0.25">
      <c r="A2181" s="362"/>
      <c r="B2181" s="611">
        <v>44196</v>
      </c>
      <c r="C2181" s="362" t="s">
        <v>3435</v>
      </c>
      <c r="D2181" s="562"/>
      <c r="E2181" s="562"/>
      <c r="F2181" s="562"/>
      <c r="G2181" s="562">
        <f t="shared" si="40"/>
        <v>0</v>
      </c>
      <c r="H2181" s="562"/>
      <c r="I2181" s="562"/>
      <c r="J2181" s="562"/>
    </row>
    <row r="2182" spans="1:10" hidden="1" x14ac:dyDescent="0.25">
      <c r="A2182" s="362"/>
      <c r="B2182" s="611">
        <v>44196</v>
      </c>
      <c r="C2182" s="362" t="s">
        <v>85</v>
      </c>
      <c r="D2182" s="562">
        <v>31842100</v>
      </c>
      <c r="E2182" s="562"/>
      <c r="F2182" s="562">
        <v>31842100</v>
      </c>
      <c r="G2182" s="562">
        <f t="shared" si="40"/>
        <v>0</v>
      </c>
      <c r="H2182" s="562"/>
      <c r="I2182" s="562"/>
      <c r="J2182" s="562"/>
    </row>
    <row r="2183" spans="1:10" hidden="1" x14ac:dyDescent="0.25">
      <c r="A2183" s="532"/>
      <c r="B2183" s="532"/>
      <c r="C2183" s="532"/>
      <c r="D2183" s="564"/>
      <c r="E2183" s="564"/>
      <c r="F2183" s="564"/>
      <c r="G2183" s="564">
        <f t="shared" si="40"/>
        <v>0</v>
      </c>
      <c r="H2183" s="564"/>
      <c r="I2183" s="564"/>
      <c r="J2183" s="564"/>
    </row>
    <row r="2184" spans="1:10" hidden="1" x14ac:dyDescent="0.25">
      <c r="A2184" s="362"/>
      <c r="B2184" s="611">
        <v>44200</v>
      </c>
      <c r="C2184" s="362" t="s">
        <v>86</v>
      </c>
      <c r="D2184" s="562">
        <v>48218109</v>
      </c>
      <c r="E2184" s="562">
        <v>3777008</v>
      </c>
      <c r="F2184" s="562">
        <v>51995200</v>
      </c>
      <c r="G2184" s="562">
        <f t="shared" si="40"/>
        <v>-83</v>
      </c>
      <c r="H2184" s="562"/>
      <c r="I2184" s="562"/>
      <c r="J2184" s="562"/>
    </row>
    <row r="2185" spans="1:10" hidden="1" x14ac:dyDescent="0.25">
      <c r="A2185" s="362"/>
      <c r="B2185" s="611">
        <v>44200</v>
      </c>
      <c r="C2185" s="362" t="s">
        <v>87</v>
      </c>
      <c r="D2185" s="562">
        <v>82393812</v>
      </c>
      <c r="E2185" s="562">
        <v>15596828</v>
      </c>
      <c r="F2185" s="562">
        <v>97990800</v>
      </c>
      <c r="G2185" s="562">
        <f t="shared" si="40"/>
        <v>-160</v>
      </c>
      <c r="H2185" s="562"/>
      <c r="I2185" s="562"/>
      <c r="J2185" s="562"/>
    </row>
    <row r="2186" spans="1:10" hidden="1" x14ac:dyDescent="0.25">
      <c r="A2186" s="362"/>
      <c r="B2186" s="611">
        <v>44200</v>
      </c>
      <c r="C2186" s="362" t="s">
        <v>88</v>
      </c>
      <c r="D2186" s="562">
        <v>291295136</v>
      </c>
      <c r="E2186" s="562">
        <v>27834977</v>
      </c>
      <c r="F2186" s="562">
        <v>319130200</v>
      </c>
      <c r="G2186" s="562">
        <f t="shared" si="40"/>
        <v>-87</v>
      </c>
      <c r="H2186" s="562"/>
      <c r="I2186" s="562"/>
      <c r="J2186" s="562"/>
    </row>
    <row r="2187" spans="1:10" hidden="1" x14ac:dyDescent="0.25">
      <c r="A2187" s="362"/>
      <c r="B2187" s="611">
        <v>44200</v>
      </c>
      <c r="C2187" s="362" t="s">
        <v>82</v>
      </c>
      <c r="D2187" s="562">
        <v>78729799</v>
      </c>
      <c r="E2187" s="562">
        <v>1293700</v>
      </c>
      <c r="F2187" s="562">
        <v>80023600</v>
      </c>
      <c r="G2187" s="562">
        <f t="shared" si="40"/>
        <v>-101</v>
      </c>
      <c r="H2187" s="562"/>
      <c r="I2187" s="562"/>
      <c r="J2187" s="562"/>
    </row>
    <row r="2188" spans="1:10" hidden="1" x14ac:dyDescent="0.25">
      <c r="A2188" s="362"/>
      <c r="B2188" s="611">
        <v>44200</v>
      </c>
      <c r="C2188" s="362" t="s">
        <v>80</v>
      </c>
      <c r="D2188" s="562">
        <v>299374700</v>
      </c>
      <c r="E2188" s="562"/>
      <c r="F2188" s="562">
        <v>299374700</v>
      </c>
      <c r="G2188" s="562">
        <f t="shared" si="40"/>
        <v>0</v>
      </c>
      <c r="H2188" s="562"/>
      <c r="I2188" s="562"/>
      <c r="J2188" s="562"/>
    </row>
    <row r="2189" spans="1:10" hidden="1" x14ac:dyDescent="0.25">
      <c r="A2189" s="362"/>
      <c r="B2189" s="611">
        <v>44200</v>
      </c>
      <c r="C2189" s="362" t="s">
        <v>83</v>
      </c>
      <c r="D2189" s="562">
        <v>356632856</v>
      </c>
      <c r="E2189" s="562">
        <v>2321135</v>
      </c>
      <c r="F2189" s="562">
        <v>358954000</v>
      </c>
      <c r="G2189" s="562">
        <f t="shared" si="40"/>
        <v>-9</v>
      </c>
      <c r="H2189" s="562"/>
      <c r="I2189" s="562"/>
      <c r="J2189" s="562"/>
    </row>
    <row r="2190" spans="1:10" hidden="1" x14ac:dyDescent="0.25">
      <c r="A2190" s="362"/>
      <c r="B2190" s="611">
        <v>44200</v>
      </c>
      <c r="C2190" s="362" t="s">
        <v>78</v>
      </c>
      <c r="D2190" s="562">
        <v>174998283</v>
      </c>
      <c r="E2190" s="562">
        <v>2235417</v>
      </c>
      <c r="F2190" s="562">
        <v>177233700</v>
      </c>
      <c r="G2190" s="562">
        <f t="shared" si="40"/>
        <v>0</v>
      </c>
      <c r="H2190" s="562"/>
      <c r="I2190" s="562"/>
      <c r="J2190" s="562"/>
    </row>
    <row r="2191" spans="1:10" hidden="1" x14ac:dyDescent="0.25">
      <c r="A2191" s="362"/>
      <c r="B2191" s="611">
        <v>44200</v>
      </c>
      <c r="C2191" s="362" t="s">
        <v>141</v>
      </c>
      <c r="D2191" s="562">
        <v>96362153</v>
      </c>
      <c r="E2191" s="562">
        <v>1448988</v>
      </c>
      <c r="F2191" s="562">
        <v>97811200</v>
      </c>
      <c r="G2191" s="562">
        <f t="shared" si="40"/>
        <v>-59</v>
      </c>
      <c r="H2191" s="562"/>
      <c r="I2191" s="562"/>
      <c r="J2191" s="562"/>
    </row>
    <row r="2192" spans="1:10" hidden="1" x14ac:dyDescent="0.25">
      <c r="A2192" s="362"/>
      <c r="B2192" s="611">
        <v>44200</v>
      </c>
      <c r="C2192" s="362" t="s">
        <v>89</v>
      </c>
      <c r="D2192" s="562">
        <v>121896503</v>
      </c>
      <c r="E2192" s="562">
        <v>15060797</v>
      </c>
      <c r="F2192" s="562">
        <v>136957300</v>
      </c>
      <c r="G2192" s="562">
        <f t="shared" si="40"/>
        <v>0</v>
      </c>
      <c r="H2192" s="562"/>
      <c r="I2192" s="562"/>
      <c r="J2192" s="562"/>
    </row>
    <row r="2193" spans="1:10" hidden="1" x14ac:dyDescent="0.25">
      <c r="A2193" s="362"/>
      <c r="B2193" s="611">
        <v>44200</v>
      </c>
      <c r="C2193" s="362" t="s">
        <v>81</v>
      </c>
      <c r="D2193" s="562">
        <v>77277464</v>
      </c>
      <c r="E2193" s="562">
        <v>8338794</v>
      </c>
      <c r="F2193" s="562">
        <v>85616300</v>
      </c>
      <c r="G2193" s="562">
        <f t="shared" si="40"/>
        <v>-42</v>
      </c>
      <c r="H2193" s="562"/>
      <c r="I2193" s="562"/>
      <c r="J2193" s="562"/>
    </row>
    <row r="2194" spans="1:10" hidden="1" x14ac:dyDescent="0.25">
      <c r="A2194" s="362"/>
      <c r="B2194" s="611">
        <v>44200</v>
      </c>
      <c r="C2194" s="362" t="s">
        <v>84</v>
      </c>
      <c r="D2194" s="562">
        <v>254843359</v>
      </c>
      <c r="E2194" s="562">
        <v>2603853</v>
      </c>
      <c r="F2194" s="562">
        <v>257447300</v>
      </c>
      <c r="G2194" s="562">
        <f t="shared" si="40"/>
        <v>-88</v>
      </c>
      <c r="H2194" s="562"/>
      <c r="I2194" s="562"/>
      <c r="J2194" s="562"/>
    </row>
    <row r="2195" spans="1:10" hidden="1" x14ac:dyDescent="0.25">
      <c r="A2195" s="362"/>
      <c r="B2195" s="611">
        <v>44200</v>
      </c>
      <c r="C2195" s="362" t="s">
        <v>4751</v>
      </c>
      <c r="D2195" s="562">
        <v>223287461</v>
      </c>
      <c r="E2195" s="562">
        <v>5784939</v>
      </c>
      <c r="F2195" s="562">
        <v>229072500</v>
      </c>
      <c r="G2195" s="562">
        <f t="shared" si="40"/>
        <v>-100</v>
      </c>
      <c r="H2195" s="562"/>
      <c r="I2195" s="562"/>
      <c r="J2195" s="562"/>
    </row>
    <row r="2196" spans="1:10" hidden="1" x14ac:dyDescent="0.25">
      <c r="A2196" s="362"/>
      <c r="B2196" s="611">
        <v>44200</v>
      </c>
      <c r="C2196" s="362" t="s">
        <v>166</v>
      </c>
      <c r="D2196" s="562">
        <v>106096309</v>
      </c>
      <c r="E2196" s="562"/>
      <c r="F2196" s="562">
        <v>106096400</v>
      </c>
      <c r="G2196" s="562">
        <f t="shared" si="40"/>
        <v>-91</v>
      </c>
      <c r="H2196" s="562"/>
      <c r="I2196" s="562"/>
      <c r="J2196" s="562"/>
    </row>
    <row r="2197" spans="1:10" hidden="1" x14ac:dyDescent="0.25">
      <c r="A2197" s="362"/>
      <c r="B2197" s="611">
        <v>44200</v>
      </c>
      <c r="C2197" s="362" t="s">
        <v>3435</v>
      </c>
      <c r="D2197" s="562">
        <v>52895041</v>
      </c>
      <c r="E2197" s="562"/>
      <c r="F2197" s="562">
        <v>52895100</v>
      </c>
      <c r="G2197" s="562">
        <f t="shared" si="40"/>
        <v>-59</v>
      </c>
      <c r="H2197" s="562"/>
      <c r="I2197" s="562"/>
      <c r="J2197" s="562"/>
    </row>
    <row r="2198" spans="1:10" hidden="1" x14ac:dyDescent="0.25">
      <c r="A2198" s="362"/>
      <c r="B2198" s="611">
        <v>44200</v>
      </c>
      <c r="C2198" s="362" t="s">
        <v>85</v>
      </c>
      <c r="D2198" s="562">
        <v>61525800</v>
      </c>
      <c r="E2198" s="562"/>
      <c r="F2198" s="562">
        <v>61525800</v>
      </c>
      <c r="G2198" s="562">
        <f t="shared" si="40"/>
        <v>0</v>
      </c>
      <c r="H2198" s="562"/>
      <c r="I2198" s="562"/>
      <c r="J2198" s="562"/>
    </row>
    <row r="2199" spans="1:10" hidden="1" x14ac:dyDescent="0.25">
      <c r="A2199" s="532"/>
      <c r="B2199" s="532"/>
      <c r="C2199" s="532"/>
      <c r="D2199" s="564"/>
      <c r="E2199" s="564"/>
      <c r="F2199" s="564"/>
      <c r="G2199" s="562">
        <f t="shared" si="40"/>
        <v>0</v>
      </c>
      <c r="H2199" s="564"/>
      <c r="I2199" s="564"/>
      <c r="J2199" s="564"/>
    </row>
    <row r="2200" spans="1:10" hidden="1" x14ac:dyDescent="0.25">
      <c r="A2200" s="362"/>
      <c r="B2200" s="611">
        <v>44201</v>
      </c>
      <c r="C2200" s="362" t="s">
        <v>86</v>
      </c>
      <c r="D2200" s="562">
        <v>34799722</v>
      </c>
      <c r="E2200" s="562">
        <v>86288480</v>
      </c>
      <c r="F2200" s="562">
        <v>121088200</v>
      </c>
      <c r="G2200" s="562">
        <f t="shared" si="40"/>
        <v>2</v>
      </c>
      <c r="H2200" s="562"/>
      <c r="I2200" s="562"/>
      <c r="J2200" s="562"/>
    </row>
    <row r="2201" spans="1:10" hidden="1" x14ac:dyDescent="0.25">
      <c r="A2201" s="362"/>
      <c r="B2201" s="611">
        <v>44201</v>
      </c>
      <c r="C2201" s="362" t="s">
        <v>87</v>
      </c>
      <c r="D2201" s="562">
        <v>179941529</v>
      </c>
      <c r="E2201" s="562">
        <v>54530885</v>
      </c>
      <c r="F2201" s="562">
        <v>234472500</v>
      </c>
      <c r="G2201" s="562">
        <f t="shared" si="40"/>
        <v>-86</v>
      </c>
      <c r="H2201" s="562"/>
      <c r="I2201" s="562"/>
      <c r="J2201" s="562"/>
    </row>
    <row r="2202" spans="1:10" hidden="1" x14ac:dyDescent="0.25">
      <c r="A2202" s="362"/>
      <c r="B2202" s="611">
        <v>44201</v>
      </c>
      <c r="C2202" s="362" t="s">
        <v>88</v>
      </c>
      <c r="D2202" s="562">
        <v>267535601</v>
      </c>
      <c r="E2202" s="562">
        <v>15116242</v>
      </c>
      <c r="F2202" s="562">
        <v>282651900</v>
      </c>
      <c r="G2202" s="562">
        <f t="shared" si="40"/>
        <v>-57</v>
      </c>
      <c r="H2202" s="562"/>
      <c r="I2202" s="562"/>
      <c r="J2202" s="562"/>
    </row>
    <row r="2203" spans="1:10" hidden="1" x14ac:dyDescent="0.25">
      <c r="A2203" s="362"/>
      <c r="B2203" s="611">
        <v>44201</v>
      </c>
      <c r="C2203" s="362" t="s">
        <v>82</v>
      </c>
      <c r="D2203" s="562">
        <v>130271535</v>
      </c>
      <c r="E2203" s="562"/>
      <c r="F2203" s="562">
        <v>130271600</v>
      </c>
      <c r="G2203" s="562">
        <f t="shared" si="40"/>
        <v>-65</v>
      </c>
      <c r="H2203" s="562"/>
      <c r="I2203" s="562"/>
      <c r="J2203" s="562"/>
    </row>
    <row r="2204" spans="1:10" hidden="1" x14ac:dyDescent="0.25">
      <c r="A2204" s="362"/>
      <c r="B2204" s="611">
        <v>44201</v>
      </c>
      <c r="C2204" s="362" t="s">
        <v>80</v>
      </c>
      <c r="D2204" s="562">
        <v>310602000</v>
      </c>
      <c r="E2204" s="562"/>
      <c r="F2204" s="562">
        <v>310602600</v>
      </c>
      <c r="G2204" s="562">
        <f t="shared" si="40"/>
        <v>-600</v>
      </c>
      <c r="H2204" s="562"/>
      <c r="I2204" s="562"/>
      <c r="J2204" s="562"/>
    </row>
    <row r="2205" spans="1:10" hidden="1" x14ac:dyDescent="0.25">
      <c r="A2205" s="362"/>
      <c r="B2205" s="611">
        <v>44201</v>
      </c>
      <c r="C2205" s="362" t="s">
        <v>83</v>
      </c>
      <c r="D2205" s="562">
        <v>202568311</v>
      </c>
      <c r="E2205" s="562">
        <v>3207852</v>
      </c>
      <c r="F2205" s="562">
        <v>205776200</v>
      </c>
      <c r="G2205" s="562">
        <f t="shared" si="40"/>
        <v>-37</v>
      </c>
      <c r="H2205" s="562"/>
      <c r="I2205" s="562"/>
      <c r="J2205" s="562"/>
    </row>
    <row r="2206" spans="1:10" hidden="1" x14ac:dyDescent="0.25">
      <c r="A2206" s="362"/>
      <c r="B2206" s="611">
        <v>44201</v>
      </c>
      <c r="C2206" s="362" t="s">
        <v>78</v>
      </c>
      <c r="D2206" s="562">
        <v>73963448</v>
      </c>
      <c r="E2206" s="562">
        <v>4027752</v>
      </c>
      <c r="F2206" s="562">
        <v>77991200</v>
      </c>
      <c r="G2206" s="562">
        <f t="shared" si="40"/>
        <v>0</v>
      </c>
      <c r="H2206" s="562"/>
      <c r="I2206" s="562"/>
      <c r="J2206" s="562"/>
    </row>
    <row r="2207" spans="1:10" hidden="1" x14ac:dyDescent="0.25">
      <c r="A2207" s="362"/>
      <c r="B2207" s="611">
        <v>44201</v>
      </c>
      <c r="C2207" s="362" t="s">
        <v>141</v>
      </c>
      <c r="D2207" s="562">
        <v>47773844</v>
      </c>
      <c r="E2207" s="562"/>
      <c r="F2207" s="562">
        <v>47773900</v>
      </c>
      <c r="G2207" s="562">
        <f t="shared" si="40"/>
        <v>-56</v>
      </c>
      <c r="H2207" s="562"/>
      <c r="I2207" s="562"/>
      <c r="J2207" s="562"/>
    </row>
    <row r="2208" spans="1:10" hidden="1" x14ac:dyDescent="0.25">
      <c r="A2208" s="362"/>
      <c r="B2208" s="611">
        <v>44201</v>
      </c>
      <c r="C2208" s="362" t="s">
        <v>89</v>
      </c>
      <c r="D2208" s="562">
        <v>88079326</v>
      </c>
      <c r="E2208" s="562">
        <v>78450074</v>
      </c>
      <c r="F2208" s="562">
        <v>166529400</v>
      </c>
      <c r="G2208" s="562">
        <f t="shared" si="40"/>
        <v>0</v>
      </c>
      <c r="H2208" s="562"/>
      <c r="I2208" s="562"/>
      <c r="J2208" s="562"/>
    </row>
    <row r="2209" spans="1:10" hidden="1" x14ac:dyDescent="0.25">
      <c r="A2209" s="362"/>
      <c r="B2209" s="611">
        <v>44201</v>
      </c>
      <c r="C2209" s="362" t="s">
        <v>81</v>
      </c>
      <c r="D2209" s="562">
        <v>75502737</v>
      </c>
      <c r="E2209" s="562">
        <v>7410372</v>
      </c>
      <c r="F2209" s="562">
        <v>82913300</v>
      </c>
      <c r="G2209" s="562">
        <f t="shared" si="40"/>
        <v>-191</v>
      </c>
      <c r="H2209" s="562"/>
      <c r="I2209" s="562"/>
      <c r="J2209" s="562"/>
    </row>
    <row r="2210" spans="1:10" hidden="1" x14ac:dyDescent="0.25">
      <c r="A2210" s="362"/>
      <c r="B2210" s="611">
        <v>44201</v>
      </c>
      <c r="C2210" s="362" t="s">
        <v>84</v>
      </c>
      <c r="D2210" s="562">
        <v>328228018</v>
      </c>
      <c r="E2210" s="562">
        <v>8324810</v>
      </c>
      <c r="F2210" s="562">
        <v>336552900</v>
      </c>
      <c r="G2210" s="562">
        <f t="shared" si="40"/>
        <v>-72</v>
      </c>
      <c r="H2210" s="562"/>
      <c r="I2210" s="562"/>
      <c r="J2210" s="562"/>
    </row>
    <row r="2211" spans="1:10" hidden="1" x14ac:dyDescent="0.25">
      <c r="A2211" s="362"/>
      <c r="B2211" s="611">
        <v>44201</v>
      </c>
      <c r="C2211" s="362" t="s">
        <v>4751</v>
      </c>
      <c r="D2211" s="562">
        <v>217839794</v>
      </c>
      <c r="E2211" s="562">
        <v>7362706</v>
      </c>
      <c r="F2211" s="562">
        <v>225202500</v>
      </c>
      <c r="G2211" s="562">
        <f t="shared" si="40"/>
        <v>0</v>
      </c>
      <c r="H2211" s="562"/>
      <c r="I2211" s="562"/>
      <c r="J2211" s="562"/>
    </row>
    <row r="2212" spans="1:10" hidden="1" x14ac:dyDescent="0.25">
      <c r="A2212" s="362"/>
      <c r="B2212" s="611">
        <v>44201</v>
      </c>
      <c r="C2212" s="362" t="s">
        <v>166</v>
      </c>
      <c r="D2212" s="562"/>
      <c r="E2212" s="562"/>
      <c r="F2212" s="562">
        <v>85916900</v>
      </c>
      <c r="G2212" s="562">
        <f t="shared" si="40"/>
        <v>-85916900</v>
      </c>
      <c r="H2212" s="562"/>
      <c r="I2212" s="562"/>
      <c r="J2212" s="562"/>
    </row>
    <row r="2213" spans="1:10" hidden="1" x14ac:dyDescent="0.25">
      <c r="A2213" s="362"/>
      <c r="B2213" s="611">
        <v>44201</v>
      </c>
      <c r="C2213" s="362" t="s">
        <v>3435</v>
      </c>
      <c r="D2213" s="562">
        <v>45355943</v>
      </c>
      <c r="E2213" s="562"/>
      <c r="F2213" s="562">
        <v>45356000</v>
      </c>
      <c r="G2213" s="562">
        <f t="shared" si="40"/>
        <v>-57</v>
      </c>
      <c r="H2213" s="562"/>
      <c r="I2213" s="562"/>
      <c r="J2213" s="562"/>
    </row>
    <row r="2214" spans="1:10" hidden="1" x14ac:dyDescent="0.25">
      <c r="A2214" s="362"/>
      <c r="B2214" s="611">
        <v>44201</v>
      </c>
      <c r="C2214" s="362" t="s">
        <v>85</v>
      </c>
      <c r="D2214" s="562">
        <v>34464200</v>
      </c>
      <c r="E2214" s="562"/>
      <c r="F2214" s="562">
        <v>34464200</v>
      </c>
      <c r="G2214" s="562">
        <f t="shared" si="40"/>
        <v>0</v>
      </c>
      <c r="H2214" s="562"/>
      <c r="I2214" s="562"/>
      <c r="J2214" s="562"/>
    </row>
    <row r="2215" spans="1:10" hidden="1" x14ac:dyDescent="0.25">
      <c r="A2215" s="532"/>
      <c r="B2215" s="532"/>
      <c r="C2215" s="532"/>
      <c r="D2215" s="564"/>
      <c r="E2215" s="564"/>
      <c r="F2215" s="564"/>
      <c r="G2215" s="562">
        <f t="shared" si="40"/>
        <v>0</v>
      </c>
      <c r="H2215" s="564"/>
      <c r="I2215" s="564"/>
      <c r="J2215" s="564"/>
    </row>
    <row r="2216" spans="1:10" hidden="1" x14ac:dyDescent="0.25">
      <c r="A2216" s="362"/>
      <c r="B2216" s="611">
        <v>44202</v>
      </c>
      <c r="C2216" s="362" t="s">
        <v>86</v>
      </c>
      <c r="D2216" s="562">
        <v>78141189</v>
      </c>
      <c r="E2216" s="562">
        <v>82348881</v>
      </c>
      <c r="F2216" s="562"/>
      <c r="G2216" s="562">
        <f t="shared" si="40"/>
        <v>160490070</v>
      </c>
      <c r="H2216" s="562"/>
      <c r="I2216" s="562"/>
      <c r="J2216" s="562"/>
    </row>
    <row r="2217" spans="1:10" hidden="1" x14ac:dyDescent="0.25">
      <c r="A2217" s="362"/>
      <c r="B2217" s="611">
        <v>44202</v>
      </c>
      <c r="C2217" s="362" t="s">
        <v>87</v>
      </c>
      <c r="D2217" s="562">
        <v>167814441</v>
      </c>
      <c r="E2217" s="562">
        <v>131589738</v>
      </c>
      <c r="F2217" s="562"/>
      <c r="G2217" s="562">
        <f t="shared" ref="G2217:G2275" si="41">D2217+E2217-F2217</f>
        <v>299404179</v>
      </c>
      <c r="H2217" s="562"/>
      <c r="I2217" s="562"/>
      <c r="J2217" s="562"/>
    </row>
    <row r="2218" spans="1:10" hidden="1" x14ac:dyDescent="0.25">
      <c r="A2218" s="362"/>
      <c r="B2218" s="611">
        <v>44202</v>
      </c>
      <c r="C2218" s="362" t="s">
        <v>88</v>
      </c>
      <c r="D2218" s="562">
        <v>411660158</v>
      </c>
      <c r="E2218" s="562">
        <v>82136593</v>
      </c>
      <c r="F2218" s="562"/>
      <c r="G2218" s="562">
        <f t="shared" si="41"/>
        <v>493796751</v>
      </c>
      <c r="H2218" s="562"/>
      <c r="I2218" s="562"/>
      <c r="J2218" s="562"/>
    </row>
    <row r="2219" spans="1:10" hidden="1" x14ac:dyDescent="0.25">
      <c r="A2219" s="362"/>
      <c r="B2219" s="611">
        <v>44202</v>
      </c>
      <c r="C2219" s="362" t="s">
        <v>82</v>
      </c>
      <c r="D2219" s="562">
        <v>204811899</v>
      </c>
      <c r="E2219" s="562">
        <v>1849000</v>
      </c>
      <c r="F2219" s="562"/>
      <c r="G2219" s="562">
        <f t="shared" si="41"/>
        <v>206660899</v>
      </c>
      <c r="H2219" s="562"/>
      <c r="I2219" s="562"/>
      <c r="J2219" s="562"/>
    </row>
    <row r="2220" spans="1:10" hidden="1" x14ac:dyDescent="0.25">
      <c r="A2220" s="362"/>
      <c r="B2220" s="611">
        <v>44202</v>
      </c>
      <c r="C2220" s="362" t="s">
        <v>80</v>
      </c>
      <c r="D2220" s="562">
        <v>347687299</v>
      </c>
      <c r="E2220" s="562"/>
      <c r="F2220" s="562"/>
      <c r="G2220" s="562">
        <f t="shared" si="41"/>
        <v>347687299</v>
      </c>
      <c r="H2220" s="562"/>
      <c r="I2220" s="562"/>
      <c r="J2220" s="562"/>
    </row>
    <row r="2221" spans="1:10" hidden="1" x14ac:dyDescent="0.25">
      <c r="A2221" s="362"/>
      <c r="B2221" s="611">
        <v>44202</v>
      </c>
      <c r="C2221" s="362" t="s">
        <v>83</v>
      </c>
      <c r="D2221" s="562">
        <v>159568967</v>
      </c>
      <c r="E2221" s="562">
        <v>71616462</v>
      </c>
      <c r="F2221" s="562"/>
      <c r="G2221" s="562">
        <f t="shared" si="41"/>
        <v>231185429</v>
      </c>
      <c r="H2221" s="562"/>
      <c r="I2221" s="562"/>
      <c r="J2221" s="562"/>
    </row>
    <row r="2222" spans="1:10" hidden="1" x14ac:dyDescent="0.25">
      <c r="A2222" s="362"/>
      <c r="B2222" s="611">
        <v>44202</v>
      </c>
      <c r="C2222" s="362" t="s">
        <v>78</v>
      </c>
      <c r="D2222" s="562">
        <v>76690182</v>
      </c>
      <c r="E2222" s="562">
        <v>131518</v>
      </c>
      <c r="F2222" s="562"/>
      <c r="G2222" s="562">
        <f t="shared" si="41"/>
        <v>76821700</v>
      </c>
      <c r="H2222" s="562"/>
      <c r="I2222" s="562"/>
      <c r="J2222" s="562"/>
    </row>
    <row r="2223" spans="1:10" hidden="1" x14ac:dyDescent="0.25">
      <c r="A2223" s="362"/>
      <c r="B2223" s="611">
        <v>44202</v>
      </c>
      <c r="C2223" s="362" t="s">
        <v>141</v>
      </c>
      <c r="D2223" s="562">
        <v>118932439</v>
      </c>
      <c r="E2223" s="562"/>
      <c r="F2223" s="562"/>
      <c r="G2223" s="562">
        <f t="shared" si="41"/>
        <v>118932439</v>
      </c>
      <c r="H2223" s="562"/>
      <c r="I2223" s="562"/>
      <c r="J2223" s="562"/>
    </row>
    <row r="2224" spans="1:10" hidden="1" x14ac:dyDescent="0.25">
      <c r="A2224" s="362"/>
      <c r="B2224" s="611">
        <v>44202</v>
      </c>
      <c r="C2224" s="362" t="s">
        <v>89</v>
      </c>
      <c r="D2224" s="562">
        <v>175845049</v>
      </c>
      <c r="E2224" s="562">
        <v>44616851</v>
      </c>
      <c r="F2224" s="562"/>
      <c r="G2224" s="562">
        <f t="shared" si="41"/>
        <v>220461900</v>
      </c>
      <c r="H2224" s="562"/>
      <c r="I2224" s="562"/>
      <c r="J2224" s="562"/>
    </row>
    <row r="2225" spans="1:10" hidden="1" x14ac:dyDescent="0.25">
      <c r="A2225" s="362"/>
      <c r="B2225" s="611">
        <v>44202</v>
      </c>
      <c r="C2225" s="362" t="s">
        <v>81</v>
      </c>
      <c r="D2225" s="562">
        <v>119556911</v>
      </c>
      <c r="E2225" s="562">
        <v>17592817</v>
      </c>
      <c r="F2225" s="562"/>
      <c r="G2225" s="562">
        <f t="shared" si="41"/>
        <v>137149728</v>
      </c>
      <c r="H2225" s="562"/>
      <c r="I2225" s="562"/>
      <c r="J2225" s="562"/>
    </row>
    <row r="2226" spans="1:10" hidden="1" x14ac:dyDescent="0.25">
      <c r="A2226" s="362"/>
      <c r="B2226" s="611">
        <v>44202</v>
      </c>
      <c r="C2226" s="362" t="s">
        <v>84</v>
      </c>
      <c r="D2226" s="562">
        <v>359935531</v>
      </c>
      <c r="E2226" s="562">
        <v>14577425</v>
      </c>
      <c r="F2226" s="562"/>
      <c r="G2226" s="562">
        <f t="shared" si="41"/>
        <v>374512956</v>
      </c>
      <c r="H2226" s="562"/>
      <c r="I2226" s="562"/>
      <c r="J2226" s="562"/>
    </row>
    <row r="2227" spans="1:10" hidden="1" x14ac:dyDescent="0.25">
      <c r="A2227" s="362"/>
      <c r="B2227" s="611">
        <v>44202</v>
      </c>
      <c r="C2227" s="362" t="s">
        <v>4751</v>
      </c>
      <c r="D2227" s="562">
        <v>149017564</v>
      </c>
      <c r="E2227" s="562">
        <v>8562236</v>
      </c>
      <c r="F2227" s="562"/>
      <c r="G2227" s="562">
        <f t="shared" si="41"/>
        <v>157579800</v>
      </c>
      <c r="H2227" s="562"/>
      <c r="I2227" s="562"/>
      <c r="J2227" s="562"/>
    </row>
    <row r="2228" spans="1:10" hidden="1" x14ac:dyDescent="0.25">
      <c r="A2228" s="362"/>
      <c r="B2228" s="611">
        <v>44202</v>
      </c>
      <c r="C2228" s="362" t="s">
        <v>166</v>
      </c>
      <c r="D2228" s="562">
        <v>60018711</v>
      </c>
      <c r="E2228" s="562"/>
      <c r="F2228" s="562"/>
      <c r="G2228" s="562">
        <f t="shared" si="41"/>
        <v>60018711</v>
      </c>
      <c r="H2228" s="562"/>
      <c r="I2228" s="562"/>
      <c r="J2228" s="562"/>
    </row>
    <row r="2229" spans="1:10" hidden="1" x14ac:dyDescent="0.25">
      <c r="A2229" s="362"/>
      <c r="B2229" s="611">
        <v>44202</v>
      </c>
      <c r="C2229" s="362" t="s">
        <v>3435</v>
      </c>
      <c r="D2229" s="562">
        <v>113780078</v>
      </c>
      <c r="E2229" s="562"/>
      <c r="F2229" s="562"/>
      <c r="G2229" s="562">
        <f t="shared" si="41"/>
        <v>113780078</v>
      </c>
      <c r="H2229" s="562"/>
      <c r="I2229" s="562"/>
      <c r="J2229" s="562"/>
    </row>
    <row r="2230" spans="1:10" hidden="1" x14ac:dyDescent="0.25">
      <c r="A2230" s="362"/>
      <c r="B2230" s="611">
        <v>44202</v>
      </c>
      <c r="C2230" s="362" t="s">
        <v>85</v>
      </c>
      <c r="D2230" s="562">
        <v>44876700</v>
      </c>
      <c r="E2230" s="562"/>
      <c r="F2230" s="562"/>
      <c r="G2230" s="562">
        <f t="shared" si="41"/>
        <v>44876700</v>
      </c>
      <c r="H2230" s="562"/>
      <c r="I2230" s="562"/>
      <c r="J2230" s="562"/>
    </row>
    <row r="2231" spans="1:10" hidden="1" x14ac:dyDescent="0.25">
      <c r="A2231" s="532"/>
      <c r="B2231" s="532"/>
      <c r="C2231" s="532"/>
      <c r="D2231" s="564"/>
      <c r="E2231" s="564"/>
      <c r="F2231" s="564"/>
      <c r="G2231" s="564">
        <f t="shared" si="41"/>
        <v>0</v>
      </c>
      <c r="H2231" s="564"/>
      <c r="I2231" s="564"/>
      <c r="J2231" s="564"/>
    </row>
    <row r="2232" spans="1:10" hidden="1" x14ac:dyDescent="0.25">
      <c r="A2232" s="362"/>
      <c r="B2232" s="611">
        <v>44203</v>
      </c>
      <c r="C2232" s="362" t="s">
        <v>86</v>
      </c>
      <c r="D2232" s="562"/>
      <c r="E2232" s="562"/>
      <c r="F2232" s="562"/>
      <c r="G2232" s="562">
        <f t="shared" si="41"/>
        <v>0</v>
      </c>
      <c r="H2232" s="562"/>
      <c r="I2232" s="562"/>
      <c r="J2232" s="562"/>
    </row>
    <row r="2233" spans="1:10" hidden="1" x14ac:dyDescent="0.25">
      <c r="A2233" s="362"/>
      <c r="B2233" s="611">
        <v>44203</v>
      </c>
      <c r="C2233" s="362" t="s">
        <v>87</v>
      </c>
      <c r="D2233" s="562"/>
      <c r="E2233" s="562"/>
      <c r="F2233" s="562"/>
      <c r="G2233" s="562">
        <f t="shared" si="41"/>
        <v>0</v>
      </c>
      <c r="H2233" s="562"/>
      <c r="I2233" s="562"/>
      <c r="J2233" s="562"/>
    </row>
    <row r="2234" spans="1:10" hidden="1" x14ac:dyDescent="0.25">
      <c r="A2234" s="362"/>
      <c r="B2234" s="611">
        <v>44203</v>
      </c>
      <c r="C2234" s="362" t="s">
        <v>88</v>
      </c>
      <c r="D2234" s="562"/>
      <c r="E2234" s="562"/>
      <c r="F2234" s="562"/>
      <c r="G2234" s="562">
        <f t="shared" si="41"/>
        <v>0</v>
      </c>
      <c r="H2234" s="562"/>
      <c r="I2234" s="562"/>
      <c r="J2234" s="562"/>
    </row>
    <row r="2235" spans="1:10" hidden="1" x14ac:dyDescent="0.25">
      <c r="A2235" s="362"/>
      <c r="B2235" s="611">
        <v>44203</v>
      </c>
      <c r="C2235" s="362" t="s">
        <v>82</v>
      </c>
      <c r="D2235" s="562"/>
      <c r="E2235" s="562"/>
      <c r="F2235" s="562"/>
      <c r="G2235" s="562">
        <f t="shared" si="41"/>
        <v>0</v>
      </c>
      <c r="H2235" s="562"/>
      <c r="I2235" s="562"/>
      <c r="J2235" s="562"/>
    </row>
    <row r="2236" spans="1:10" hidden="1" x14ac:dyDescent="0.25">
      <c r="A2236" s="362"/>
      <c r="B2236" s="611">
        <v>44203</v>
      </c>
      <c r="C2236" s="362" t="s">
        <v>80</v>
      </c>
      <c r="D2236" s="562"/>
      <c r="E2236" s="562"/>
      <c r="F2236" s="562"/>
      <c r="G2236" s="562">
        <f t="shared" si="41"/>
        <v>0</v>
      </c>
      <c r="H2236" s="562"/>
      <c r="I2236" s="562"/>
      <c r="J2236" s="562"/>
    </row>
    <row r="2237" spans="1:10" hidden="1" x14ac:dyDescent="0.25">
      <c r="A2237" s="362"/>
      <c r="B2237" s="611">
        <v>44203</v>
      </c>
      <c r="C2237" s="362" t="s">
        <v>83</v>
      </c>
      <c r="D2237" s="562"/>
      <c r="E2237" s="562"/>
      <c r="F2237" s="562"/>
      <c r="G2237" s="562">
        <f t="shared" si="41"/>
        <v>0</v>
      </c>
      <c r="H2237" s="562"/>
      <c r="I2237" s="562"/>
      <c r="J2237" s="562"/>
    </row>
    <row r="2238" spans="1:10" hidden="1" x14ac:dyDescent="0.25">
      <c r="A2238" s="362"/>
      <c r="B2238" s="611">
        <v>44203</v>
      </c>
      <c r="C2238" s="362" t="s">
        <v>78</v>
      </c>
      <c r="D2238" s="562"/>
      <c r="E2238" s="562"/>
      <c r="F2238" s="562"/>
      <c r="G2238" s="562">
        <f t="shared" si="41"/>
        <v>0</v>
      </c>
      <c r="H2238" s="562"/>
      <c r="I2238" s="562"/>
      <c r="J2238" s="562"/>
    </row>
    <row r="2239" spans="1:10" hidden="1" x14ac:dyDescent="0.25">
      <c r="A2239" s="362"/>
      <c r="B2239" s="611">
        <v>44203</v>
      </c>
      <c r="C2239" s="362" t="s">
        <v>141</v>
      </c>
      <c r="D2239" s="562"/>
      <c r="E2239" s="562"/>
      <c r="F2239" s="562"/>
      <c r="G2239" s="562">
        <f t="shared" si="41"/>
        <v>0</v>
      </c>
      <c r="H2239" s="562"/>
      <c r="I2239" s="562"/>
      <c r="J2239" s="562"/>
    </row>
    <row r="2240" spans="1:10" hidden="1" x14ac:dyDescent="0.25">
      <c r="A2240" s="362"/>
      <c r="B2240" s="611">
        <v>44203</v>
      </c>
      <c r="C2240" s="362" t="s">
        <v>89</v>
      </c>
      <c r="D2240" s="562"/>
      <c r="E2240" s="562"/>
      <c r="F2240" s="562"/>
      <c r="G2240" s="562">
        <f t="shared" si="41"/>
        <v>0</v>
      </c>
      <c r="H2240" s="562"/>
      <c r="I2240" s="562"/>
      <c r="J2240" s="562"/>
    </row>
    <row r="2241" spans="1:10" hidden="1" x14ac:dyDescent="0.25">
      <c r="A2241" s="362"/>
      <c r="B2241" s="611">
        <v>44203</v>
      </c>
      <c r="C2241" s="362" t="s">
        <v>81</v>
      </c>
      <c r="D2241" s="562"/>
      <c r="E2241" s="562"/>
      <c r="F2241" s="562"/>
      <c r="G2241" s="562">
        <f t="shared" si="41"/>
        <v>0</v>
      </c>
      <c r="H2241" s="562"/>
      <c r="I2241" s="562"/>
      <c r="J2241" s="562"/>
    </row>
    <row r="2242" spans="1:10" hidden="1" x14ac:dyDescent="0.25">
      <c r="A2242" s="362"/>
      <c r="B2242" s="611">
        <v>44203</v>
      </c>
      <c r="C2242" s="362" t="s">
        <v>84</v>
      </c>
      <c r="D2242" s="562"/>
      <c r="E2242" s="562"/>
      <c r="F2242" s="562"/>
      <c r="G2242" s="562">
        <f t="shared" si="41"/>
        <v>0</v>
      </c>
      <c r="H2242" s="562"/>
      <c r="I2242" s="562"/>
      <c r="J2242" s="562"/>
    </row>
    <row r="2243" spans="1:10" hidden="1" x14ac:dyDescent="0.25">
      <c r="A2243" s="362"/>
      <c r="B2243" s="611">
        <v>44203</v>
      </c>
      <c r="C2243" s="362" t="s">
        <v>4751</v>
      </c>
      <c r="D2243" s="562"/>
      <c r="E2243" s="562"/>
      <c r="F2243" s="562"/>
      <c r="G2243" s="562">
        <f t="shared" si="41"/>
        <v>0</v>
      </c>
      <c r="H2243" s="562"/>
      <c r="I2243" s="562"/>
      <c r="J2243" s="562"/>
    </row>
    <row r="2244" spans="1:10" hidden="1" x14ac:dyDescent="0.25">
      <c r="A2244" s="362"/>
      <c r="B2244" s="611">
        <v>44203</v>
      </c>
      <c r="C2244" s="362" t="s">
        <v>166</v>
      </c>
      <c r="D2244" s="562"/>
      <c r="E2244" s="562"/>
      <c r="F2244" s="562"/>
      <c r="G2244" s="562">
        <f t="shared" si="41"/>
        <v>0</v>
      </c>
      <c r="H2244" s="562"/>
      <c r="I2244" s="562"/>
      <c r="J2244" s="562"/>
    </row>
    <row r="2245" spans="1:10" hidden="1" x14ac:dyDescent="0.25">
      <c r="A2245" s="362"/>
      <c r="B2245" s="611">
        <v>44203</v>
      </c>
      <c r="C2245" s="362" t="s">
        <v>3435</v>
      </c>
      <c r="D2245" s="562"/>
      <c r="E2245" s="562"/>
      <c r="F2245" s="562"/>
      <c r="G2245" s="562">
        <f t="shared" si="41"/>
        <v>0</v>
      </c>
      <c r="H2245" s="562"/>
      <c r="I2245" s="562"/>
      <c r="J2245" s="562"/>
    </row>
    <row r="2246" spans="1:10" hidden="1" x14ac:dyDescent="0.25">
      <c r="A2246" s="362"/>
      <c r="B2246" s="611">
        <v>44203</v>
      </c>
      <c r="C2246" s="362" t="s">
        <v>85</v>
      </c>
      <c r="D2246" s="562"/>
      <c r="E2246" s="562"/>
      <c r="F2246" s="562"/>
      <c r="G2246" s="562">
        <f t="shared" si="41"/>
        <v>0</v>
      </c>
      <c r="H2246" s="562"/>
      <c r="I2246" s="562"/>
      <c r="J2246" s="562"/>
    </row>
    <row r="2247" spans="1:10" hidden="1" x14ac:dyDescent="0.25">
      <c r="A2247" s="532"/>
      <c r="B2247" s="532"/>
      <c r="C2247" s="532"/>
      <c r="D2247" s="564"/>
      <c r="E2247" s="564"/>
      <c r="F2247" s="564"/>
      <c r="G2247" s="564">
        <f t="shared" si="41"/>
        <v>0</v>
      </c>
      <c r="H2247" s="564"/>
      <c r="I2247" s="564"/>
      <c r="J2247" s="564"/>
    </row>
    <row r="2248" spans="1:10" hidden="1" x14ac:dyDescent="0.25">
      <c r="A2248" s="362"/>
      <c r="B2248" s="611">
        <v>44204</v>
      </c>
      <c r="C2248" s="362" t="s">
        <v>86</v>
      </c>
      <c r="D2248" s="562"/>
      <c r="E2248" s="562"/>
      <c r="F2248" s="562"/>
      <c r="G2248" s="562">
        <f t="shared" si="41"/>
        <v>0</v>
      </c>
      <c r="H2248" s="562"/>
      <c r="I2248" s="562"/>
      <c r="J2248" s="562"/>
    </row>
    <row r="2249" spans="1:10" hidden="1" x14ac:dyDescent="0.25">
      <c r="A2249" s="362"/>
      <c r="B2249" s="611">
        <v>44204</v>
      </c>
      <c r="C2249" s="362" t="s">
        <v>87</v>
      </c>
      <c r="D2249" s="562"/>
      <c r="E2249" s="562"/>
      <c r="F2249" s="562"/>
      <c r="G2249" s="562">
        <f t="shared" si="41"/>
        <v>0</v>
      </c>
      <c r="H2249" s="562"/>
      <c r="I2249" s="562"/>
      <c r="J2249" s="562"/>
    </row>
    <row r="2250" spans="1:10" hidden="1" x14ac:dyDescent="0.25">
      <c r="A2250" s="362"/>
      <c r="B2250" s="611">
        <v>44204</v>
      </c>
      <c r="C2250" s="362" t="s">
        <v>88</v>
      </c>
      <c r="D2250" s="562"/>
      <c r="E2250" s="562"/>
      <c r="F2250" s="562"/>
      <c r="G2250" s="562">
        <f t="shared" si="41"/>
        <v>0</v>
      </c>
      <c r="H2250" s="562"/>
      <c r="I2250" s="562"/>
      <c r="J2250" s="562"/>
    </row>
    <row r="2251" spans="1:10" hidden="1" x14ac:dyDescent="0.25">
      <c r="A2251" s="362"/>
      <c r="B2251" s="611">
        <v>44204</v>
      </c>
      <c r="C2251" s="362" t="s">
        <v>82</v>
      </c>
      <c r="D2251" s="562"/>
      <c r="E2251" s="562"/>
      <c r="F2251" s="562"/>
      <c r="G2251" s="562">
        <f t="shared" si="41"/>
        <v>0</v>
      </c>
      <c r="H2251" s="562"/>
      <c r="I2251" s="562"/>
      <c r="J2251" s="562"/>
    </row>
    <row r="2252" spans="1:10" hidden="1" x14ac:dyDescent="0.25">
      <c r="A2252" s="362"/>
      <c r="B2252" s="611">
        <v>44204</v>
      </c>
      <c r="C2252" s="362" t="s">
        <v>80</v>
      </c>
      <c r="D2252" s="562"/>
      <c r="E2252" s="562"/>
      <c r="F2252" s="562"/>
      <c r="G2252" s="562">
        <f t="shared" si="41"/>
        <v>0</v>
      </c>
      <c r="H2252" s="562"/>
      <c r="I2252" s="562"/>
      <c r="J2252" s="562"/>
    </row>
    <row r="2253" spans="1:10" hidden="1" x14ac:dyDescent="0.25">
      <c r="A2253" s="362"/>
      <c r="B2253" s="611">
        <v>44204</v>
      </c>
      <c r="C2253" s="362" t="s">
        <v>83</v>
      </c>
      <c r="D2253" s="562"/>
      <c r="E2253" s="562"/>
      <c r="F2253" s="562"/>
      <c r="G2253" s="562">
        <f t="shared" si="41"/>
        <v>0</v>
      </c>
      <c r="H2253" s="562"/>
      <c r="I2253" s="562"/>
      <c r="J2253" s="562"/>
    </row>
    <row r="2254" spans="1:10" hidden="1" x14ac:dyDescent="0.25">
      <c r="A2254" s="362"/>
      <c r="B2254" s="611">
        <v>44204</v>
      </c>
      <c r="C2254" s="362" t="s">
        <v>78</v>
      </c>
      <c r="D2254" s="562"/>
      <c r="E2254" s="562"/>
      <c r="F2254" s="562"/>
      <c r="G2254" s="562">
        <f t="shared" si="41"/>
        <v>0</v>
      </c>
      <c r="H2254" s="562"/>
      <c r="I2254" s="562"/>
      <c r="J2254" s="562"/>
    </row>
    <row r="2255" spans="1:10" hidden="1" x14ac:dyDescent="0.25">
      <c r="A2255" s="362"/>
      <c r="B2255" s="611">
        <v>44204</v>
      </c>
      <c r="C2255" s="362" t="s">
        <v>141</v>
      </c>
      <c r="D2255" s="562"/>
      <c r="E2255" s="562"/>
      <c r="F2255" s="562"/>
      <c r="G2255" s="562">
        <f t="shared" si="41"/>
        <v>0</v>
      </c>
      <c r="H2255" s="562"/>
      <c r="I2255" s="562"/>
      <c r="J2255" s="562"/>
    </row>
    <row r="2256" spans="1:10" hidden="1" x14ac:dyDescent="0.25">
      <c r="A2256" s="362"/>
      <c r="B2256" s="611">
        <v>44204</v>
      </c>
      <c r="C2256" s="362" t="s">
        <v>89</v>
      </c>
      <c r="D2256" s="562"/>
      <c r="E2256" s="562"/>
      <c r="F2256" s="562"/>
      <c r="G2256" s="562">
        <f t="shared" si="41"/>
        <v>0</v>
      </c>
      <c r="H2256" s="562"/>
      <c r="I2256" s="562"/>
      <c r="J2256" s="562"/>
    </row>
    <row r="2257" spans="1:10" hidden="1" x14ac:dyDescent="0.25">
      <c r="A2257" s="362"/>
      <c r="B2257" s="611">
        <v>44204</v>
      </c>
      <c r="C2257" s="362" t="s">
        <v>81</v>
      </c>
      <c r="D2257" s="562"/>
      <c r="E2257" s="562"/>
      <c r="F2257" s="562"/>
      <c r="G2257" s="562">
        <f t="shared" si="41"/>
        <v>0</v>
      </c>
      <c r="H2257" s="562"/>
      <c r="I2257" s="562"/>
      <c r="J2257" s="562"/>
    </row>
    <row r="2258" spans="1:10" hidden="1" x14ac:dyDescent="0.25">
      <c r="A2258" s="362"/>
      <c r="B2258" s="611">
        <v>44204</v>
      </c>
      <c r="C2258" s="362" t="s">
        <v>84</v>
      </c>
      <c r="D2258" s="562"/>
      <c r="E2258" s="562"/>
      <c r="F2258" s="562"/>
      <c r="G2258" s="562">
        <f t="shared" si="41"/>
        <v>0</v>
      </c>
      <c r="H2258" s="562"/>
      <c r="I2258" s="562"/>
      <c r="J2258" s="562"/>
    </row>
    <row r="2259" spans="1:10" hidden="1" x14ac:dyDescent="0.25">
      <c r="A2259" s="362"/>
      <c r="B2259" s="611">
        <v>44204</v>
      </c>
      <c r="C2259" s="362" t="s">
        <v>4751</v>
      </c>
      <c r="D2259" s="562"/>
      <c r="E2259" s="562"/>
      <c r="F2259" s="562"/>
      <c r="G2259" s="562">
        <f t="shared" si="41"/>
        <v>0</v>
      </c>
      <c r="H2259" s="562"/>
      <c r="I2259" s="562"/>
      <c r="J2259" s="562"/>
    </row>
    <row r="2260" spans="1:10" hidden="1" x14ac:dyDescent="0.25">
      <c r="A2260" s="362"/>
      <c r="B2260" s="611">
        <v>44204</v>
      </c>
      <c r="C2260" s="362" t="s">
        <v>166</v>
      </c>
      <c r="D2260" s="562"/>
      <c r="E2260" s="562"/>
      <c r="F2260" s="562"/>
      <c r="G2260" s="562">
        <f t="shared" si="41"/>
        <v>0</v>
      </c>
      <c r="H2260" s="562"/>
      <c r="I2260" s="562"/>
      <c r="J2260" s="562"/>
    </row>
    <row r="2261" spans="1:10" hidden="1" x14ac:dyDescent="0.25">
      <c r="A2261" s="362"/>
      <c r="B2261" s="611">
        <v>44204</v>
      </c>
      <c r="C2261" s="362" t="s">
        <v>3435</v>
      </c>
      <c r="D2261" s="562"/>
      <c r="E2261" s="562"/>
      <c r="F2261" s="562"/>
      <c r="G2261" s="562">
        <f t="shared" si="41"/>
        <v>0</v>
      </c>
      <c r="H2261" s="562"/>
      <c r="I2261" s="562"/>
      <c r="J2261" s="562"/>
    </row>
    <row r="2262" spans="1:10" hidden="1" x14ac:dyDescent="0.25">
      <c r="A2262" s="362"/>
      <c r="B2262" s="611">
        <v>44204</v>
      </c>
      <c r="C2262" s="362" t="s">
        <v>85</v>
      </c>
      <c r="D2262" s="562"/>
      <c r="E2262" s="562"/>
      <c r="F2262" s="562"/>
      <c r="G2262" s="562">
        <f t="shared" si="41"/>
        <v>0</v>
      </c>
      <c r="H2262" s="562"/>
      <c r="I2262" s="562"/>
      <c r="J2262" s="562"/>
    </row>
    <row r="2263" spans="1:10" hidden="1" x14ac:dyDescent="0.25">
      <c r="A2263" s="532"/>
      <c r="B2263" s="532"/>
      <c r="C2263" s="532"/>
      <c r="D2263" s="564"/>
      <c r="E2263" s="564"/>
      <c r="F2263" s="564"/>
      <c r="G2263" s="564">
        <f t="shared" si="41"/>
        <v>0</v>
      </c>
      <c r="H2263" s="564"/>
      <c r="I2263" s="564"/>
      <c r="J2263" s="564"/>
    </row>
    <row r="2264" spans="1:10" hidden="1" x14ac:dyDescent="0.25">
      <c r="A2264" s="362"/>
      <c r="B2264" s="611">
        <v>44205</v>
      </c>
      <c r="C2264" s="362" t="s">
        <v>86</v>
      </c>
      <c r="D2264" s="562"/>
      <c r="E2264" s="562"/>
      <c r="F2264" s="562"/>
      <c r="G2264" s="562">
        <f t="shared" si="41"/>
        <v>0</v>
      </c>
      <c r="H2264" s="562"/>
      <c r="I2264" s="562"/>
      <c r="J2264" s="562"/>
    </row>
    <row r="2265" spans="1:10" hidden="1" x14ac:dyDescent="0.25">
      <c r="A2265" s="362"/>
      <c r="B2265" s="611">
        <v>44205</v>
      </c>
      <c r="C2265" s="362" t="s">
        <v>87</v>
      </c>
      <c r="D2265" s="562"/>
      <c r="E2265" s="562"/>
      <c r="F2265" s="562"/>
      <c r="G2265" s="562">
        <f t="shared" si="41"/>
        <v>0</v>
      </c>
      <c r="H2265" s="562"/>
      <c r="I2265" s="562"/>
      <c r="J2265" s="562"/>
    </row>
    <row r="2266" spans="1:10" hidden="1" x14ac:dyDescent="0.25">
      <c r="A2266" s="362"/>
      <c r="B2266" s="611">
        <v>44205</v>
      </c>
      <c r="C2266" s="362" t="s">
        <v>88</v>
      </c>
      <c r="D2266" s="562"/>
      <c r="E2266" s="562"/>
      <c r="F2266" s="562"/>
      <c r="G2266" s="562">
        <f t="shared" si="41"/>
        <v>0</v>
      </c>
      <c r="H2266" s="562"/>
      <c r="I2266" s="562"/>
      <c r="J2266" s="562"/>
    </row>
    <row r="2267" spans="1:10" hidden="1" x14ac:dyDescent="0.25">
      <c r="A2267" s="362"/>
      <c r="B2267" s="611">
        <v>44205</v>
      </c>
      <c r="C2267" s="362" t="s">
        <v>82</v>
      </c>
      <c r="D2267" s="562"/>
      <c r="E2267" s="562"/>
      <c r="F2267" s="562"/>
      <c r="G2267" s="562">
        <f t="shared" si="41"/>
        <v>0</v>
      </c>
      <c r="H2267" s="562"/>
      <c r="I2267" s="562"/>
      <c r="J2267" s="562"/>
    </row>
    <row r="2268" spans="1:10" hidden="1" x14ac:dyDescent="0.25">
      <c r="A2268" s="362"/>
      <c r="B2268" s="611">
        <v>44205</v>
      </c>
      <c r="C2268" s="362" t="s">
        <v>80</v>
      </c>
      <c r="D2268" s="562"/>
      <c r="E2268" s="562"/>
      <c r="F2268" s="562"/>
      <c r="G2268" s="562">
        <f t="shared" si="41"/>
        <v>0</v>
      </c>
      <c r="H2268" s="562"/>
      <c r="I2268" s="562"/>
      <c r="J2268" s="562"/>
    </row>
    <row r="2269" spans="1:10" hidden="1" x14ac:dyDescent="0.25">
      <c r="A2269" s="362"/>
      <c r="B2269" s="611">
        <v>44205</v>
      </c>
      <c r="C2269" s="362" t="s">
        <v>83</v>
      </c>
      <c r="D2269" s="562"/>
      <c r="E2269" s="562"/>
      <c r="F2269" s="562"/>
      <c r="G2269" s="562">
        <f t="shared" si="41"/>
        <v>0</v>
      </c>
      <c r="H2269" s="562"/>
      <c r="I2269" s="562"/>
      <c r="J2269" s="562"/>
    </row>
    <row r="2270" spans="1:10" hidden="1" x14ac:dyDescent="0.25">
      <c r="A2270" s="362"/>
      <c r="B2270" s="611">
        <v>44205</v>
      </c>
      <c r="C2270" s="362" t="s">
        <v>78</v>
      </c>
      <c r="D2270" s="562"/>
      <c r="E2270" s="562"/>
      <c r="F2270" s="562"/>
      <c r="G2270" s="562">
        <f t="shared" si="41"/>
        <v>0</v>
      </c>
      <c r="H2270" s="562"/>
      <c r="I2270" s="562"/>
      <c r="J2270" s="562"/>
    </row>
    <row r="2271" spans="1:10" hidden="1" x14ac:dyDescent="0.25">
      <c r="A2271" s="362"/>
      <c r="B2271" s="611">
        <v>44205</v>
      </c>
      <c r="C2271" s="362" t="s">
        <v>141</v>
      </c>
      <c r="D2271" s="562"/>
      <c r="E2271" s="562"/>
      <c r="F2271" s="562"/>
      <c r="G2271" s="562">
        <f t="shared" si="41"/>
        <v>0</v>
      </c>
      <c r="H2271" s="562"/>
      <c r="I2271" s="562"/>
      <c r="J2271" s="562"/>
    </row>
    <row r="2272" spans="1:10" hidden="1" x14ac:dyDescent="0.25">
      <c r="A2272" s="362"/>
      <c r="B2272" s="611">
        <v>44205</v>
      </c>
      <c r="C2272" s="362" t="s">
        <v>89</v>
      </c>
      <c r="D2272" s="562"/>
      <c r="E2272" s="562"/>
      <c r="F2272" s="562"/>
      <c r="G2272" s="562">
        <f t="shared" si="41"/>
        <v>0</v>
      </c>
      <c r="H2272" s="562"/>
      <c r="I2272" s="562"/>
      <c r="J2272" s="562"/>
    </row>
    <row r="2273" spans="1:10" hidden="1" x14ac:dyDescent="0.25">
      <c r="A2273" s="362"/>
      <c r="B2273" s="611">
        <v>44205</v>
      </c>
      <c r="C2273" s="362" t="s">
        <v>81</v>
      </c>
      <c r="D2273" s="562"/>
      <c r="E2273" s="562"/>
      <c r="F2273" s="562"/>
      <c r="G2273" s="562">
        <f t="shared" si="41"/>
        <v>0</v>
      </c>
      <c r="H2273" s="562"/>
      <c r="I2273" s="562"/>
      <c r="J2273" s="562"/>
    </row>
    <row r="2274" spans="1:10" hidden="1" x14ac:dyDescent="0.25">
      <c r="A2274" s="362"/>
      <c r="B2274" s="611">
        <v>44205</v>
      </c>
      <c r="C2274" s="362" t="s">
        <v>84</v>
      </c>
      <c r="D2274" s="562"/>
      <c r="E2274" s="562"/>
      <c r="F2274" s="562"/>
      <c r="G2274" s="562">
        <f t="shared" si="41"/>
        <v>0</v>
      </c>
      <c r="H2274" s="562"/>
      <c r="I2274" s="562"/>
      <c r="J2274" s="562"/>
    </row>
    <row r="2275" spans="1:10" hidden="1" x14ac:dyDescent="0.25">
      <c r="A2275" s="362"/>
      <c r="B2275" s="611">
        <v>44205</v>
      </c>
      <c r="C2275" s="362" t="s">
        <v>4751</v>
      </c>
      <c r="D2275" s="562"/>
      <c r="E2275" s="562"/>
      <c r="F2275" s="562"/>
      <c r="G2275" s="562">
        <f t="shared" si="41"/>
        <v>0</v>
      </c>
      <c r="H2275" s="562"/>
      <c r="I2275" s="562"/>
      <c r="J2275" s="562"/>
    </row>
    <row r="2276" spans="1:10" hidden="1" x14ac:dyDescent="0.25">
      <c r="A2276" s="362"/>
      <c r="B2276" s="611">
        <v>44205</v>
      </c>
      <c r="C2276" s="362" t="s">
        <v>166</v>
      </c>
      <c r="D2276" s="562"/>
      <c r="E2276" s="562"/>
      <c r="F2276" s="562"/>
      <c r="G2276" s="562"/>
      <c r="H2276" s="562"/>
      <c r="I2276" s="562"/>
      <c r="J2276" s="562"/>
    </row>
    <row r="2277" spans="1:10" hidden="1" x14ac:dyDescent="0.25">
      <c r="A2277" s="362"/>
      <c r="B2277" s="611">
        <v>44205</v>
      </c>
      <c r="C2277" s="362" t="s">
        <v>3435</v>
      </c>
      <c r="D2277" s="562"/>
      <c r="E2277" s="562"/>
      <c r="F2277" s="562"/>
      <c r="G2277" s="562"/>
      <c r="H2277" s="562"/>
      <c r="I2277" s="562"/>
      <c r="J2277" s="562"/>
    </row>
    <row r="2278" spans="1:10" s="567" customFormat="1" hidden="1" x14ac:dyDescent="0.25">
      <c r="A2278" s="370"/>
      <c r="B2278" s="852">
        <v>44205</v>
      </c>
      <c r="C2278" s="370" t="s">
        <v>85</v>
      </c>
      <c r="D2278" s="565"/>
      <c r="E2278" s="565"/>
      <c r="F2278" s="565"/>
      <c r="G2278" s="565"/>
      <c r="H2278" s="565"/>
      <c r="I2278" s="565"/>
      <c r="J2278" s="565"/>
    </row>
    <row r="2279" spans="1:10" hidden="1" x14ac:dyDescent="0.25">
      <c r="A2279" s="532"/>
      <c r="B2279" s="532"/>
      <c r="C2279" s="532"/>
      <c r="D2279" s="564"/>
      <c r="E2279" s="564"/>
      <c r="F2279" s="564"/>
      <c r="G2279" s="564"/>
      <c r="H2279" s="564"/>
      <c r="I2279" s="564"/>
      <c r="J2279" s="564"/>
    </row>
    <row r="2280" spans="1:10" hidden="1" x14ac:dyDescent="0.25">
      <c r="A2280" s="362"/>
      <c r="B2280" s="611">
        <v>44207</v>
      </c>
      <c r="C2280" s="362" t="s">
        <v>86</v>
      </c>
      <c r="D2280" s="562"/>
      <c r="E2280" s="562"/>
      <c r="F2280" s="562"/>
      <c r="G2280" s="562"/>
      <c r="H2280" s="562"/>
      <c r="I2280" s="562"/>
      <c r="J2280" s="562"/>
    </row>
    <row r="2281" spans="1:10" hidden="1" x14ac:dyDescent="0.25">
      <c r="A2281" s="362"/>
      <c r="B2281" s="611">
        <v>44207</v>
      </c>
      <c r="C2281" s="362" t="s">
        <v>87</v>
      </c>
      <c r="D2281" s="562"/>
      <c r="E2281" s="562"/>
      <c r="F2281" s="562"/>
      <c r="G2281" s="562"/>
      <c r="H2281" s="562"/>
      <c r="I2281" s="562"/>
      <c r="J2281" s="562"/>
    </row>
    <row r="2282" spans="1:10" hidden="1" x14ac:dyDescent="0.25">
      <c r="A2282" s="362"/>
      <c r="B2282" s="611">
        <v>44207</v>
      </c>
      <c r="C2282" s="362" t="s">
        <v>88</v>
      </c>
      <c r="D2282" s="562"/>
      <c r="E2282" s="562"/>
      <c r="F2282" s="562"/>
      <c r="G2282" s="562"/>
      <c r="H2282" s="562"/>
      <c r="I2282" s="562"/>
      <c r="J2282" s="562"/>
    </row>
    <row r="2283" spans="1:10" hidden="1" x14ac:dyDescent="0.25">
      <c r="A2283" s="362"/>
      <c r="B2283" s="611">
        <v>44207</v>
      </c>
      <c r="C2283" s="362" t="s">
        <v>82</v>
      </c>
      <c r="D2283" s="562"/>
      <c r="E2283" s="562"/>
      <c r="F2283" s="562"/>
      <c r="G2283" s="562"/>
      <c r="H2283" s="562"/>
      <c r="I2283" s="562"/>
      <c r="J2283" s="562"/>
    </row>
    <row r="2284" spans="1:10" hidden="1" x14ac:dyDescent="0.25">
      <c r="A2284" s="362"/>
      <c r="B2284" s="611">
        <v>44207</v>
      </c>
      <c r="C2284" s="362" t="s">
        <v>80</v>
      </c>
      <c r="D2284" s="562"/>
      <c r="E2284" s="562"/>
      <c r="F2284" s="562"/>
      <c r="G2284" s="562"/>
      <c r="H2284" s="562"/>
      <c r="I2284" s="562"/>
      <c r="J2284" s="562"/>
    </row>
    <row r="2285" spans="1:10" hidden="1" x14ac:dyDescent="0.25">
      <c r="A2285" s="362"/>
      <c r="B2285" s="611">
        <v>44207</v>
      </c>
      <c r="C2285" s="362" t="s">
        <v>83</v>
      </c>
      <c r="D2285" s="562"/>
      <c r="E2285" s="562"/>
      <c r="F2285" s="562"/>
      <c r="G2285" s="562"/>
      <c r="H2285" s="562"/>
      <c r="I2285" s="562"/>
      <c r="J2285" s="562"/>
    </row>
    <row r="2286" spans="1:10" hidden="1" x14ac:dyDescent="0.25">
      <c r="A2286" s="362"/>
      <c r="B2286" s="611">
        <v>44207</v>
      </c>
      <c r="C2286" s="362" t="s">
        <v>78</v>
      </c>
      <c r="D2286" s="562"/>
      <c r="E2286" s="562"/>
      <c r="F2286" s="562"/>
      <c r="G2286" s="562"/>
      <c r="H2286" s="562"/>
      <c r="I2286" s="562"/>
      <c r="J2286" s="562"/>
    </row>
    <row r="2287" spans="1:10" hidden="1" x14ac:dyDescent="0.25">
      <c r="A2287" s="362"/>
      <c r="B2287" s="611">
        <v>44207</v>
      </c>
      <c r="C2287" s="362" t="s">
        <v>141</v>
      </c>
      <c r="D2287" s="562"/>
      <c r="E2287" s="562"/>
      <c r="F2287" s="562"/>
      <c r="G2287" s="562"/>
      <c r="H2287" s="562"/>
      <c r="I2287" s="562"/>
      <c r="J2287" s="562"/>
    </row>
    <row r="2288" spans="1:10" hidden="1" x14ac:dyDescent="0.25">
      <c r="A2288" s="362"/>
      <c r="B2288" s="611">
        <v>44207</v>
      </c>
      <c r="C2288" s="362" t="s">
        <v>89</v>
      </c>
      <c r="D2288" s="562"/>
      <c r="E2288" s="562"/>
      <c r="F2288" s="562"/>
      <c r="G2288" s="562"/>
      <c r="H2288" s="562"/>
      <c r="I2288" s="562"/>
      <c r="J2288" s="562"/>
    </row>
    <row r="2289" spans="1:10" hidden="1" x14ac:dyDescent="0.25">
      <c r="A2289" s="362"/>
      <c r="B2289" s="611">
        <v>44207</v>
      </c>
      <c r="C2289" s="362" t="s">
        <v>81</v>
      </c>
      <c r="D2289" s="562"/>
      <c r="E2289" s="562"/>
      <c r="F2289" s="562"/>
      <c r="G2289" s="562"/>
      <c r="H2289" s="562"/>
      <c r="I2289" s="562"/>
      <c r="J2289" s="562"/>
    </row>
    <row r="2290" spans="1:10" hidden="1" x14ac:dyDescent="0.25">
      <c r="A2290" s="362"/>
      <c r="B2290" s="611">
        <v>44207</v>
      </c>
      <c r="C2290" s="362" t="s">
        <v>84</v>
      </c>
      <c r="D2290" s="562"/>
      <c r="E2290" s="562"/>
      <c r="F2290" s="562"/>
      <c r="G2290" s="562"/>
      <c r="H2290" s="562"/>
      <c r="I2290" s="562"/>
      <c r="J2290" s="562"/>
    </row>
    <row r="2291" spans="1:10" hidden="1" x14ac:dyDescent="0.25">
      <c r="A2291" s="362"/>
      <c r="B2291" s="611">
        <v>44207</v>
      </c>
      <c r="C2291" s="362" t="s">
        <v>4751</v>
      </c>
      <c r="D2291" s="562"/>
      <c r="E2291" s="562"/>
      <c r="F2291" s="562"/>
      <c r="G2291" s="562"/>
      <c r="H2291" s="562"/>
      <c r="I2291" s="562"/>
      <c r="J2291" s="562"/>
    </row>
    <row r="2292" spans="1:10" hidden="1" x14ac:dyDescent="0.25">
      <c r="A2292" s="362"/>
      <c r="B2292" s="611">
        <v>44207</v>
      </c>
      <c r="C2292" s="362" t="s">
        <v>166</v>
      </c>
      <c r="D2292" s="562"/>
      <c r="E2292" s="562"/>
      <c r="F2292" s="562"/>
      <c r="G2292" s="562"/>
      <c r="H2292" s="562"/>
      <c r="I2292" s="562"/>
      <c r="J2292" s="562"/>
    </row>
    <row r="2293" spans="1:10" hidden="1" x14ac:dyDescent="0.25">
      <c r="A2293" s="362"/>
      <c r="B2293" s="611">
        <v>44207</v>
      </c>
      <c r="C2293" s="362" t="s">
        <v>3435</v>
      </c>
      <c r="D2293" s="562"/>
      <c r="E2293" s="562"/>
      <c r="F2293" s="562"/>
      <c r="G2293" s="562"/>
      <c r="H2293" s="562"/>
      <c r="I2293" s="562"/>
      <c r="J2293" s="562"/>
    </row>
    <row r="2294" spans="1:10" hidden="1" x14ac:dyDescent="0.25">
      <c r="A2294" s="362"/>
      <c r="B2294" s="611">
        <v>44207</v>
      </c>
      <c r="C2294" s="370" t="s">
        <v>85</v>
      </c>
      <c r="D2294" s="562"/>
      <c r="E2294" s="562"/>
      <c r="F2294" s="562"/>
      <c r="G2294" s="562"/>
      <c r="H2294" s="562"/>
      <c r="I2294" s="562"/>
      <c r="J2294" s="562"/>
    </row>
    <row r="2295" spans="1:10" hidden="1" x14ac:dyDescent="0.25">
      <c r="A2295" s="532"/>
      <c r="B2295" s="532"/>
      <c r="C2295" s="532"/>
      <c r="D2295" s="564"/>
      <c r="E2295" s="564"/>
      <c r="F2295" s="564"/>
      <c r="G2295" s="564"/>
      <c r="H2295" s="564"/>
      <c r="I2295" s="564"/>
      <c r="J2295" s="564"/>
    </row>
    <row r="2296" spans="1:10" hidden="1" x14ac:dyDescent="0.25">
      <c r="A2296" s="362"/>
      <c r="B2296" s="611">
        <v>44208</v>
      </c>
      <c r="C2296" s="362" t="s">
        <v>86</v>
      </c>
      <c r="D2296" s="562">
        <v>72826590</v>
      </c>
      <c r="E2296" s="562">
        <v>47657653</v>
      </c>
      <c r="F2296" s="562"/>
      <c r="G2296" s="562"/>
      <c r="H2296" s="562"/>
      <c r="I2296" s="562"/>
      <c r="J2296" s="562"/>
    </row>
    <row r="2297" spans="1:10" hidden="1" x14ac:dyDescent="0.25">
      <c r="A2297" s="362"/>
      <c r="B2297" s="611">
        <v>44208</v>
      </c>
      <c r="C2297" s="362" t="s">
        <v>87</v>
      </c>
      <c r="D2297" s="562">
        <v>116609635</v>
      </c>
      <c r="E2297" s="562">
        <v>72246278</v>
      </c>
      <c r="F2297" s="562"/>
      <c r="G2297" s="562"/>
      <c r="H2297" s="562"/>
      <c r="I2297" s="562"/>
      <c r="J2297" s="562"/>
    </row>
    <row r="2298" spans="1:10" hidden="1" x14ac:dyDescent="0.25">
      <c r="A2298" s="362"/>
      <c r="B2298" s="611">
        <v>44208</v>
      </c>
      <c r="C2298" s="362" t="s">
        <v>88</v>
      </c>
      <c r="D2298" s="562">
        <v>168802423</v>
      </c>
      <c r="E2298" s="562">
        <v>80414638</v>
      </c>
      <c r="F2298" s="562"/>
      <c r="G2298" s="562"/>
      <c r="H2298" s="562"/>
      <c r="I2298" s="562"/>
      <c r="J2298" s="562"/>
    </row>
    <row r="2299" spans="1:10" hidden="1" x14ac:dyDescent="0.25">
      <c r="A2299" s="362"/>
      <c r="B2299" s="611">
        <v>44208</v>
      </c>
      <c r="C2299" s="362" t="s">
        <v>82</v>
      </c>
      <c r="D2299" s="562">
        <v>70945094</v>
      </c>
      <c r="E2299" s="562">
        <v>760342</v>
      </c>
      <c r="F2299" s="562"/>
      <c r="G2299" s="562"/>
      <c r="H2299" s="562"/>
      <c r="I2299" s="562"/>
      <c r="J2299" s="562"/>
    </row>
    <row r="2300" spans="1:10" hidden="1" x14ac:dyDescent="0.25">
      <c r="A2300" s="362"/>
      <c r="B2300" s="611">
        <v>44208</v>
      </c>
      <c r="C2300" s="362" t="s">
        <v>80</v>
      </c>
      <c r="D2300" s="562">
        <v>286796716</v>
      </c>
      <c r="E2300" s="562"/>
      <c r="F2300" s="562"/>
      <c r="G2300" s="562"/>
      <c r="H2300" s="562"/>
      <c r="I2300" s="562"/>
      <c r="J2300" s="562"/>
    </row>
    <row r="2301" spans="1:10" hidden="1" x14ac:dyDescent="0.25">
      <c r="A2301" s="362"/>
      <c r="B2301" s="611">
        <v>44208</v>
      </c>
      <c r="C2301" s="362" t="s">
        <v>83</v>
      </c>
      <c r="D2301" s="562">
        <v>189104629</v>
      </c>
      <c r="E2301" s="562">
        <v>29821796</v>
      </c>
      <c r="F2301" s="562"/>
      <c r="G2301" s="562"/>
      <c r="H2301" s="562"/>
      <c r="I2301" s="562"/>
      <c r="J2301" s="562"/>
    </row>
    <row r="2302" spans="1:10" hidden="1" x14ac:dyDescent="0.25">
      <c r="A2302" s="362"/>
      <c r="B2302" s="611">
        <v>44208</v>
      </c>
      <c r="C2302" s="362" t="s">
        <v>78</v>
      </c>
      <c r="D2302" s="562">
        <v>91165299</v>
      </c>
      <c r="E2302" s="562">
        <v>2390101</v>
      </c>
      <c r="F2302" s="562"/>
      <c r="G2302" s="562"/>
      <c r="H2302" s="562"/>
      <c r="I2302" s="562"/>
      <c r="J2302" s="562"/>
    </row>
    <row r="2303" spans="1:10" hidden="1" x14ac:dyDescent="0.25">
      <c r="A2303" s="362"/>
      <c r="B2303" s="611">
        <v>44208</v>
      </c>
      <c r="C2303" s="362" t="s">
        <v>141</v>
      </c>
      <c r="D2303" s="562">
        <v>60596909</v>
      </c>
      <c r="E2303" s="562"/>
      <c r="F2303" s="562"/>
      <c r="G2303" s="562"/>
      <c r="H2303" s="562"/>
      <c r="I2303" s="562"/>
      <c r="J2303" s="562"/>
    </row>
    <row r="2304" spans="1:10" hidden="1" x14ac:dyDescent="0.25">
      <c r="A2304" s="362"/>
      <c r="B2304" s="611">
        <v>44208</v>
      </c>
      <c r="C2304" s="362" t="s">
        <v>89</v>
      </c>
      <c r="D2304" s="562">
        <v>130113199</v>
      </c>
      <c r="E2304" s="562">
        <v>57792301</v>
      </c>
      <c r="F2304" s="562"/>
      <c r="G2304" s="562"/>
      <c r="H2304" s="562"/>
      <c r="I2304" s="562"/>
      <c r="J2304" s="562"/>
    </row>
    <row r="2305" spans="1:10" hidden="1" x14ac:dyDescent="0.25">
      <c r="A2305" s="362"/>
      <c r="B2305" s="611">
        <v>44208</v>
      </c>
      <c r="C2305" s="362" t="s">
        <v>81</v>
      </c>
      <c r="D2305" s="562">
        <v>100453980</v>
      </c>
      <c r="E2305" s="562">
        <v>8030369</v>
      </c>
      <c r="F2305" s="562"/>
      <c r="G2305" s="562"/>
      <c r="H2305" s="562"/>
      <c r="I2305" s="562"/>
      <c r="J2305" s="562"/>
    </row>
    <row r="2306" spans="1:10" hidden="1" x14ac:dyDescent="0.25">
      <c r="A2306" s="362"/>
      <c r="B2306" s="611">
        <v>44208</v>
      </c>
      <c r="C2306" s="362" t="s">
        <v>84</v>
      </c>
      <c r="D2306" s="562">
        <v>193403753</v>
      </c>
      <c r="E2306" s="562">
        <v>10711422</v>
      </c>
      <c r="F2306" s="562"/>
      <c r="G2306" s="562"/>
      <c r="H2306" s="562"/>
      <c r="I2306" s="562"/>
      <c r="J2306" s="562"/>
    </row>
    <row r="2307" spans="1:10" hidden="1" x14ac:dyDescent="0.25">
      <c r="A2307" s="362"/>
      <c r="B2307" s="611">
        <v>44208</v>
      </c>
      <c r="C2307" s="362" t="s">
        <v>4751</v>
      </c>
      <c r="D2307" s="562">
        <v>148014066</v>
      </c>
      <c r="E2307" s="562">
        <v>16670734</v>
      </c>
      <c r="F2307" s="562"/>
      <c r="G2307" s="562"/>
      <c r="H2307" s="562"/>
      <c r="I2307" s="562"/>
      <c r="J2307" s="562"/>
    </row>
    <row r="2308" spans="1:10" hidden="1" x14ac:dyDescent="0.25">
      <c r="A2308" s="362"/>
      <c r="B2308" s="611">
        <v>44208</v>
      </c>
      <c r="C2308" s="362" t="s">
        <v>166</v>
      </c>
      <c r="D2308" s="562">
        <v>58750327</v>
      </c>
      <c r="E2308" s="562"/>
      <c r="F2308" s="562"/>
      <c r="G2308" s="562"/>
      <c r="H2308" s="562"/>
      <c r="I2308" s="562"/>
      <c r="J2308" s="562"/>
    </row>
    <row r="2309" spans="1:10" hidden="1" x14ac:dyDescent="0.25">
      <c r="A2309" s="362"/>
      <c r="B2309" s="611">
        <v>44208</v>
      </c>
      <c r="C2309" s="362" t="s">
        <v>3435</v>
      </c>
      <c r="D2309" s="562">
        <v>133085341</v>
      </c>
      <c r="E2309" s="562"/>
      <c r="F2309" s="562"/>
      <c r="G2309" s="562"/>
      <c r="H2309" s="562"/>
      <c r="I2309" s="562"/>
      <c r="J2309" s="562"/>
    </row>
    <row r="2310" spans="1:10" hidden="1" x14ac:dyDescent="0.25">
      <c r="A2310" s="362"/>
      <c r="B2310" s="611">
        <v>44208</v>
      </c>
      <c r="C2310" s="370" t="s">
        <v>85</v>
      </c>
      <c r="D2310" s="562">
        <v>26992100</v>
      </c>
      <c r="E2310" s="562"/>
      <c r="F2310" s="562"/>
      <c r="G2310" s="562"/>
      <c r="H2310" s="562"/>
      <c r="I2310" s="562"/>
      <c r="J2310" s="562"/>
    </row>
    <row r="2311" spans="1:10" hidden="1" x14ac:dyDescent="0.25">
      <c r="A2311" s="532"/>
      <c r="B2311" s="532"/>
      <c r="C2311" s="532" t="s">
        <v>5963</v>
      </c>
      <c r="D2311" s="564">
        <f>SUM(D2296:D2310)</f>
        <v>1847660061</v>
      </c>
      <c r="E2311" s="564">
        <f t="shared" ref="E2311:G2311" si="42">SUM(E2296:E2310)</f>
        <v>326495634</v>
      </c>
      <c r="F2311" s="564">
        <f t="shared" si="42"/>
        <v>0</v>
      </c>
      <c r="G2311" s="564">
        <f t="shared" si="42"/>
        <v>0</v>
      </c>
      <c r="H2311" s="564"/>
      <c r="I2311" s="564"/>
      <c r="J2311" s="564"/>
    </row>
    <row r="2312" spans="1:10" hidden="1" x14ac:dyDescent="0.25">
      <c r="A2312" s="362"/>
      <c r="B2312" s="611">
        <v>44209</v>
      </c>
      <c r="C2312" s="362" t="s">
        <v>86</v>
      </c>
      <c r="D2312" s="562"/>
      <c r="E2312" s="562"/>
      <c r="F2312" s="562"/>
      <c r="G2312" s="562"/>
      <c r="H2312" s="562"/>
      <c r="I2312" s="562"/>
      <c r="J2312" s="562"/>
    </row>
    <row r="2313" spans="1:10" hidden="1" x14ac:dyDescent="0.25">
      <c r="A2313" s="362"/>
      <c r="B2313" s="611">
        <v>44209</v>
      </c>
      <c r="C2313" s="362" t="s">
        <v>87</v>
      </c>
      <c r="D2313" s="562"/>
      <c r="E2313" s="562"/>
      <c r="F2313" s="562"/>
      <c r="G2313" s="562"/>
      <c r="H2313" s="562"/>
      <c r="I2313" s="562"/>
      <c r="J2313" s="562"/>
    </row>
    <row r="2314" spans="1:10" hidden="1" x14ac:dyDescent="0.25">
      <c r="A2314" s="362"/>
      <c r="B2314" s="611">
        <v>44209</v>
      </c>
      <c r="C2314" s="362" t="s">
        <v>88</v>
      </c>
      <c r="D2314" s="562"/>
      <c r="E2314" s="562"/>
      <c r="F2314" s="562"/>
      <c r="G2314" s="562"/>
      <c r="H2314" s="562"/>
      <c r="I2314" s="562"/>
      <c r="J2314" s="562"/>
    </row>
    <row r="2315" spans="1:10" hidden="1" x14ac:dyDescent="0.25">
      <c r="A2315" s="362"/>
      <c r="B2315" s="611">
        <v>44209</v>
      </c>
      <c r="C2315" s="362" t="s">
        <v>82</v>
      </c>
      <c r="D2315" s="562"/>
      <c r="E2315" s="562"/>
      <c r="F2315" s="562"/>
      <c r="G2315" s="562"/>
      <c r="H2315" s="562"/>
      <c r="I2315" s="562"/>
      <c r="J2315" s="562"/>
    </row>
    <row r="2316" spans="1:10" hidden="1" x14ac:dyDescent="0.25">
      <c r="A2316" s="362"/>
      <c r="B2316" s="611">
        <v>44209</v>
      </c>
      <c r="C2316" s="362" t="s">
        <v>80</v>
      </c>
      <c r="D2316" s="562"/>
      <c r="E2316" s="562"/>
      <c r="F2316" s="562"/>
      <c r="G2316" s="562"/>
      <c r="H2316" s="562"/>
      <c r="I2316" s="562"/>
      <c r="J2316" s="562"/>
    </row>
    <row r="2317" spans="1:10" hidden="1" x14ac:dyDescent="0.25">
      <c r="A2317" s="362"/>
      <c r="B2317" s="611">
        <v>44209</v>
      </c>
      <c r="C2317" s="362" t="s">
        <v>83</v>
      </c>
      <c r="D2317" s="562"/>
      <c r="E2317" s="562"/>
      <c r="F2317" s="562"/>
      <c r="G2317" s="562"/>
      <c r="H2317" s="562"/>
      <c r="I2317" s="562"/>
      <c r="J2317" s="562"/>
    </row>
    <row r="2318" spans="1:10" hidden="1" x14ac:dyDescent="0.25">
      <c r="A2318" s="362"/>
      <c r="B2318" s="611">
        <v>44209</v>
      </c>
      <c r="C2318" s="362" t="s">
        <v>78</v>
      </c>
      <c r="D2318" s="562"/>
      <c r="E2318" s="562"/>
      <c r="F2318" s="562"/>
      <c r="G2318" s="562"/>
      <c r="H2318" s="562"/>
      <c r="I2318" s="562"/>
      <c r="J2318" s="562"/>
    </row>
    <row r="2319" spans="1:10" hidden="1" x14ac:dyDescent="0.25">
      <c r="A2319" s="362"/>
      <c r="B2319" s="611">
        <v>44209</v>
      </c>
      <c r="C2319" s="362" t="s">
        <v>141</v>
      </c>
      <c r="D2319" s="562"/>
      <c r="E2319" s="562"/>
      <c r="F2319" s="562"/>
      <c r="G2319" s="562"/>
      <c r="H2319" s="562"/>
      <c r="I2319" s="562"/>
      <c r="J2319" s="562"/>
    </row>
    <row r="2320" spans="1:10" hidden="1" x14ac:dyDescent="0.25">
      <c r="A2320" s="362"/>
      <c r="B2320" s="611">
        <v>44209</v>
      </c>
      <c r="C2320" s="362" t="s">
        <v>89</v>
      </c>
      <c r="D2320" s="562"/>
      <c r="E2320" s="562"/>
      <c r="F2320" s="562"/>
      <c r="G2320" s="562"/>
      <c r="H2320" s="562"/>
      <c r="I2320" s="562"/>
      <c r="J2320" s="562"/>
    </row>
    <row r="2321" spans="1:10" hidden="1" x14ac:dyDescent="0.25">
      <c r="A2321" s="362"/>
      <c r="B2321" s="611">
        <v>44209</v>
      </c>
      <c r="C2321" s="362" t="s">
        <v>81</v>
      </c>
      <c r="D2321" s="562"/>
      <c r="E2321" s="562"/>
      <c r="F2321" s="562"/>
      <c r="G2321" s="562"/>
      <c r="H2321" s="562"/>
      <c r="I2321" s="562"/>
      <c r="J2321" s="562"/>
    </row>
    <row r="2322" spans="1:10" hidden="1" x14ac:dyDescent="0.25">
      <c r="A2322" s="362"/>
      <c r="B2322" s="611">
        <v>44209</v>
      </c>
      <c r="C2322" s="362" t="s">
        <v>84</v>
      </c>
      <c r="D2322" s="562"/>
      <c r="E2322" s="562"/>
      <c r="F2322" s="562"/>
      <c r="G2322" s="562"/>
      <c r="H2322" s="562"/>
      <c r="I2322" s="562"/>
      <c r="J2322" s="562"/>
    </row>
    <row r="2323" spans="1:10" hidden="1" x14ac:dyDescent="0.25">
      <c r="A2323" s="362"/>
      <c r="B2323" s="611">
        <v>44209</v>
      </c>
      <c r="C2323" s="362" t="s">
        <v>4751</v>
      </c>
      <c r="D2323" s="562"/>
      <c r="E2323" s="562"/>
      <c r="F2323" s="562"/>
      <c r="G2323" s="562"/>
      <c r="H2323" s="562"/>
      <c r="I2323" s="562"/>
      <c r="J2323" s="562"/>
    </row>
    <row r="2324" spans="1:10" hidden="1" x14ac:dyDescent="0.25">
      <c r="A2324" s="362"/>
      <c r="B2324" s="611">
        <v>44209</v>
      </c>
      <c r="C2324" s="362" t="s">
        <v>166</v>
      </c>
      <c r="D2324" s="562"/>
      <c r="E2324" s="562"/>
      <c r="F2324" s="562"/>
      <c r="G2324" s="562"/>
      <c r="H2324" s="562"/>
      <c r="I2324" s="562"/>
      <c r="J2324" s="562"/>
    </row>
    <row r="2325" spans="1:10" hidden="1" x14ac:dyDescent="0.25">
      <c r="A2325" s="362"/>
      <c r="B2325" s="611">
        <v>44209</v>
      </c>
      <c r="C2325" s="362" t="s">
        <v>3435</v>
      </c>
      <c r="D2325" s="562"/>
      <c r="E2325" s="562"/>
      <c r="F2325" s="562"/>
      <c r="G2325" s="562"/>
      <c r="H2325" s="562"/>
      <c r="I2325" s="562"/>
      <c r="J2325" s="562"/>
    </row>
    <row r="2326" spans="1:10" hidden="1" x14ac:dyDescent="0.25">
      <c r="A2326" s="362"/>
      <c r="B2326" s="611">
        <v>44209</v>
      </c>
      <c r="C2326" s="370" t="s">
        <v>85</v>
      </c>
      <c r="D2326" s="562"/>
      <c r="E2326" s="562"/>
      <c r="F2326" s="562"/>
      <c r="G2326" s="562"/>
      <c r="H2326" s="562"/>
      <c r="I2326" s="562"/>
      <c r="J2326" s="562"/>
    </row>
    <row r="2327" spans="1:10" hidden="1" x14ac:dyDescent="0.25">
      <c r="A2327" s="532"/>
      <c r="B2327" s="532"/>
      <c r="C2327" s="532"/>
      <c r="D2327" s="564"/>
      <c r="E2327" s="564"/>
      <c r="F2327" s="564"/>
      <c r="G2327" s="564"/>
      <c r="H2327" s="564"/>
      <c r="I2327" s="564"/>
      <c r="J2327" s="564"/>
    </row>
    <row r="2328" spans="1:10" hidden="1" x14ac:dyDescent="0.25">
      <c r="A2328" s="362"/>
      <c r="B2328" s="611">
        <v>44210</v>
      </c>
      <c r="C2328" s="362" t="s">
        <v>86</v>
      </c>
      <c r="D2328" s="562"/>
      <c r="E2328" s="562"/>
      <c r="F2328" s="562"/>
      <c r="G2328" s="562"/>
      <c r="H2328" s="562"/>
      <c r="I2328" s="562"/>
      <c r="J2328" s="562"/>
    </row>
    <row r="2329" spans="1:10" hidden="1" x14ac:dyDescent="0.25">
      <c r="A2329" s="362"/>
      <c r="B2329" s="611">
        <v>44210</v>
      </c>
      <c r="C2329" s="362" t="s">
        <v>87</v>
      </c>
      <c r="D2329" s="562"/>
      <c r="E2329" s="562"/>
      <c r="F2329" s="562"/>
      <c r="G2329" s="562"/>
      <c r="H2329" s="562"/>
      <c r="I2329" s="562"/>
      <c r="J2329" s="562"/>
    </row>
    <row r="2330" spans="1:10" hidden="1" x14ac:dyDescent="0.25">
      <c r="A2330" s="362"/>
      <c r="B2330" s="611">
        <v>44210</v>
      </c>
      <c r="C2330" s="362" t="s">
        <v>88</v>
      </c>
      <c r="D2330" s="562"/>
      <c r="E2330" s="562"/>
      <c r="F2330" s="562"/>
      <c r="G2330" s="562"/>
      <c r="H2330" s="562"/>
      <c r="I2330" s="562"/>
      <c r="J2330" s="562"/>
    </row>
    <row r="2331" spans="1:10" hidden="1" x14ac:dyDescent="0.25">
      <c r="A2331" s="362"/>
      <c r="B2331" s="611">
        <v>44210</v>
      </c>
      <c r="C2331" s="362" t="s">
        <v>82</v>
      </c>
      <c r="D2331" s="562"/>
      <c r="E2331" s="562"/>
      <c r="F2331" s="562"/>
      <c r="G2331" s="562"/>
      <c r="H2331" s="562"/>
      <c r="I2331" s="562"/>
      <c r="J2331" s="562"/>
    </row>
    <row r="2332" spans="1:10" hidden="1" x14ac:dyDescent="0.25">
      <c r="A2332" s="362"/>
      <c r="B2332" s="611">
        <v>44210</v>
      </c>
      <c r="C2332" s="362" t="s">
        <v>80</v>
      </c>
      <c r="D2332" s="562"/>
      <c r="E2332" s="562"/>
      <c r="F2332" s="562"/>
      <c r="G2332" s="562"/>
      <c r="H2332" s="562"/>
      <c r="I2332" s="562"/>
      <c r="J2332" s="562"/>
    </row>
    <row r="2333" spans="1:10" hidden="1" x14ac:dyDescent="0.25">
      <c r="A2333" s="362"/>
      <c r="B2333" s="611">
        <v>44210</v>
      </c>
      <c r="C2333" s="362" t="s">
        <v>83</v>
      </c>
      <c r="D2333" s="562"/>
      <c r="E2333" s="562"/>
      <c r="F2333" s="562"/>
      <c r="G2333" s="562"/>
      <c r="H2333" s="562"/>
      <c r="I2333" s="562"/>
      <c r="J2333" s="562"/>
    </row>
    <row r="2334" spans="1:10" hidden="1" x14ac:dyDescent="0.25">
      <c r="A2334" s="362"/>
      <c r="B2334" s="611">
        <v>44210</v>
      </c>
      <c r="C2334" s="362" t="s">
        <v>78</v>
      </c>
      <c r="D2334" s="562"/>
      <c r="E2334" s="562"/>
      <c r="F2334" s="562"/>
      <c r="G2334" s="562"/>
      <c r="H2334" s="562"/>
      <c r="I2334" s="562"/>
      <c r="J2334" s="562"/>
    </row>
    <row r="2335" spans="1:10" hidden="1" x14ac:dyDescent="0.25">
      <c r="A2335" s="362"/>
      <c r="B2335" s="611">
        <v>44210</v>
      </c>
      <c r="C2335" s="362" t="s">
        <v>141</v>
      </c>
      <c r="D2335" s="562"/>
      <c r="E2335" s="562"/>
      <c r="F2335" s="562"/>
      <c r="G2335" s="562"/>
      <c r="H2335" s="562"/>
      <c r="I2335" s="562"/>
      <c r="J2335" s="562"/>
    </row>
    <row r="2336" spans="1:10" hidden="1" x14ac:dyDescent="0.25">
      <c r="A2336" s="362"/>
      <c r="B2336" s="611">
        <v>44210</v>
      </c>
      <c r="C2336" s="362" t="s">
        <v>89</v>
      </c>
      <c r="D2336" s="562"/>
      <c r="E2336" s="562"/>
      <c r="F2336" s="562"/>
      <c r="G2336" s="562"/>
      <c r="H2336" s="562"/>
      <c r="I2336" s="562"/>
      <c r="J2336" s="562"/>
    </row>
    <row r="2337" spans="1:10" hidden="1" x14ac:dyDescent="0.25">
      <c r="A2337" s="362"/>
      <c r="B2337" s="611">
        <v>44210</v>
      </c>
      <c r="C2337" s="362" t="s">
        <v>81</v>
      </c>
      <c r="D2337" s="562"/>
      <c r="E2337" s="562"/>
      <c r="F2337" s="562"/>
      <c r="G2337" s="562"/>
      <c r="H2337" s="562"/>
      <c r="I2337" s="562"/>
      <c r="J2337" s="562"/>
    </row>
    <row r="2338" spans="1:10" hidden="1" x14ac:dyDescent="0.25">
      <c r="A2338" s="362"/>
      <c r="B2338" s="611">
        <v>44210</v>
      </c>
      <c r="C2338" s="362" t="s">
        <v>84</v>
      </c>
      <c r="D2338" s="562"/>
      <c r="E2338" s="562"/>
      <c r="F2338" s="562"/>
      <c r="G2338" s="562"/>
      <c r="H2338" s="562"/>
      <c r="I2338" s="562"/>
      <c r="J2338" s="562"/>
    </row>
    <row r="2339" spans="1:10" hidden="1" x14ac:dyDescent="0.25">
      <c r="A2339" s="362"/>
      <c r="B2339" s="611">
        <v>44210</v>
      </c>
      <c r="C2339" s="362" t="s">
        <v>4751</v>
      </c>
      <c r="D2339" s="562"/>
      <c r="E2339" s="562"/>
      <c r="F2339" s="562"/>
      <c r="G2339" s="562"/>
      <c r="H2339" s="562"/>
      <c r="I2339" s="562"/>
      <c r="J2339" s="562"/>
    </row>
    <row r="2340" spans="1:10" hidden="1" x14ac:dyDescent="0.25">
      <c r="A2340" s="362"/>
      <c r="B2340" s="611">
        <v>44210</v>
      </c>
      <c r="C2340" s="362" t="s">
        <v>166</v>
      </c>
      <c r="D2340" s="562"/>
      <c r="E2340" s="562"/>
      <c r="F2340" s="562"/>
      <c r="G2340" s="562"/>
      <c r="H2340" s="562"/>
      <c r="I2340" s="562"/>
      <c r="J2340" s="562"/>
    </row>
    <row r="2341" spans="1:10" hidden="1" x14ac:dyDescent="0.25">
      <c r="A2341" s="362"/>
      <c r="B2341" s="611">
        <v>44210</v>
      </c>
      <c r="C2341" s="362" t="s">
        <v>3435</v>
      </c>
      <c r="D2341" s="562"/>
      <c r="E2341" s="562"/>
      <c r="F2341" s="562"/>
      <c r="G2341" s="562"/>
      <c r="H2341" s="562"/>
      <c r="I2341" s="562"/>
      <c r="J2341" s="562"/>
    </row>
    <row r="2342" spans="1:10" hidden="1" x14ac:dyDescent="0.25">
      <c r="A2342" s="362"/>
      <c r="B2342" s="611">
        <v>44210</v>
      </c>
      <c r="C2342" s="370" t="s">
        <v>85</v>
      </c>
      <c r="D2342" s="562"/>
      <c r="E2342" s="562"/>
      <c r="F2342" s="562"/>
      <c r="G2342" s="562"/>
      <c r="H2342" s="562"/>
      <c r="I2342" s="562"/>
      <c r="J2342" s="562"/>
    </row>
    <row r="2343" spans="1:10" hidden="1" x14ac:dyDescent="0.25">
      <c r="A2343" s="532"/>
      <c r="B2343" s="532"/>
      <c r="C2343" s="532"/>
      <c r="D2343" s="564"/>
      <c r="E2343" s="564"/>
      <c r="F2343" s="564"/>
      <c r="G2343" s="564"/>
      <c r="H2343" s="564"/>
      <c r="I2343" s="564"/>
      <c r="J2343" s="564"/>
    </row>
    <row r="2344" spans="1:10" hidden="1" x14ac:dyDescent="0.25">
      <c r="A2344" s="362"/>
      <c r="B2344" s="611">
        <v>44211</v>
      </c>
      <c r="C2344" s="362" t="s">
        <v>86</v>
      </c>
      <c r="D2344" s="562"/>
      <c r="E2344" s="562"/>
      <c r="F2344" s="562"/>
      <c r="G2344" s="562"/>
      <c r="H2344" s="562"/>
      <c r="I2344" s="562"/>
      <c r="J2344" s="562"/>
    </row>
    <row r="2345" spans="1:10" hidden="1" x14ac:dyDescent="0.25">
      <c r="A2345" s="362"/>
      <c r="B2345" s="611">
        <v>44211</v>
      </c>
      <c r="C2345" s="362" t="s">
        <v>87</v>
      </c>
      <c r="D2345" s="562"/>
      <c r="E2345" s="562"/>
      <c r="F2345" s="562"/>
      <c r="G2345" s="562"/>
      <c r="H2345" s="562"/>
      <c r="I2345" s="562"/>
      <c r="J2345" s="562"/>
    </row>
    <row r="2346" spans="1:10" hidden="1" x14ac:dyDescent="0.25">
      <c r="A2346" s="362"/>
      <c r="B2346" s="611">
        <v>44211</v>
      </c>
      <c r="C2346" s="362" t="s">
        <v>88</v>
      </c>
      <c r="D2346" s="562"/>
      <c r="E2346" s="562"/>
      <c r="F2346" s="562"/>
      <c r="G2346" s="562"/>
      <c r="H2346" s="562"/>
      <c r="I2346" s="562"/>
      <c r="J2346" s="562"/>
    </row>
    <row r="2347" spans="1:10" hidden="1" x14ac:dyDescent="0.25">
      <c r="A2347" s="362"/>
      <c r="B2347" s="611">
        <v>44211</v>
      </c>
      <c r="C2347" s="362" t="s">
        <v>82</v>
      </c>
      <c r="D2347" s="562"/>
      <c r="E2347" s="562"/>
      <c r="F2347" s="562"/>
      <c r="G2347" s="562"/>
      <c r="H2347" s="562"/>
      <c r="I2347" s="562"/>
      <c r="J2347" s="562"/>
    </row>
    <row r="2348" spans="1:10" hidden="1" x14ac:dyDescent="0.25">
      <c r="A2348" s="362"/>
      <c r="B2348" s="611">
        <v>44211</v>
      </c>
      <c r="C2348" s="362" t="s">
        <v>80</v>
      </c>
      <c r="D2348" s="562"/>
      <c r="E2348" s="562"/>
      <c r="F2348" s="562"/>
      <c r="G2348" s="562"/>
      <c r="H2348" s="562"/>
      <c r="I2348" s="562"/>
      <c r="J2348" s="562"/>
    </row>
    <row r="2349" spans="1:10" hidden="1" x14ac:dyDescent="0.25">
      <c r="A2349" s="362"/>
      <c r="B2349" s="611">
        <v>44211</v>
      </c>
      <c r="C2349" s="362" t="s">
        <v>83</v>
      </c>
      <c r="D2349" s="562"/>
      <c r="E2349" s="562"/>
      <c r="F2349" s="562"/>
      <c r="G2349" s="562"/>
      <c r="H2349" s="562"/>
      <c r="I2349" s="562"/>
      <c r="J2349" s="562"/>
    </row>
    <row r="2350" spans="1:10" hidden="1" x14ac:dyDescent="0.25">
      <c r="A2350" s="362"/>
      <c r="B2350" s="611">
        <v>44211</v>
      </c>
      <c r="C2350" s="362" t="s">
        <v>78</v>
      </c>
      <c r="D2350" s="562"/>
      <c r="E2350" s="562"/>
      <c r="F2350" s="562"/>
      <c r="G2350" s="562"/>
      <c r="H2350" s="562"/>
      <c r="I2350" s="562"/>
      <c r="J2350" s="562"/>
    </row>
    <row r="2351" spans="1:10" hidden="1" x14ac:dyDescent="0.25">
      <c r="A2351" s="362"/>
      <c r="B2351" s="611">
        <v>44211</v>
      </c>
      <c r="C2351" s="362" t="s">
        <v>141</v>
      </c>
      <c r="D2351" s="562"/>
      <c r="E2351" s="562"/>
      <c r="F2351" s="562"/>
      <c r="G2351" s="562"/>
      <c r="H2351" s="562"/>
      <c r="I2351" s="562"/>
      <c r="J2351" s="562"/>
    </row>
    <row r="2352" spans="1:10" hidden="1" x14ac:dyDescent="0.25">
      <c r="A2352" s="362"/>
      <c r="B2352" s="611">
        <v>44211</v>
      </c>
      <c r="C2352" s="362" t="s">
        <v>89</v>
      </c>
      <c r="D2352" s="562"/>
      <c r="E2352" s="562"/>
      <c r="F2352" s="562"/>
      <c r="G2352" s="562"/>
      <c r="H2352" s="562"/>
      <c r="I2352" s="562"/>
      <c r="J2352" s="562"/>
    </row>
    <row r="2353" spans="1:10" hidden="1" x14ac:dyDescent="0.25">
      <c r="A2353" s="362"/>
      <c r="B2353" s="611">
        <v>44211</v>
      </c>
      <c r="C2353" s="362" t="s">
        <v>81</v>
      </c>
      <c r="D2353" s="562"/>
      <c r="E2353" s="562"/>
      <c r="F2353" s="562"/>
      <c r="G2353" s="562"/>
      <c r="H2353" s="562"/>
      <c r="I2353" s="562"/>
      <c r="J2353" s="562"/>
    </row>
    <row r="2354" spans="1:10" hidden="1" x14ac:dyDescent="0.25">
      <c r="A2354" s="362"/>
      <c r="B2354" s="611">
        <v>44211</v>
      </c>
      <c r="C2354" s="362" t="s">
        <v>84</v>
      </c>
      <c r="D2354" s="562"/>
      <c r="E2354" s="562"/>
      <c r="F2354" s="562"/>
      <c r="G2354" s="562"/>
      <c r="H2354" s="562"/>
      <c r="I2354" s="562"/>
      <c r="J2354" s="562"/>
    </row>
    <row r="2355" spans="1:10" hidden="1" x14ac:dyDescent="0.25">
      <c r="A2355" s="362"/>
      <c r="B2355" s="611">
        <v>44211</v>
      </c>
      <c r="C2355" s="362" t="s">
        <v>4751</v>
      </c>
      <c r="D2355" s="562"/>
      <c r="E2355" s="562"/>
      <c r="F2355" s="562"/>
      <c r="G2355" s="562"/>
      <c r="H2355" s="562"/>
      <c r="I2355" s="562"/>
      <c r="J2355" s="562"/>
    </row>
    <row r="2356" spans="1:10" hidden="1" x14ac:dyDescent="0.25">
      <c r="A2356" s="362"/>
      <c r="B2356" s="611">
        <v>44211</v>
      </c>
      <c r="C2356" s="362" t="s">
        <v>166</v>
      </c>
      <c r="D2356" s="562"/>
      <c r="E2356" s="562"/>
      <c r="F2356" s="562"/>
      <c r="G2356" s="562"/>
      <c r="H2356" s="562"/>
      <c r="I2356" s="562"/>
      <c r="J2356" s="562"/>
    </row>
    <row r="2357" spans="1:10" hidden="1" x14ac:dyDescent="0.25">
      <c r="A2357" s="362"/>
      <c r="B2357" s="611">
        <v>44211</v>
      </c>
      <c r="C2357" s="362" t="s">
        <v>3435</v>
      </c>
      <c r="D2357" s="562"/>
      <c r="E2357" s="562"/>
      <c r="F2357" s="562"/>
      <c r="G2357" s="562"/>
      <c r="H2357" s="562"/>
      <c r="I2357" s="562"/>
      <c r="J2357" s="562"/>
    </row>
    <row r="2358" spans="1:10" hidden="1" x14ac:dyDescent="0.25">
      <c r="A2358" s="362"/>
      <c r="B2358" s="611">
        <v>44211</v>
      </c>
      <c r="C2358" s="370" t="s">
        <v>85</v>
      </c>
      <c r="D2358" s="562"/>
      <c r="E2358" s="562"/>
      <c r="F2358" s="562"/>
      <c r="G2358" s="562"/>
      <c r="H2358" s="562"/>
      <c r="I2358" s="562"/>
      <c r="J2358" s="562"/>
    </row>
    <row r="2359" spans="1:10" hidden="1" x14ac:dyDescent="0.25">
      <c r="A2359" s="532"/>
      <c r="B2359" s="532"/>
      <c r="C2359" s="532"/>
      <c r="D2359" s="564"/>
      <c r="E2359" s="564"/>
      <c r="F2359" s="564"/>
      <c r="G2359" s="564"/>
      <c r="H2359" s="564"/>
      <c r="I2359" s="564"/>
      <c r="J2359" s="564"/>
    </row>
    <row r="2360" spans="1:10" hidden="1" x14ac:dyDescent="0.25">
      <c r="A2360" s="362"/>
      <c r="B2360" s="611">
        <v>44212</v>
      </c>
      <c r="C2360" s="362" t="s">
        <v>86</v>
      </c>
      <c r="D2360" s="562"/>
      <c r="E2360" s="562"/>
      <c r="F2360" s="562"/>
      <c r="G2360" s="562"/>
      <c r="H2360" s="562"/>
      <c r="I2360" s="562"/>
      <c r="J2360" s="562"/>
    </row>
    <row r="2361" spans="1:10" hidden="1" x14ac:dyDescent="0.25">
      <c r="A2361" s="362"/>
      <c r="B2361" s="611">
        <v>44212</v>
      </c>
      <c r="C2361" s="362" t="s">
        <v>87</v>
      </c>
      <c r="D2361" s="562"/>
      <c r="E2361" s="562"/>
      <c r="F2361" s="562"/>
      <c r="G2361" s="562"/>
      <c r="H2361" s="562"/>
      <c r="I2361" s="562"/>
      <c r="J2361" s="562"/>
    </row>
    <row r="2362" spans="1:10" hidden="1" x14ac:dyDescent="0.25">
      <c r="A2362" s="362"/>
      <c r="B2362" s="611">
        <v>44212</v>
      </c>
      <c r="C2362" s="362" t="s">
        <v>88</v>
      </c>
      <c r="D2362" s="562"/>
      <c r="E2362" s="562"/>
      <c r="F2362" s="562"/>
      <c r="G2362" s="562"/>
      <c r="H2362" s="562"/>
      <c r="I2362" s="562"/>
      <c r="J2362" s="562"/>
    </row>
    <row r="2363" spans="1:10" hidden="1" x14ac:dyDescent="0.25">
      <c r="A2363" s="362"/>
      <c r="B2363" s="611">
        <v>44212</v>
      </c>
      <c r="C2363" s="362" t="s">
        <v>82</v>
      </c>
      <c r="D2363" s="562"/>
      <c r="E2363" s="562"/>
      <c r="F2363" s="562"/>
      <c r="G2363" s="562"/>
      <c r="H2363" s="562"/>
      <c r="I2363" s="562"/>
      <c r="J2363" s="562"/>
    </row>
    <row r="2364" spans="1:10" hidden="1" x14ac:dyDescent="0.25">
      <c r="A2364" s="362"/>
      <c r="B2364" s="611">
        <v>44212</v>
      </c>
      <c r="C2364" s="362" t="s">
        <v>80</v>
      </c>
      <c r="D2364" s="562"/>
      <c r="E2364" s="562"/>
      <c r="F2364" s="562"/>
      <c r="G2364" s="562"/>
      <c r="H2364" s="562"/>
      <c r="I2364" s="562"/>
      <c r="J2364" s="562"/>
    </row>
    <row r="2365" spans="1:10" hidden="1" x14ac:dyDescent="0.25">
      <c r="A2365" s="362"/>
      <c r="B2365" s="611">
        <v>44212</v>
      </c>
      <c r="C2365" s="362" t="s">
        <v>83</v>
      </c>
      <c r="D2365" s="562"/>
      <c r="E2365" s="562"/>
      <c r="F2365" s="562"/>
      <c r="G2365" s="562"/>
      <c r="H2365" s="562"/>
      <c r="I2365" s="562"/>
      <c r="J2365" s="562"/>
    </row>
    <row r="2366" spans="1:10" hidden="1" x14ac:dyDescent="0.25">
      <c r="A2366" s="362"/>
      <c r="B2366" s="611">
        <v>44212</v>
      </c>
      <c r="C2366" s="362" t="s">
        <v>78</v>
      </c>
      <c r="D2366" s="562"/>
      <c r="E2366" s="562"/>
      <c r="F2366" s="562"/>
      <c r="G2366" s="562"/>
      <c r="H2366" s="562"/>
      <c r="I2366" s="562"/>
      <c r="J2366" s="562"/>
    </row>
    <row r="2367" spans="1:10" hidden="1" x14ac:dyDescent="0.25">
      <c r="A2367" s="362"/>
      <c r="B2367" s="611">
        <v>44212</v>
      </c>
      <c r="C2367" s="362" t="s">
        <v>141</v>
      </c>
      <c r="D2367" s="562"/>
      <c r="E2367" s="562"/>
      <c r="F2367" s="562"/>
      <c r="G2367" s="562"/>
      <c r="H2367" s="562"/>
      <c r="I2367" s="562"/>
      <c r="J2367" s="562"/>
    </row>
    <row r="2368" spans="1:10" hidden="1" x14ac:dyDescent="0.25">
      <c r="A2368" s="362"/>
      <c r="B2368" s="611">
        <v>44212</v>
      </c>
      <c r="C2368" s="362" t="s">
        <v>89</v>
      </c>
      <c r="D2368" s="562"/>
      <c r="E2368" s="562"/>
      <c r="F2368" s="562"/>
      <c r="G2368" s="562"/>
      <c r="H2368" s="562"/>
      <c r="I2368" s="562"/>
      <c r="J2368" s="562"/>
    </row>
    <row r="2369" spans="1:10" hidden="1" x14ac:dyDescent="0.25">
      <c r="A2369" s="362"/>
      <c r="B2369" s="611">
        <v>44212</v>
      </c>
      <c r="C2369" s="362" t="s">
        <v>81</v>
      </c>
      <c r="D2369" s="562"/>
      <c r="E2369" s="562"/>
      <c r="F2369" s="562"/>
      <c r="G2369" s="562"/>
      <c r="H2369" s="562"/>
      <c r="I2369" s="562"/>
      <c r="J2369" s="562"/>
    </row>
    <row r="2370" spans="1:10" hidden="1" x14ac:dyDescent="0.25">
      <c r="A2370" s="362"/>
      <c r="B2370" s="611">
        <v>44212</v>
      </c>
      <c r="C2370" s="362" t="s">
        <v>84</v>
      </c>
      <c r="D2370" s="562"/>
      <c r="E2370" s="562"/>
      <c r="F2370" s="562"/>
      <c r="G2370" s="562"/>
      <c r="H2370" s="562"/>
      <c r="I2370" s="562"/>
      <c r="J2370" s="562"/>
    </row>
    <row r="2371" spans="1:10" hidden="1" x14ac:dyDescent="0.25">
      <c r="A2371" s="362"/>
      <c r="B2371" s="611">
        <v>44212</v>
      </c>
      <c r="C2371" s="362" t="s">
        <v>4751</v>
      </c>
      <c r="D2371" s="562"/>
      <c r="E2371" s="562"/>
      <c r="F2371" s="562"/>
      <c r="G2371" s="562"/>
      <c r="H2371" s="562"/>
      <c r="I2371" s="562"/>
      <c r="J2371" s="562"/>
    </row>
    <row r="2372" spans="1:10" hidden="1" x14ac:dyDescent="0.25">
      <c r="A2372" s="362"/>
      <c r="B2372" s="611">
        <v>44212</v>
      </c>
      <c r="C2372" s="362" t="s">
        <v>166</v>
      </c>
      <c r="D2372" s="562"/>
      <c r="E2372" s="562"/>
      <c r="F2372" s="562"/>
      <c r="G2372" s="562"/>
      <c r="H2372" s="562"/>
      <c r="I2372" s="562"/>
      <c r="J2372" s="562"/>
    </row>
    <row r="2373" spans="1:10" hidden="1" x14ac:dyDescent="0.25">
      <c r="A2373" s="362"/>
      <c r="B2373" s="611">
        <v>44212</v>
      </c>
      <c r="C2373" s="362" t="s">
        <v>3435</v>
      </c>
      <c r="D2373" s="562"/>
      <c r="E2373" s="562"/>
      <c r="F2373" s="562"/>
      <c r="G2373" s="562"/>
      <c r="H2373" s="562"/>
      <c r="I2373" s="562"/>
      <c r="J2373" s="562"/>
    </row>
    <row r="2374" spans="1:10" hidden="1" x14ac:dyDescent="0.25">
      <c r="A2374" s="362"/>
      <c r="B2374" s="611">
        <v>44212</v>
      </c>
      <c r="C2374" s="370" t="s">
        <v>85</v>
      </c>
      <c r="D2374" s="562"/>
      <c r="E2374" s="562"/>
      <c r="F2374" s="562"/>
      <c r="G2374" s="562"/>
      <c r="H2374" s="562"/>
      <c r="I2374" s="562"/>
      <c r="J2374" s="562"/>
    </row>
    <row r="2375" spans="1:10" hidden="1" x14ac:dyDescent="0.25">
      <c r="A2375" s="532"/>
      <c r="B2375" s="532"/>
      <c r="C2375" s="532"/>
      <c r="D2375" s="564"/>
      <c r="E2375" s="564"/>
      <c r="F2375" s="564"/>
      <c r="G2375" s="564"/>
      <c r="H2375" s="564"/>
      <c r="I2375" s="564"/>
      <c r="J2375" s="564"/>
    </row>
    <row r="2376" spans="1:10" hidden="1" x14ac:dyDescent="0.25">
      <c r="A2376" s="362"/>
      <c r="B2376" s="611">
        <v>44214</v>
      </c>
      <c r="C2376" s="362" t="s">
        <v>86</v>
      </c>
      <c r="D2376" s="562"/>
      <c r="E2376" s="562"/>
      <c r="F2376" s="562"/>
      <c r="G2376" s="562"/>
      <c r="H2376" s="562"/>
      <c r="I2376" s="562"/>
      <c r="J2376" s="562"/>
    </row>
    <row r="2377" spans="1:10" hidden="1" x14ac:dyDescent="0.25">
      <c r="A2377" s="362"/>
      <c r="B2377" s="611">
        <v>44214</v>
      </c>
      <c r="C2377" s="362" t="s">
        <v>87</v>
      </c>
      <c r="D2377" s="562"/>
      <c r="E2377" s="562"/>
      <c r="F2377" s="562"/>
      <c r="G2377" s="562"/>
      <c r="H2377" s="562"/>
      <c r="I2377" s="562"/>
      <c r="J2377" s="562"/>
    </row>
    <row r="2378" spans="1:10" hidden="1" x14ac:dyDescent="0.25">
      <c r="A2378" s="362"/>
      <c r="B2378" s="611">
        <v>44214</v>
      </c>
      <c r="C2378" s="362" t="s">
        <v>88</v>
      </c>
      <c r="D2378" s="562"/>
      <c r="E2378" s="562"/>
      <c r="F2378" s="562"/>
      <c r="G2378" s="562"/>
      <c r="H2378" s="562"/>
      <c r="I2378" s="562"/>
      <c r="J2378" s="562"/>
    </row>
    <row r="2379" spans="1:10" hidden="1" x14ac:dyDescent="0.25">
      <c r="A2379" s="362"/>
      <c r="B2379" s="611">
        <v>44214</v>
      </c>
      <c r="C2379" s="362" t="s">
        <v>82</v>
      </c>
      <c r="D2379" s="562"/>
      <c r="E2379" s="562"/>
      <c r="F2379" s="562"/>
      <c r="G2379" s="562"/>
      <c r="H2379" s="562"/>
      <c r="I2379" s="562"/>
      <c r="J2379" s="562"/>
    </row>
    <row r="2380" spans="1:10" hidden="1" x14ac:dyDescent="0.25">
      <c r="A2380" s="362"/>
      <c r="B2380" s="611">
        <v>44214</v>
      </c>
      <c r="C2380" s="362" t="s">
        <v>80</v>
      </c>
      <c r="D2380" s="562"/>
      <c r="E2380" s="562"/>
      <c r="F2380" s="562"/>
      <c r="G2380" s="562"/>
      <c r="H2380" s="562"/>
      <c r="I2380" s="562"/>
      <c r="J2380" s="562"/>
    </row>
    <row r="2381" spans="1:10" hidden="1" x14ac:dyDescent="0.25">
      <c r="A2381" s="362"/>
      <c r="B2381" s="611">
        <v>44214</v>
      </c>
      <c r="C2381" s="362" t="s">
        <v>83</v>
      </c>
      <c r="D2381" s="562"/>
      <c r="E2381" s="562"/>
      <c r="F2381" s="562"/>
      <c r="G2381" s="562"/>
      <c r="H2381" s="562"/>
      <c r="I2381" s="562"/>
      <c r="J2381" s="562"/>
    </row>
    <row r="2382" spans="1:10" hidden="1" x14ac:dyDescent="0.25">
      <c r="A2382" s="362"/>
      <c r="B2382" s="611">
        <v>44214</v>
      </c>
      <c r="C2382" s="362" t="s">
        <v>78</v>
      </c>
      <c r="D2382" s="562"/>
      <c r="E2382" s="562"/>
      <c r="F2382" s="562"/>
      <c r="G2382" s="562"/>
      <c r="H2382" s="562"/>
      <c r="I2382" s="562"/>
      <c r="J2382" s="562"/>
    </row>
    <row r="2383" spans="1:10" hidden="1" x14ac:dyDescent="0.25">
      <c r="A2383" s="362"/>
      <c r="B2383" s="611">
        <v>44214</v>
      </c>
      <c r="C2383" s="362" t="s">
        <v>141</v>
      </c>
      <c r="D2383" s="562"/>
      <c r="E2383" s="562"/>
      <c r="F2383" s="562"/>
      <c r="G2383" s="562"/>
      <c r="H2383" s="562"/>
      <c r="I2383" s="562"/>
      <c r="J2383" s="562"/>
    </row>
    <row r="2384" spans="1:10" hidden="1" x14ac:dyDescent="0.25">
      <c r="A2384" s="362"/>
      <c r="B2384" s="611">
        <v>44214</v>
      </c>
      <c r="C2384" s="362" t="s">
        <v>89</v>
      </c>
      <c r="D2384" s="562"/>
      <c r="E2384" s="562"/>
      <c r="F2384" s="562"/>
      <c r="G2384" s="562"/>
      <c r="H2384" s="562"/>
      <c r="I2384" s="562"/>
      <c r="J2384" s="562"/>
    </row>
    <row r="2385" spans="1:10" hidden="1" x14ac:dyDescent="0.25">
      <c r="A2385" s="362"/>
      <c r="B2385" s="611">
        <v>44214</v>
      </c>
      <c r="C2385" s="362" t="s">
        <v>81</v>
      </c>
      <c r="D2385" s="562"/>
      <c r="E2385" s="562"/>
      <c r="F2385" s="562"/>
      <c r="G2385" s="562"/>
      <c r="H2385" s="562"/>
      <c r="I2385" s="562"/>
      <c r="J2385" s="562"/>
    </row>
    <row r="2386" spans="1:10" hidden="1" x14ac:dyDescent="0.25">
      <c r="A2386" s="362"/>
      <c r="B2386" s="611">
        <v>44214</v>
      </c>
      <c r="C2386" s="362" t="s">
        <v>84</v>
      </c>
      <c r="D2386" s="562"/>
      <c r="E2386" s="562"/>
      <c r="F2386" s="562"/>
      <c r="G2386" s="562"/>
      <c r="H2386" s="562"/>
      <c r="I2386" s="562"/>
      <c r="J2386" s="562"/>
    </row>
    <row r="2387" spans="1:10" hidden="1" x14ac:dyDescent="0.25">
      <c r="A2387" s="362"/>
      <c r="B2387" s="611">
        <v>44214</v>
      </c>
      <c r="C2387" s="362" t="s">
        <v>4751</v>
      </c>
      <c r="D2387" s="562"/>
      <c r="E2387" s="562"/>
      <c r="F2387" s="562"/>
      <c r="G2387" s="562"/>
      <c r="H2387" s="562"/>
      <c r="I2387" s="562"/>
      <c r="J2387" s="562"/>
    </row>
    <row r="2388" spans="1:10" hidden="1" x14ac:dyDescent="0.25">
      <c r="A2388" s="362"/>
      <c r="B2388" s="611">
        <v>44214</v>
      </c>
      <c r="C2388" s="362" t="s">
        <v>166</v>
      </c>
      <c r="D2388" s="562"/>
      <c r="E2388" s="562"/>
      <c r="F2388" s="562"/>
      <c r="G2388" s="562"/>
      <c r="H2388" s="562"/>
      <c r="I2388" s="562"/>
      <c r="J2388" s="562"/>
    </row>
    <row r="2389" spans="1:10" hidden="1" x14ac:dyDescent="0.25">
      <c r="A2389" s="362"/>
      <c r="B2389" s="611">
        <v>44214</v>
      </c>
      <c r="C2389" s="362" t="s">
        <v>3435</v>
      </c>
      <c r="D2389" s="562"/>
      <c r="E2389" s="562"/>
      <c r="F2389" s="562"/>
      <c r="G2389" s="562"/>
      <c r="H2389" s="562"/>
      <c r="I2389" s="562"/>
      <c r="J2389" s="562"/>
    </row>
    <row r="2390" spans="1:10" hidden="1" x14ac:dyDescent="0.25">
      <c r="A2390" s="362"/>
      <c r="B2390" s="611">
        <v>44214</v>
      </c>
      <c r="C2390" s="370" t="s">
        <v>85</v>
      </c>
      <c r="D2390" s="562"/>
      <c r="E2390" s="562"/>
      <c r="F2390" s="562"/>
      <c r="G2390" s="562"/>
      <c r="H2390" s="562"/>
      <c r="I2390" s="562"/>
      <c r="J2390" s="562"/>
    </row>
    <row r="2391" spans="1:10" hidden="1" x14ac:dyDescent="0.25">
      <c r="A2391" s="532"/>
      <c r="B2391" s="532"/>
      <c r="C2391" s="532"/>
      <c r="D2391" s="564"/>
      <c r="E2391" s="564"/>
      <c r="F2391" s="564"/>
      <c r="G2391" s="564"/>
      <c r="H2391" s="564"/>
      <c r="I2391" s="564"/>
      <c r="J2391" s="564"/>
    </row>
    <row r="2392" spans="1:10" hidden="1" x14ac:dyDescent="0.25">
      <c r="A2392" s="362"/>
      <c r="B2392" s="611">
        <v>44215</v>
      </c>
      <c r="C2392" s="362" t="s">
        <v>86</v>
      </c>
      <c r="D2392" s="562"/>
      <c r="E2392" s="562"/>
      <c r="F2392" s="562"/>
      <c r="G2392" s="562"/>
      <c r="H2392" s="562"/>
      <c r="I2392" s="562"/>
      <c r="J2392" s="562"/>
    </row>
    <row r="2393" spans="1:10" hidden="1" x14ac:dyDescent="0.25">
      <c r="A2393" s="362"/>
      <c r="B2393" s="611">
        <v>44215</v>
      </c>
      <c r="C2393" s="362" t="s">
        <v>87</v>
      </c>
      <c r="D2393" s="562"/>
      <c r="E2393" s="562"/>
      <c r="F2393" s="562"/>
      <c r="G2393" s="562"/>
      <c r="H2393" s="562"/>
      <c r="I2393" s="562"/>
      <c r="J2393" s="562"/>
    </row>
    <row r="2394" spans="1:10" hidden="1" x14ac:dyDescent="0.25">
      <c r="A2394" s="362"/>
      <c r="B2394" s="611">
        <v>44215</v>
      </c>
      <c r="C2394" s="362" t="s">
        <v>88</v>
      </c>
      <c r="D2394" s="562"/>
      <c r="E2394" s="562"/>
      <c r="F2394" s="562"/>
      <c r="G2394" s="562"/>
      <c r="H2394" s="562"/>
      <c r="I2394" s="562"/>
      <c r="J2394" s="562"/>
    </row>
    <row r="2395" spans="1:10" hidden="1" x14ac:dyDescent="0.25">
      <c r="A2395" s="362"/>
      <c r="B2395" s="611">
        <v>44215</v>
      </c>
      <c r="C2395" s="362" t="s">
        <v>82</v>
      </c>
      <c r="D2395" s="562"/>
      <c r="E2395" s="562"/>
      <c r="F2395" s="562"/>
      <c r="G2395" s="562"/>
      <c r="H2395" s="562"/>
      <c r="I2395" s="562"/>
      <c r="J2395" s="562"/>
    </row>
    <row r="2396" spans="1:10" hidden="1" x14ac:dyDescent="0.25">
      <c r="A2396" s="362"/>
      <c r="B2396" s="611">
        <v>44215</v>
      </c>
      <c r="C2396" s="362" t="s">
        <v>80</v>
      </c>
      <c r="D2396" s="562"/>
      <c r="E2396" s="562"/>
      <c r="F2396" s="562"/>
      <c r="G2396" s="562"/>
      <c r="H2396" s="562"/>
      <c r="I2396" s="562"/>
      <c r="J2396" s="562"/>
    </row>
    <row r="2397" spans="1:10" hidden="1" x14ac:dyDescent="0.25">
      <c r="A2397" s="362"/>
      <c r="B2397" s="611">
        <v>44215</v>
      </c>
      <c r="C2397" s="362" t="s">
        <v>83</v>
      </c>
      <c r="D2397" s="562"/>
      <c r="E2397" s="562"/>
      <c r="F2397" s="562"/>
      <c r="G2397" s="562"/>
      <c r="H2397" s="562"/>
      <c r="I2397" s="562"/>
      <c r="J2397" s="562"/>
    </row>
    <row r="2398" spans="1:10" hidden="1" x14ac:dyDescent="0.25">
      <c r="A2398" s="362"/>
      <c r="B2398" s="611">
        <v>44215</v>
      </c>
      <c r="C2398" s="362" t="s">
        <v>78</v>
      </c>
      <c r="D2398" s="562"/>
      <c r="E2398" s="562"/>
      <c r="F2398" s="562"/>
      <c r="G2398" s="562"/>
      <c r="H2398" s="562"/>
      <c r="I2398" s="562"/>
      <c r="J2398" s="562"/>
    </row>
    <row r="2399" spans="1:10" hidden="1" x14ac:dyDescent="0.25">
      <c r="A2399" s="362"/>
      <c r="B2399" s="611">
        <v>44215</v>
      </c>
      <c r="C2399" s="362" t="s">
        <v>141</v>
      </c>
      <c r="D2399" s="562"/>
      <c r="E2399" s="562"/>
      <c r="F2399" s="562"/>
      <c r="G2399" s="562"/>
      <c r="H2399" s="562"/>
      <c r="I2399" s="562"/>
      <c r="J2399" s="562"/>
    </row>
    <row r="2400" spans="1:10" hidden="1" x14ac:dyDescent="0.25">
      <c r="A2400" s="362"/>
      <c r="B2400" s="611">
        <v>44215</v>
      </c>
      <c r="C2400" s="362" t="s">
        <v>89</v>
      </c>
      <c r="D2400" s="562"/>
      <c r="E2400" s="562"/>
      <c r="F2400" s="562"/>
      <c r="G2400" s="562"/>
      <c r="H2400" s="562"/>
      <c r="I2400" s="562"/>
      <c r="J2400" s="562"/>
    </row>
    <row r="2401" spans="1:10" hidden="1" x14ac:dyDescent="0.25">
      <c r="A2401" s="362"/>
      <c r="B2401" s="611">
        <v>44215</v>
      </c>
      <c r="C2401" s="362" t="s">
        <v>81</v>
      </c>
      <c r="D2401" s="562"/>
      <c r="E2401" s="562"/>
      <c r="F2401" s="562"/>
      <c r="G2401" s="562"/>
      <c r="H2401" s="562"/>
      <c r="I2401" s="562"/>
      <c r="J2401" s="562"/>
    </row>
    <row r="2402" spans="1:10" hidden="1" x14ac:dyDescent="0.25">
      <c r="A2402" s="362"/>
      <c r="B2402" s="611">
        <v>44215</v>
      </c>
      <c r="C2402" s="362" t="s">
        <v>84</v>
      </c>
      <c r="D2402" s="562"/>
      <c r="E2402" s="562"/>
      <c r="F2402" s="562"/>
      <c r="G2402" s="562"/>
      <c r="H2402" s="562"/>
      <c r="I2402" s="562"/>
      <c r="J2402" s="562"/>
    </row>
    <row r="2403" spans="1:10" hidden="1" x14ac:dyDescent="0.25">
      <c r="A2403" s="362"/>
      <c r="B2403" s="611">
        <v>44215</v>
      </c>
      <c r="C2403" s="362" t="s">
        <v>4751</v>
      </c>
      <c r="D2403" s="562"/>
      <c r="E2403" s="562"/>
      <c r="F2403" s="562"/>
      <c r="G2403" s="562"/>
      <c r="H2403" s="562"/>
      <c r="I2403" s="562"/>
      <c r="J2403" s="562"/>
    </row>
    <row r="2404" spans="1:10" hidden="1" x14ac:dyDescent="0.25">
      <c r="A2404" s="362"/>
      <c r="B2404" s="611">
        <v>44215</v>
      </c>
      <c r="C2404" s="362" t="s">
        <v>166</v>
      </c>
      <c r="D2404" s="562"/>
      <c r="E2404" s="562"/>
      <c r="F2404" s="562"/>
      <c r="G2404" s="562"/>
      <c r="H2404" s="562"/>
      <c r="I2404" s="562"/>
      <c r="J2404" s="562"/>
    </row>
    <row r="2405" spans="1:10" hidden="1" x14ac:dyDescent="0.25">
      <c r="A2405" s="362"/>
      <c r="B2405" s="611">
        <v>44215</v>
      </c>
      <c r="C2405" s="362" t="s">
        <v>3435</v>
      </c>
      <c r="D2405" s="562"/>
      <c r="E2405" s="562"/>
      <c r="F2405" s="562"/>
      <c r="G2405" s="562"/>
      <c r="H2405" s="562"/>
      <c r="I2405" s="562"/>
      <c r="J2405" s="562"/>
    </row>
    <row r="2406" spans="1:10" hidden="1" x14ac:dyDescent="0.25">
      <c r="A2406" s="362"/>
      <c r="B2406" s="611">
        <v>44215</v>
      </c>
      <c r="C2406" s="370" t="s">
        <v>85</v>
      </c>
      <c r="D2406" s="562"/>
      <c r="E2406" s="562"/>
      <c r="F2406" s="562"/>
      <c r="G2406" s="562"/>
      <c r="H2406" s="562"/>
      <c r="I2406" s="562"/>
      <c r="J2406" s="562"/>
    </row>
    <row r="2407" spans="1:10" hidden="1" x14ac:dyDescent="0.25">
      <c r="A2407" s="532"/>
      <c r="B2407" s="532"/>
      <c r="C2407" s="532"/>
      <c r="D2407" s="564"/>
      <c r="E2407" s="564"/>
      <c r="F2407" s="564"/>
      <c r="G2407" s="564"/>
      <c r="H2407" s="564"/>
      <c r="I2407" s="564"/>
      <c r="J2407" s="564"/>
    </row>
    <row r="2408" spans="1:10" hidden="1" x14ac:dyDescent="0.25">
      <c r="A2408" s="362"/>
      <c r="B2408" s="611">
        <v>44216</v>
      </c>
      <c r="C2408" s="362" t="s">
        <v>86</v>
      </c>
      <c r="D2408" s="562"/>
      <c r="E2408" s="562"/>
      <c r="F2408" s="562"/>
      <c r="G2408" s="562"/>
      <c r="H2408" s="562"/>
      <c r="I2408" s="562"/>
      <c r="J2408" s="562"/>
    </row>
    <row r="2409" spans="1:10" hidden="1" x14ac:dyDescent="0.25">
      <c r="A2409" s="362"/>
      <c r="B2409" s="611">
        <v>44216</v>
      </c>
      <c r="C2409" s="362" t="s">
        <v>87</v>
      </c>
      <c r="D2409" s="562"/>
      <c r="E2409" s="562"/>
      <c r="F2409" s="562"/>
      <c r="G2409" s="562"/>
      <c r="H2409" s="562"/>
      <c r="I2409" s="562"/>
      <c r="J2409" s="562"/>
    </row>
    <row r="2410" spans="1:10" hidden="1" x14ac:dyDescent="0.25">
      <c r="A2410" s="362"/>
      <c r="B2410" s="611">
        <v>44216</v>
      </c>
      <c r="C2410" s="362" t="s">
        <v>88</v>
      </c>
      <c r="D2410" s="562"/>
      <c r="E2410" s="562"/>
      <c r="F2410" s="562"/>
      <c r="G2410" s="562"/>
      <c r="H2410" s="562"/>
      <c r="I2410" s="562"/>
      <c r="J2410" s="562"/>
    </row>
    <row r="2411" spans="1:10" hidden="1" x14ac:dyDescent="0.25">
      <c r="A2411" s="362"/>
      <c r="B2411" s="611">
        <v>44216</v>
      </c>
      <c r="C2411" s="362" t="s">
        <v>82</v>
      </c>
      <c r="D2411" s="562"/>
      <c r="E2411" s="562"/>
      <c r="F2411" s="562"/>
      <c r="G2411" s="562"/>
      <c r="H2411" s="562"/>
      <c r="I2411" s="562"/>
      <c r="J2411" s="562"/>
    </row>
    <row r="2412" spans="1:10" hidden="1" x14ac:dyDescent="0.25">
      <c r="A2412" s="362"/>
      <c r="B2412" s="611">
        <v>44216</v>
      </c>
      <c r="C2412" s="362" t="s">
        <v>80</v>
      </c>
      <c r="D2412" s="562"/>
      <c r="E2412" s="562"/>
      <c r="F2412" s="562"/>
      <c r="G2412" s="562"/>
      <c r="H2412" s="562"/>
      <c r="I2412" s="562"/>
      <c r="J2412" s="562"/>
    </row>
    <row r="2413" spans="1:10" hidden="1" x14ac:dyDescent="0.25">
      <c r="A2413" s="362"/>
      <c r="B2413" s="611">
        <v>44216</v>
      </c>
      <c r="C2413" s="362" t="s">
        <v>83</v>
      </c>
      <c r="D2413" s="562"/>
      <c r="E2413" s="562"/>
      <c r="F2413" s="562"/>
      <c r="G2413" s="562"/>
      <c r="H2413" s="562"/>
      <c r="I2413" s="562"/>
      <c r="J2413" s="562"/>
    </row>
    <row r="2414" spans="1:10" hidden="1" x14ac:dyDescent="0.25">
      <c r="A2414" s="362"/>
      <c r="B2414" s="611">
        <v>44216</v>
      </c>
      <c r="C2414" s="362" t="s">
        <v>78</v>
      </c>
      <c r="D2414" s="562"/>
      <c r="E2414" s="562"/>
      <c r="F2414" s="562"/>
      <c r="G2414" s="562"/>
      <c r="H2414" s="562"/>
      <c r="I2414" s="562"/>
      <c r="J2414" s="562"/>
    </row>
    <row r="2415" spans="1:10" hidden="1" x14ac:dyDescent="0.25">
      <c r="A2415" s="362"/>
      <c r="B2415" s="611">
        <v>44216</v>
      </c>
      <c r="C2415" s="362" t="s">
        <v>141</v>
      </c>
      <c r="D2415" s="562"/>
      <c r="E2415" s="562"/>
      <c r="F2415" s="562"/>
      <c r="G2415" s="562"/>
      <c r="H2415" s="562"/>
      <c r="I2415" s="562"/>
      <c r="J2415" s="562"/>
    </row>
    <row r="2416" spans="1:10" hidden="1" x14ac:dyDescent="0.25">
      <c r="A2416" s="362"/>
      <c r="B2416" s="611">
        <v>44216</v>
      </c>
      <c r="C2416" s="362" t="s">
        <v>89</v>
      </c>
      <c r="D2416" s="562"/>
      <c r="E2416" s="562"/>
      <c r="F2416" s="562"/>
      <c r="G2416" s="562"/>
      <c r="H2416" s="562"/>
      <c r="I2416" s="562"/>
      <c r="J2416" s="562"/>
    </row>
    <row r="2417" spans="1:10" hidden="1" x14ac:dyDescent="0.25">
      <c r="A2417" s="362"/>
      <c r="B2417" s="611">
        <v>44216</v>
      </c>
      <c r="C2417" s="362" t="s">
        <v>81</v>
      </c>
      <c r="D2417" s="562"/>
      <c r="E2417" s="562"/>
      <c r="F2417" s="562"/>
      <c r="G2417" s="562"/>
      <c r="H2417" s="562"/>
      <c r="I2417" s="562"/>
      <c r="J2417" s="562"/>
    </row>
    <row r="2418" spans="1:10" hidden="1" x14ac:dyDescent="0.25">
      <c r="A2418" s="362"/>
      <c r="B2418" s="611">
        <v>44216</v>
      </c>
      <c r="C2418" s="362" t="s">
        <v>84</v>
      </c>
      <c r="D2418" s="562"/>
      <c r="E2418" s="562"/>
      <c r="F2418" s="562"/>
      <c r="G2418" s="562"/>
      <c r="H2418" s="562"/>
      <c r="I2418" s="562"/>
      <c r="J2418" s="562"/>
    </row>
    <row r="2419" spans="1:10" hidden="1" x14ac:dyDescent="0.25">
      <c r="A2419" s="362"/>
      <c r="B2419" s="611">
        <v>44216</v>
      </c>
      <c r="C2419" s="362" t="s">
        <v>4751</v>
      </c>
      <c r="D2419" s="562"/>
      <c r="E2419" s="562"/>
      <c r="F2419" s="562"/>
      <c r="G2419" s="562"/>
      <c r="H2419" s="562"/>
      <c r="I2419" s="562"/>
      <c r="J2419" s="562"/>
    </row>
    <row r="2420" spans="1:10" hidden="1" x14ac:dyDescent="0.25">
      <c r="A2420" s="362"/>
      <c r="B2420" s="611">
        <v>44216</v>
      </c>
      <c r="C2420" s="362" t="s">
        <v>166</v>
      </c>
      <c r="D2420" s="562"/>
      <c r="E2420" s="562"/>
      <c r="F2420" s="562"/>
      <c r="G2420" s="562"/>
      <c r="H2420" s="562"/>
      <c r="I2420" s="562"/>
      <c r="J2420" s="562"/>
    </row>
    <row r="2421" spans="1:10" hidden="1" x14ac:dyDescent="0.25">
      <c r="A2421" s="362"/>
      <c r="B2421" s="611">
        <v>44216</v>
      </c>
      <c r="C2421" s="362" t="s">
        <v>3435</v>
      </c>
      <c r="D2421" s="562"/>
      <c r="E2421" s="562"/>
      <c r="F2421" s="562"/>
      <c r="G2421" s="562"/>
      <c r="H2421" s="562"/>
      <c r="I2421" s="562"/>
      <c r="J2421" s="562"/>
    </row>
    <row r="2422" spans="1:10" hidden="1" x14ac:dyDescent="0.25">
      <c r="A2422" s="362"/>
      <c r="B2422" s="611">
        <v>44216</v>
      </c>
      <c r="C2422" s="370" t="s">
        <v>85</v>
      </c>
      <c r="D2422" s="562"/>
      <c r="E2422" s="562"/>
      <c r="F2422" s="562"/>
      <c r="G2422" s="562"/>
      <c r="H2422" s="562"/>
      <c r="I2422" s="562"/>
      <c r="J2422" s="562"/>
    </row>
    <row r="2423" spans="1:10" hidden="1" x14ac:dyDescent="0.25">
      <c r="A2423" s="532"/>
      <c r="B2423" s="532"/>
      <c r="C2423" s="532"/>
      <c r="D2423" s="564"/>
      <c r="E2423" s="564"/>
      <c r="F2423" s="564"/>
      <c r="G2423" s="564"/>
      <c r="H2423" s="564"/>
      <c r="I2423" s="564"/>
      <c r="J2423" s="564"/>
    </row>
    <row r="2424" spans="1:10" hidden="1" x14ac:dyDescent="0.25">
      <c r="A2424" s="362"/>
      <c r="B2424" s="611">
        <v>44217</v>
      </c>
      <c r="C2424" s="362" t="s">
        <v>86</v>
      </c>
      <c r="D2424" s="562"/>
      <c r="E2424" s="562"/>
      <c r="F2424" s="562"/>
      <c r="G2424" s="562"/>
      <c r="H2424" s="562"/>
      <c r="I2424" s="562"/>
      <c r="J2424" s="562"/>
    </row>
    <row r="2425" spans="1:10" hidden="1" x14ac:dyDescent="0.25">
      <c r="A2425" s="362"/>
      <c r="B2425" s="611">
        <v>44217</v>
      </c>
      <c r="C2425" s="362" t="s">
        <v>87</v>
      </c>
      <c r="D2425" s="562"/>
      <c r="E2425" s="562"/>
      <c r="F2425" s="562"/>
      <c r="G2425" s="562"/>
      <c r="H2425" s="562"/>
      <c r="I2425" s="562"/>
      <c r="J2425" s="562"/>
    </row>
    <row r="2426" spans="1:10" hidden="1" x14ac:dyDescent="0.25">
      <c r="A2426" s="362"/>
      <c r="B2426" s="611">
        <v>44217</v>
      </c>
      <c r="C2426" s="362" t="s">
        <v>88</v>
      </c>
      <c r="D2426" s="562"/>
      <c r="E2426" s="562"/>
      <c r="F2426" s="562"/>
      <c r="G2426" s="562"/>
      <c r="H2426" s="562"/>
      <c r="I2426" s="562"/>
      <c r="J2426" s="562"/>
    </row>
    <row r="2427" spans="1:10" hidden="1" x14ac:dyDescent="0.25">
      <c r="A2427" s="362"/>
      <c r="B2427" s="611">
        <v>44217</v>
      </c>
      <c r="C2427" s="362" t="s">
        <v>82</v>
      </c>
      <c r="D2427" s="562"/>
      <c r="E2427" s="562"/>
      <c r="F2427" s="562"/>
      <c r="G2427" s="562"/>
      <c r="H2427" s="562"/>
      <c r="I2427" s="562"/>
      <c r="J2427" s="562"/>
    </row>
    <row r="2428" spans="1:10" hidden="1" x14ac:dyDescent="0.25">
      <c r="A2428" s="362"/>
      <c r="B2428" s="611">
        <v>44217</v>
      </c>
      <c r="C2428" s="362" t="s">
        <v>80</v>
      </c>
      <c r="D2428" s="562"/>
      <c r="E2428" s="562"/>
      <c r="F2428" s="562"/>
      <c r="G2428" s="562"/>
      <c r="H2428" s="562"/>
      <c r="I2428" s="562"/>
      <c r="J2428" s="562"/>
    </row>
    <row r="2429" spans="1:10" hidden="1" x14ac:dyDescent="0.25">
      <c r="A2429" s="362"/>
      <c r="B2429" s="611">
        <v>44217</v>
      </c>
      <c r="C2429" s="362" t="s">
        <v>83</v>
      </c>
      <c r="D2429" s="562"/>
      <c r="E2429" s="562"/>
      <c r="F2429" s="562"/>
      <c r="G2429" s="562"/>
      <c r="H2429" s="562"/>
      <c r="I2429" s="562"/>
      <c r="J2429" s="562"/>
    </row>
    <row r="2430" spans="1:10" hidden="1" x14ac:dyDescent="0.25">
      <c r="A2430" s="362"/>
      <c r="B2430" s="611">
        <v>44217</v>
      </c>
      <c r="C2430" s="362" t="s">
        <v>78</v>
      </c>
      <c r="D2430" s="562"/>
      <c r="E2430" s="562"/>
      <c r="F2430" s="562"/>
      <c r="G2430" s="562"/>
      <c r="H2430" s="562"/>
      <c r="I2430" s="562"/>
      <c r="J2430" s="562"/>
    </row>
    <row r="2431" spans="1:10" hidden="1" x14ac:dyDescent="0.25">
      <c r="A2431" s="362"/>
      <c r="B2431" s="611">
        <v>44217</v>
      </c>
      <c r="C2431" s="362" t="s">
        <v>141</v>
      </c>
      <c r="D2431" s="562"/>
      <c r="E2431" s="562"/>
      <c r="F2431" s="562"/>
      <c r="G2431" s="562"/>
      <c r="H2431" s="562"/>
      <c r="I2431" s="562"/>
      <c r="J2431" s="562"/>
    </row>
    <row r="2432" spans="1:10" hidden="1" x14ac:dyDescent="0.25">
      <c r="A2432" s="362"/>
      <c r="B2432" s="611">
        <v>44217</v>
      </c>
      <c r="C2432" s="362" t="s">
        <v>89</v>
      </c>
      <c r="D2432" s="562"/>
      <c r="E2432" s="562"/>
      <c r="F2432" s="562"/>
      <c r="G2432" s="562"/>
      <c r="H2432" s="562"/>
      <c r="I2432" s="562"/>
      <c r="J2432" s="562"/>
    </row>
    <row r="2433" spans="1:10" hidden="1" x14ac:dyDescent="0.25">
      <c r="A2433" s="362"/>
      <c r="B2433" s="611">
        <v>44217</v>
      </c>
      <c r="C2433" s="362" t="s">
        <v>81</v>
      </c>
      <c r="D2433" s="562"/>
      <c r="E2433" s="562"/>
      <c r="F2433" s="562"/>
      <c r="G2433" s="562"/>
      <c r="H2433" s="562"/>
      <c r="I2433" s="562"/>
      <c r="J2433" s="562"/>
    </row>
    <row r="2434" spans="1:10" hidden="1" x14ac:dyDescent="0.25">
      <c r="A2434" s="362"/>
      <c r="B2434" s="611">
        <v>44217</v>
      </c>
      <c r="C2434" s="362" t="s">
        <v>84</v>
      </c>
      <c r="D2434" s="562"/>
      <c r="E2434" s="562"/>
      <c r="F2434" s="562"/>
      <c r="G2434" s="562"/>
      <c r="H2434" s="562"/>
      <c r="I2434" s="562"/>
      <c r="J2434" s="562"/>
    </row>
    <row r="2435" spans="1:10" hidden="1" x14ac:dyDescent="0.25">
      <c r="A2435" s="362"/>
      <c r="B2435" s="611">
        <v>44217</v>
      </c>
      <c r="C2435" s="362" t="s">
        <v>4751</v>
      </c>
      <c r="D2435" s="562"/>
      <c r="E2435" s="562"/>
      <c r="F2435" s="562"/>
      <c r="G2435" s="562"/>
      <c r="H2435" s="562"/>
      <c r="I2435" s="562"/>
      <c r="J2435" s="562"/>
    </row>
    <row r="2436" spans="1:10" hidden="1" x14ac:dyDescent="0.25">
      <c r="A2436" s="362"/>
      <c r="B2436" s="611">
        <v>44217</v>
      </c>
      <c r="C2436" s="362" t="s">
        <v>166</v>
      </c>
      <c r="D2436" s="562"/>
      <c r="E2436" s="562"/>
      <c r="F2436" s="562"/>
      <c r="G2436" s="562"/>
      <c r="H2436" s="562"/>
      <c r="I2436" s="562"/>
      <c r="J2436" s="562"/>
    </row>
    <row r="2437" spans="1:10" hidden="1" x14ac:dyDescent="0.25">
      <c r="A2437" s="362"/>
      <c r="B2437" s="611">
        <v>44217</v>
      </c>
      <c r="C2437" s="362" t="s">
        <v>3435</v>
      </c>
      <c r="D2437" s="562"/>
      <c r="E2437" s="562"/>
      <c r="F2437" s="562"/>
      <c r="G2437" s="562"/>
      <c r="H2437" s="562"/>
      <c r="I2437" s="562"/>
      <c r="J2437" s="562"/>
    </row>
    <row r="2438" spans="1:10" hidden="1" x14ac:dyDescent="0.25">
      <c r="A2438" s="362"/>
      <c r="B2438" s="611">
        <v>44217</v>
      </c>
      <c r="C2438" s="370" t="s">
        <v>85</v>
      </c>
      <c r="D2438" s="562"/>
      <c r="E2438" s="562"/>
      <c r="F2438" s="562"/>
      <c r="G2438" s="562"/>
      <c r="H2438" s="562"/>
      <c r="I2438" s="562"/>
      <c r="J2438" s="562"/>
    </row>
    <row r="2439" spans="1:10" hidden="1" x14ac:dyDescent="0.25">
      <c r="A2439" s="532"/>
      <c r="B2439" s="532"/>
      <c r="C2439" s="532"/>
      <c r="D2439" s="564"/>
      <c r="E2439" s="564"/>
      <c r="F2439" s="564"/>
      <c r="G2439" s="564"/>
      <c r="H2439" s="564"/>
      <c r="I2439" s="564"/>
      <c r="J2439" s="564"/>
    </row>
    <row r="2440" spans="1:10" hidden="1" x14ac:dyDescent="0.25">
      <c r="A2440" s="362"/>
      <c r="B2440" s="611">
        <v>44218</v>
      </c>
      <c r="C2440" s="362" t="s">
        <v>86</v>
      </c>
      <c r="D2440" s="562"/>
      <c r="E2440" s="562"/>
      <c r="F2440" s="562"/>
      <c r="G2440" s="562"/>
      <c r="H2440" s="562"/>
      <c r="I2440" s="562"/>
      <c r="J2440" s="562"/>
    </row>
    <row r="2441" spans="1:10" hidden="1" x14ac:dyDescent="0.25">
      <c r="A2441" s="362"/>
      <c r="B2441" s="611">
        <v>44218</v>
      </c>
      <c r="C2441" s="362" t="s">
        <v>87</v>
      </c>
      <c r="D2441" s="562"/>
      <c r="E2441" s="562"/>
      <c r="F2441" s="562"/>
      <c r="G2441" s="562"/>
      <c r="H2441" s="562"/>
      <c r="I2441" s="562"/>
      <c r="J2441" s="562"/>
    </row>
    <row r="2442" spans="1:10" hidden="1" x14ac:dyDescent="0.25">
      <c r="A2442" s="362"/>
      <c r="B2442" s="611">
        <v>44218</v>
      </c>
      <c r="C2442" s="362" t="s">
        <v>88</v>
      </c>
      <c r="D2442" s="562"/>
      <c r="E2442" s="562"/>
      <c r="F2442" s="562"/>
      <c r="G2442" s="562"/>
      <c r="H2442" s="562"/>
      <c r="I2442" s="562"/>
      <c r="J2442" s="562"/>
    </row>
    <row r="2443" spans="1:10" hidden="1" x14ac:dyDescent="0.25">
      <c r="A2443" s="362"/>
      <c r="B2443" s="611">
        <v>44218</v>
      </c>
      <c r="C2443" s="362" t="s">
        <v>82</v>
      </c>
      <c r="D2443" s="562"/>
      <c r="E2443" s="562"/>
      <c r="F2443" s="562"/>
      <c r="G2443" s="562"/>
      <c r="H2443" s="562"/>
      <c r="I2443" s="562"/>
      <c r="J2443" s="562"/>
    </row>
    <row r="2444" spans="1:10" hidden="1" x14ac:dyDescent="0.25">
      <c r="A2444" s="362"/>
      <c r="B2444" s="611">
        <v>44218</v>
      </c>
      <c r="C2444" s="362" t="s">
        <v>80</v>
      </c>
      <c r="D2444" s="562"/>
      <c r="E2444" s="562"/>
      <c r="F2444" s="562"/>
      <c r="G2444" s="562"/>
      <c r="H2444" s="562"/>
      <c r="I2444" s="562"/>
      <c r="J2444" s="562"/>
    </row>
    <row r="2445" spans="1:10" hidden="1" x14ac:dyDescent="0.25">
      <c r="A2445" s="362"/>
      <c r="B2445" s="611">
        <v>44218</v>
      </c>
      <c r="C2445" s="362" t="s">
        <v>83</v>
      </c>
      <c r="D2445" s="562"/>
      <c r="E2445" s="562"/>
      <c r="F2445" s="562"/>
      <c r="G2445" s="562"/>
      <c r="H2445" s="562"/>
      <c r="I2445" s="562"/>
      <c r="J2445" s="562"/>
    </row>
    <row r="2446" spans="1:10" hidden="1" x14ac:dyDescent="0.25">
      <c r="A2446" s="362"/>
      <c r="B2446" s="611">
        <v>44218</v>
      </c>
      <c r="C2446" s="362" t="s">
        <v>78</v>
      </c>
      <c r="D2446" s="562"/>
      <c r="E2446" s="562"/>
      <c r="F2446" s="562"/>
      <c r="G2446" s="562"/>
      <c r="H2446" s="562"/>
      <c r="I2446" s="562"/>
      <c r="J2446" s="562"/>
    </row>
    <row r="2447" spans="1:10" hidden="1" x14ac:dyDescent="0.25">
      <c r="A2447" s="362"/>
      <c r="B2447" s="611">
        <v>44218</v>
      </c>
      <c r="C2447" s="362" t="s">
        <v>141</v>
      </c>
      <c r="D2447" s="562"/>
      <c r="E2447" s="562"/>
      <c r="F2447" s="562"/>
      <c r="G2447" s="562"/>
      <c r="H2447" s="562"/>
      <c r="I2447" s="562"/>
      <c r="J2447" s="562"/>
    </row>
    <row r="2448" spans="1:10" hidden="1" x14ac:dyDescent="0.25">
      <c r="A2448" s="362"/>
      <c r="B2448" s="611">
        <v>44218</v>
      </c>
      <c r="C2448" s="362" t="s">
        <v>89</v>
      </c>
      <c r="D2448" s="562"/>
      <c r="E2448" s="562"/>
      <c r="F2448" s="562"/>
      <c r="G2448" s="562"/>
      <c r="H2448" s="562"/>
      <c r="I2448" s="562"/>
      <c r="J2448" s="562"/>
    </row>
    <row r="2449" spans="1:10" hidden="1" x14ac:dyDescent="0.25">
      <c r="A2449" s="362"/>
      <c r="B2449" s="611">
        <v>44218</v>
      </c>
      <c r="C2449" s="362" t="s">
        <v>81</v>
      </c>
      <c r="D2449" s="562"/>
      <c r="E2449" s="562"/>
      <c r="F2449" s="562"/>
      <c r="G2449" s="562"/>
      <c r="H2449" s="562"/>
      <c r="I2449" s="562"/>
      <c r="J2449" s="562"/>
    </row>
    <row r="2450" spans="1:10" hidden="1" x14ac:dyDescent="0.25">
      <c r="A2450" s="362"/>
      <c r="B2450" s="611">
        <v>44218</v>
      </c>
      <c r="C2450" s="362" t="s">
        <v>84</v>
      </c>
      <c r="D2450" s="562"/>
      <c r="E2450" s="562"/>
      <c r="F2450" s="562"/>
      <c r="G2450" s="562"/>
      <c r="H2450" s="562"/>
      <c r="I2450" s="562"/>
      <c r="J2450" s="562"/>
    </row>
    <row r="2451" spans="1:10" hidden="1" x14ac:dyDescent="0.25">
      <c r="A2451" s="362"/>
      <c r="B2451" s="611">
        <v>44218</v>
      </c>
      <c r="C2451" s="362" t="s">
        <v>4751</v>
      </c>
      <c r="D2451" s="562"/>
      <c r="E2451" s="562"/>
      <c r="F2451" s="562"/>
      <c r="G2451" s="562"/>
      <c r="H2451" s="562"/>
      <c r="I2451" s="562"/>
      <c r="J2451" s="562"/>
    </row>
    <row r="2452" spans="1:10" hidden="1" x14ac:dyDescent="0.25">
      <c r="A2452" s="362"/>
      <c r="B2452" s="611">
        <v>44218</v>
      </c>
      <c r="C2452" s="362" t="s">
        <v>166</v>
      </c>
      <c r="D2452" s="562"/>
      <c r="E2452" s="562"/>
      <c r="F2452" s="562"/>
      <c r="G2452" s="562"/>
      <c r="H2452" s="562"/>
      <c r="I2452" s="562"/>
      <c r="J2452" s="562"/>
    </row>
    <row r="2453" spans="1:10" hidden="1" x14ac:dyDescent="0.25">
      <c r="A2453" s="362"/>
      <c r="B2453" s="611">
        <v>44218</v>
      </c>
      <c r="C2453" s="362" t="s">
        <v>3435</v>
      </c>
      <c r="D2453" s="562"/>
      <c r="E2453" s="562"/>
      <c r="F2453" s="562"/>
      <c r="G2453" s="562"/>
      <c r="H2453" s="562"/>
      <c r="I2453" s="562"/>
      <c r="J2453" s="562"/>
    </row>
    <row r="2454" spans="1:10" hidden="1" x14ac:dyDescent="0.25">
      <c r="A2454" s="362"/>
      <c r="B2454" s="611">
        <v>44218</v>
      </c>
      <c r="C2454" s="370" t="s">
        <v>85</v>
      </c>
      <c r="D2454" s="562"/>
      <c r="E2454" s="562"/>
      <c r="F2454" s="562"/>
      <c r="G2454" s="562"/>
      <c r="H2454" s="562"/>
      <c r="I2454" s="562"/>
      <c r="J2454" s="562"/>
    </row>
    <row r="2455" spans="1:10" hidden="1" x14ac:dyDescent="0.25">
      <c r="A2455" s="532"/>
      <c r="B2455" s="532"/>
      <c r="C2455" s="532"/>
      <c r="D2455" s="564"/>
      <c r="E2455" s="564"/>
      <c r="F2455" s="564"/>
      <c r="G2455" s="564"/>
      <c r="H2455" s="564"/>
      <c r="I2455" s="564"/>
      <c r="J2455" s="564"/>
    </row>
    <row r="2456" spans="1:10" hidden="1" x14ac:dyDescent="0.25">
      <c r="A2456" s="362"/>
      <c r="B2456" s="611">
        <v>44219</v>
      </c>
      <c r="C2456" s="362" t="s">
        <v>86</v>
      </c>
      <c r="D2456" s="562"/>
      <c r="E2456" s="562"/>
      <c r="F2456" s="562"/>
      <c r="G2456" s="562"/>
      <c r="H2456" s="562"/>
      <c r="I2456" s="562"/>
      <c r="J2456" s="562"/>
    </row>
    <row r="2457" spans="1:10" hidden="1" x14ac:dyDescent="0.25">
      <c r="A2457" s="362"/>
      <c r="B2457" s="611">
        <v>44219</v>
      </c>
      <c r="C2457" s="362" t="s">
        <v>87</v>
      </c>
      <c r="D2457" s="562"/>
      <c r="E2457" s="562"/>
      <c r="F2457" s="562"/>
      <c r="G2457" s="562"/>
      <c r="H2457" s="562"/>
      <c r="I2457" s="562"/>
      <c r="J2457" s="562"/>
    </row>
    <row r="2458" spans="1:10" hidden="1" x14ac:dyDescent="0.25">
      <c r="A2458" s="362"/>
      <c r="B2458" s="611">
        <v>44219</v>
      </c>
      <c r="C2458" s="362" t="s">
        <v>88</v>
      </c>
      <c r="D2458" s="562"/>
      <c r="E2458" s="562"/>
      <c r="F2458" s="562"/>
      <c r="G2458" s="562"/>
      <c r="H2458" s="562"/>
      <c r="I2458" s="562"/>
      <c r="J2458" s="562"/>
    </row>
    <row r="2459" spans="1:10" hidden="1" x14ac:dyDescent="0.25">
      <c r="A2459" s="362"/>
      <c r="B2459" s="611">
        <v>44219</v>
      </c>
      <c r="C2459" s="362" t="s">
        <v>82</v>
      </c>
      <c r="D2459" s="562"/>
      <c r="E2459" s="562"/>
      <c r="F2459" s="562"/>
      <c r="G2459" s="562"/>
      <c r="H2459" s="562"/>
      <c r="I2459" s="562"/>
      <c r="J2459" s="562"/>
    </row>
    <row r="2460" spans="1:10" hidden="1" x14ac:dyDescent="0.25">
      <c r="A2460" s="362"/>
      <c r="B2460" s="611">
        <v>44219</v>
      </c>
      <c r="C2460" s="362" t="s">
        <v>80</v>
      </c>
      <c r="D2460" s="562"/>
      <c r="E2460" s="562"/>
      <c r="F2460" s="562"/>
      <c r="G2460" s="562"/>
      <c r="H2460" s="562"/>
      <c r="I2460" s="562"/>
      <c r="J2460" s="562"/>
    </row>
    <row r="2461" spans="1:10" hidden="1" x14ac:dyDescent="0.25">
      <c r="A2461" s="362"/>
      <c r="B2461" s="611">
        <v>44219</v>
      </c>
      <c r="C2461" s="362" t="s">
        <v>83</v>
      </c>
      <c r="D2461" s="562"/>
      <c r="E2461" s="562"/>
      <c r="F2461" s="562"/>
      <c r="G2461" s="562"/>
      <c r="H2461" s="562"/>
      <c r="I2461" s="562"/>
      <c r="J2461" s="562"/>
    </row>
    <row r="2462" spans="1:10" hidden="1" x14ac:dyDescent="0.25">
      <c r="A2462" s="362"/>
      <c r="B2462" s="611">
        <v>44219</v>
      </c>
      <c r="C2462" s="362" t="s">
        <v>78</v>
      </c>
      <c r="D2462" s="562"/>
      <c r="E2462" s="562"/>
      <c r="F2462" s="562"/>
      <c r="G2462" s="562"/>
      <c r="H2462" s="562"/>
      <c r="I2462" s="562"/>
      <c r="J2462" s="562"/>
    </row>
    <row r="2463" spans="1:10" hidden="1" x14ac:dyDescent="0.25">
      <c r="A2463" s="362"/>
      <c r="B2463" s="611">
        <v>44219</v>
      </c>
      <c r="C2463" s="362" t="s">
        <v>141</v>
      </c>
      <c r="D2463" s="562"/>
      <c r="E2463" s="562"/>
      <c r="F2463" s="562"/>
      <c r="G2463" s="562"/>
      <c r="H2463" s="562"/>
      <c r="I2463" s="562"/>
      <c r="J2463" s="562"/>
    </row>
    <row r="2464" spans="1:10" hidden="1" x14ac:dyDescent="0.25">
      <c r="A2464" s="362"/>
      <c r="B2464" s="611">
        <v>44219</v>
      </c>
      <c r="C2464" s="362" t="s">
        <v>89</v>
      </c>
      <c r="D2464" s="562"/>
      <c r="E2464" s="562"/>
      <c r="F2464" s="562"/>
      <c r="G2464" s="562"/>
      <c r="H2464" s="562"/>
      <c r="I2464" s="562"/>
      <c r="J2464" s="562"/>
    </row>
    <row r="2465" spans="1:10" hidden="1" x14ac:dyDescent="0.25">
      <c r="A2465" s="362"/>
      <c r="B2465" s="611">
        <v>44219</v>
      </c>
      <c r="C2465" s="362" t="s">
        <v>81</v>
      </c>
      <c r="D2465" s="562"/>
      <c r="E2465" s="562"/>
      <c r="F2465" s="562"/>
      <c r="G2465" s="562"/>
      <c r="H2465" s="562"/>
      <c r="I2465" s="562"/>
      <c r="J2465" s="562"/>
    </row>
    <row r="2466" spans="1:10" hidden="1" x14ac:dyDescent="0.25">
      <c r="A2466" s="362"/>
      <c r="B2466" s="611">
        <v>44219</v>
      </c>
      <c r="C2466" s="362" t="s">
        <v>84</v>
      </c>
      <c r="D2466" s="562"/>
      <c r="E2466" s="562"/>
      <c r="F2466" s="562"/>
      <c r="G2466" s="562"/>
      <c r="H2466" s="562"/>
      <c r="I2466" s="562"/>
      <c r="J2466" s="562"/>
    </row>
    <row r="2467" spans="1:10" hidden="1" x14ac:dyDescent="0.25">
      <c r="A2467" s="362"/>
      <c r="B2467" s="611">
        <v>44219</v>
      </c>
      <c r="C2467" s="362" t="s">
        <v>4751</v>
      </c>
      <c r="D2467" s="562"/>
      <c r="E2467" s="562"/>
      <c r="F2467" s="562"/>
      <c r="G2467" s="562"/>
      <c r="H2467" s="562"/>
      <c r="I2467" s="562"/>
      <c r="J2467" s="562"/>
    </row>
    <row r="2468" spans="1:10" hidden="1" x14ac:dyDescent="0.25">
      <c r="A2468" s="362"/>
      <c r="B2468" s="611">
        <v>44219</v>
      </c>
      <c r="C2468" s="362" t="s">
        <v>166</v>
      </c>
      <c r="D2468" s="562"/>
      <c r="E2468" s="562"/>
      <c r="F2468" s="562"/>
      <c r="G2468" s="562"/>
      <c r="H2468" s="562"/>
      <c r="I2468" s="562"/>
      <c r="J2468" s="562"/>
    </row>
    <row r="2469" spans="1:10" hidden="1" x14ac:dyDescent="0.25">
      <c r="A2469" s="362"/>
      <c r="B2469" s="611">
        <v>44219</v>
      </c>
      <c r="C2469" s="362" t="s">
        <v>3435</v>
      </c>
      <c r="D2469" s="562"/>
      <c r="E2469" s="562"/>
      <c r="F2469" s="562"/>
      <c r="G2469" s="562"/>
      <c r="H2469" s="562"/>
      <c r="I2469" s="562"/>
      <c r="J2469" s="562"/>
    </row>
    <row r="2470" spans="1:10" hidden="1" x14ac:dyDescent="0.25">
      <c r="A2470" s="362"/>
      <c r="B2470" s="611">
        <v>44219</v>
      </c>
      <c r="C2470" s="370" t="s">
        <v>85</v>
      </c>
      <c r="D2470" s="562"/>
      <c r="E2470" s="562"/>
      <c r="F2470" s="562"/>
      <c r="G2470" s="562"/>
      <c r="H2470" s="562"/>
      <c r="I2470" s="562"/>
      <c r="J2470" s="562"/>
    </row>
    <row r="2471" spans="1:10" hidden="1" x14ac:dyDescent="0.25">
      <c r="A2471" s="532"/>
      <c r="B2471" s="532"/>
      <c r="C2471" s="532"/>
      <c r="D2471" s="564"/>
      <c r="E2471" s="564"/>
      <c r="F2471" s="564"/>
      <c r="G2471" s="564"/>
      <c r="H2471" s="564"/>
      <c r="I2471" s="564"/>
      <c r="J2471" s="564"/>
    </row>
    <row r="2472" spans="1:10" hidden="1" x14ac:dyDescent="0.25">
      <c r="A2472" s="362"/>
      <c r="B2472" s="611">
        <v>44221</v>
      </c>
      <c r="C2472" s="362" t="s">
        <v>86</v>
      </c>
      <c r="D2472" s="562"/>
      <c r="E2472" s="562"/>
      <c r="F2472" s="562"/>
      <c r="G2472" s="562"/>
      <c r="H2472" s="562"/>
      <c r="I2472" s="562"/>
      <c r="J2472" s="562"/>
    </row>
    <row r="2473" spans="1:10" hidden="1" x14ac:dyDescent="0.25">
      <c r="A2473" s="362"/>
      <c r="B2473" s="611">
        <v>44221</v>
      </c>
      <c r="C2473" s="362" t="s">
        <v>87</v>
      </c>
      <c r="D2473" s="562"/>
      <c r="E2473" s="562"/>
      <c r="F2473" s="562"/>
      <c r="G2473" s="562"/>
      <c r="H2473" s="562"/>
      <c r="I2473" s="562"/>
      <c r="J2473" s="562"/>
    </row>
    <row r="2474" spans="1:10" hidden="1" x14ac:dyDescent="0.25">
      <c r="A2474" s="362"/>
      <c r="B2474" s="611">
        <v>44221</v>
      </c>
      <c r="C2474" s="362" t="s">
        <v>88</v>
      </c>
      <c r="D2474" s="562"/>
      <c r="E2474" s="562"/>
      <c r="F2474" s="562"/>
      <c r="G2474" s="562"/>
      <c r="H2474" s="562"/>
      <c r="I2474" s="562"/>
      <c r="J2474" s="562"/>
    </row>
    <row r="2475" spans="1:10" hidden="1" x14ac:dyDescent="0.25">
      <c r="A2475" s="362"/>
      <c r="B2475" s="611">
        <v>44221</v>
      </c>
      <c r="C2475" s="362" t="s">
        <v>82</v>
      </c>
      <c r="D2475" s="562"/>
      <c r="E2475" s="562"/>
      <c r="F2475" s="562"/>
      <c r="G2475" s="562"/>
      <c r="H2475" s="562"/>
      <c r="I2475" s="562"/>
      <c r="J2475" s="562"/>
    </row>
    <row r="2476" spans="1:10" hidden="1" x14ac:dyDescent="0.25">
      <c r="A2476" s="362"/>
      <c r="B2476" s="611">
        <v>44221</v>
      </c>
      <c r="C2476" s="362" t="s">
        <v>80</v>
      </c>
      <c r="D2476" s="562"/>
      <c r="E2476" s="562"/>
      <c r="F2476" s="562"/>
      <c r="G2476" s="562"/>
      <c r="H2476" s="562"/>
      <c r="I2476" s="562"/>
      <c r="J2476" s="562"/>
    </row>
    <row r="2477" spans="1:10" hidden="1" x14ac:dyDescent="0.25">
      <c r="A2477" s="362"/>
      <c r="B2477" s="611">
        <v>44221</v>
      </c>
      <c r="C2477" s="362" t="s">
        <v>83</v>
      </c>
      <c r="D2477" s="562"/>
      <c r="E2477" s="562"/>
      <c r="F2477" s="562"/>
      <c r="G2477" s="562"/>
      <c r="H2477" s="562"/>
      <c r="I2477" s="562"/>
      <c r="J2477" s="562"/>
    </row>
    <row r="2478" spans="1:10" hidden="1" x14ac:dyDescent="0.25">
      <c r="A2478" s="362"/>
      <c r="B2478" s="611">
        <v>44221</v>
      </c>
      <c r="C2478" s="362" t="s">
        <v>78</v>
      </c>
      <c r="D2478" s="562"/>
      <c r="E2478" s="562"/>
      <c r="F2478" s="562"/>
      <c r="G2478" s="562"/>
      <c r="H2478" s="562"/>
      <c r="I2478" s="562"/>
      <c r="J2478" s="562"/>
    </row>
    <row r="2479" spans="1:10" hidden="1" x14ac:dyDescent="0.25">
      <c r="A2479" s="362"/>
      <c r="B2479" s="611">
        <v>44221</v>
      </c>
      <c r="C2479" s="362" t="s">
        <v>141</v>
      </c>
      <c r="D2479" s="562"/>
      <c r="E2479" s="562"/>
      <c r="F2479" s="562"/>
      <c r="G2479" s="562"/>
      <c r="H2479" s="562"/>
      <c r="I2479" s="562"/>
      <c r="J2479" s="562"/>
    </row>
    <row r="2480" spans="1:10" hidden="1" x14ac:dyDescent="0.25">
      <c r="A2480" s="362"/>
      <c r="B2480" s="611">
        <v>44221</v>
      </c>
      <c r="C2480" s="362" t="s">
        <v>89</v>
      </c>
      <c r="D2480" s="562"/>
      <c r="E2480" s="562"/>
      <c r="F2480" s="562"/>
      <c r="G2480" s="562"/>
      <c r="H2480" s="562"/>
      <c r="I2480" s="562"/>
      <c r="J2480" s="562"/>
    </row>
    <row r="2481" spans="1:10" hidden="1" x14ac:dyDescent="0.25">
      <c r="A2481" s="362"/>
      <c r="B2481" s="611">
        <v>44221</v>
      </c>
      <c r="C2481" s="362" t="s">
        <v>81</v>
      </c>
      <c r="D2481" s="562"/>
      <c r="E2481" s="562"/>
      <c r="F2481" s="562"/>
      <c r="G2481" s="562"/>
      <c r="H2481" s="562"/>
      <c r="I2481" s="562"/>
      <c r="J2481" s="562"/>
    </row>
    <row r="2482" spans="1:10" hidden="1" x14ac:dyDescent="0.25">
      <c r="A2482" s="362"/>
      <c r="B2482" s="611">
        <v>44221</v>
      </c>
      <c r="C2482" s="362" t="s">
        <v>84</v>
      </c>
      <c r="D2482" s="562"/>
      <c r="E2482" s="562"/>
      <c r="F2482" s="562"/>
      <c r="G2482" s="562"/>
      <c r="H2482" s="562"/>
      <c r="I2482" s="562"/>
      <c r="J2482" s="562"/>
    </row>
    <row r="2483" spans="1:10" hidden="1" x14ac:dyDescent="0.25">
      <c r="A2483" s="362"/>
      <c r="B2483" s="611">
        <v>44221</v>
      </c>
      <c r="C2483" s="362" t="s">
        <v>4751</v>
      </c>
      <c r="D2483" s="562"/>
      <c r="E2483" s="562"/>
      <c r="F2483" s="562"/>
      <c r="G2483" s="562"/>
      <c r="H2483" s="562"/>
      <c r="I2483" s="562"/>
      <c r="J2483" s="562"/>
    </row>
    <row r="2484" spans="1:10" hidden="1" x14ac:dyDescent="0.25">
      <c r="A2484" s="362"/>
      <c r="B2484" s="611">
        <v>44221</v>
      </c>
      <c r="C2484" s="362" t="s">
        <v>166</v>
      </c>
      <c r="D2484" s="562"/>
      <c r="E2484" s="562"/>
      <c r="F2484" s="562"/>
      <c r="G2484" s="562"/>
      <c r="H2484" s="562"/>
      <c r="I2484" s="562"/>
      <c r="J2484" s="562"/>
    </row>
    <row r="2485" spans="1:10" hidden="1" x14ac:dyDescent="0.25">
      <c r="A2485" s="362"/>
      <c r="B2485" s="611">
        <v>44221</v>
      </c>
      <c r="C2485" s="362" t="s">
        <v>3435</v>
      </c>
      <c r="D2485" s="562"/>
      <c r="E2485" s="562"/>
      <c r="F2485" s="562"/>
      <c r="G2485" s="562"/>
      <c r="H2485" s="562"/>
      <c r="I2485" s="562"/>
      <c r="J2485" s="562"/>
    </row>
    <row r="2486" spans="1:10" hidden="1" x14ac:dyDescent="0.25">
      <c r="A2486" s="362"/>
      <c r="B2486" s="611">
        <v>44221</v>
      </c>
      <c r="C2486" s="370" t="s">
        <v>85</v>
      </c>
      <c r="D2486" s="562"/>
      <c r="E2486" s="562"/>
      <c r="F2486" s="562"/>
      <c r="G2486" s="562"/>
      <c r="H2486" s="562"/>
      <c r="I2486" s="562"/>
      <c r="J2486" s="562"/>
    </row>
    <row r="2487" spans="1:10" hidden="1" x14ac:dyDescent="0.25">
      <c r="A2487" s="532"/>
      <c r="B2487" s="532"/>
      <c r="C2487" s="532"/>
      <c r="D2487" s="564"/>
      <c r="E2487" s="564"/>
      <c r="F2487" s="564"/>
      <c r="G2487" s="564"/>
      <c r="H2487" s="564"/>
      <c r="I2487" s="564"/>
      <c r="J2487" s="564"/>
    </row>
    <row r="2488" spans="1:10" hidden="1" x14ac:dyDescent="0.25">
      <c r="A2488" s="362"/>
      <c r="B2488" s="611">
        <v>44222</v>
      </c>
      <c r="C2488" s="362" t="s">
        <v>86</v>
      </c>
      <c r="D2488" s="562"/>
      <c r="E2488" s="562"/>
      <c r="F2488" s="562"/>
      <c r="G2488" s="562"/>
      <c r="H2488" s="562"/>
      <c r="I2488" s="562"/>
      <c r="J2488" s="562"/>
    </row>
    <row r="2489" spans="1:10" hidden="1" x14ac:dyDescent="0.25">
      <c r="A2489" s="362"/>
      <c r="B2489" s="611">
        <v>44222</v>
      </c>
      <c r="C2489" s="362" t="s">
        <v>87</v>
      </c>
      <c r="D2489" s="562"/>
      <c r="E2489" s="562"/>
      <c r="F2489" s="562"/>
      <c r="G2489" s="562"/>
      <c r="H2489" s="562"/>
      <c r="I2489" s="562"/>
      <c r="J2489" s="562"/>
    </row>
    <row r="2490" spans="1:10" hidden="1" x14ac:dyDescent="0.25">
      <c r="A2490" s="362"/>
      <c r="B2490" s="611">
        <v>44222</v>
      </c>
      <c r="C2490" s="362" t="s">
        <v>88</v>
      </c>
      <c r="D2490" s="562"/>
      <c r="E2490" s="562"/>
      <c r="F2490" s="562"/>
      <c r="G2490" s="562"/>
      <c r="H2490" s="562"/>
      <c r="I2490" s="562"/>
      <c r="J2490" s="562"/>
    </row>
    <row r="2491" spans="1:10" hidden="1" x14ac:dyDescent="0.25">
      <c r="A2491" s="362"/>
      <c r="B2491" s="611">
        <v>44222</v>
      </c>
      <c r="C2491" s="362" t="s">
        <v>82</v>
      </c>
      <c r="D2491" s="562"/>
      <c r="E2491" s="562"/>
      <c r="F2491" s="562"/>
      <c r="G2491" s="562"/>
      <c r="H2491" s="562"/>
      <c r="I2491" s="562"/>
      <c r="J2491" s="562"/>
    </row>
    <row r="2492" spans="1:10" hidden="1" x14ac:dyDescent="0.25">
      <c r="A2492" s="362"/>
      <c r="B2492" s="611">
        <v>44222</v>
      </c>
      <c r="C2492" s="362" t="s">
        <v>80</v>
      </c>
      <c r="D2492" s="562"/>
      <c r="E2492" s="562"/>
      <c r="F2492" s="562"/>
      <c r="G2492" s="562"/>
      <c r="H2492" s="562"/>
      <c r="I2492" s="562"/>
      <c r="J2492" s="562"/>
    </row>
    <row r="2493" spans="1:10" hidden="1" x14ac:dyDescent="0.25">
      <c r="A2493" s="362"/>
      <c r="B2493" s="611">
        <v>44222</v>
      </c>
      <c r="C2493" s="362" t="s">
        <v>83</v>
      </c>
      <c r="D2493" s="562"/>
      <c r="E2493" s="562"/>
      <c r="F2493" s="562"/>
      <c r="G2493" s="562"/>
      <c r="H2493" s="562"/>
      <c r="I2493" s="562"/>
      <c r="J2493" s="562"/>
    </row>
    <row r="2494" spans="1:10" hidden="1" x14ac:dyDescent="0.25">
      <c r="A2494" s="362"/>
      <c r="B2494" s="611">
        <v>44222</v>
      </c>
      <c r="C2494" s="362" t="s">
        <v>78</v>
      </c>
      <c r="D2494" s="562"/>
      <c r="E2494" s="562"/>
      <c r="F2494" s="562"/>
      <c r="G2494" s="562"/>
      <c r="H2494" s="562"/>
      <c r="I2494" s="562"/>
      <c r="J2494" s="562"/>
    </row>
    <row r="2495" spans="1:10" hidden="1" x14ac:dyDescent="0.25">
      <c r="A2495" s="362"/>
      <c r="B2495" s="611">
        <v>44222</v>
      </c>
      <c r="C2495" s="362" t="s">
        <v>141</v>
      </c>
      <c r="D2495" s="562"/>
      <c r="E2495" s="562"/>
      <c r="F2495" s="562"/>
      <c r="G2495" s="562"/>
      <c r="H2495" s="562"/>
      <c r="I2495" s="562"/>
      <c r="J2495" s="562"/>
    </row>
    <row r="2496" spans="1:10" hidden="1" x14ac:dyDescent="0.25">
      <c r="A2496" s="362"/>
      <c r="B2496" s="611">
        <v>44222</v>
      </c>
      <c r="C2496" s="362" t="s">
        <v>89</v>
      </c>
      <c r="D2496" s="562"/>
      <c r="E2496" s="562"/>
      <c r="F2496" s="562"/>
      <c r="G2496" s="562"/>
      <c r="H2496" s="562"/>
      <c r="I2496" s="562"/>
      <c r="J2496" s="562"/>
    </row>
    <row r="2497" spans="1:10" hidden="1" x14ac:dyDescent="0.25">
      <c r="A2497" s="362"/>
      <c r="B2497" s="611">
        <v>44222</v>
      </c>
      <c r="C2497" s="362" t="s">
        <v>81</v>
      </c>
      <c r="D2497" s="562"/>
      <c r="E2497" s="562"/>
      <c r="F2497" s="562"/>
      <c r="G2497" s="562"/>
      <c r="H2497" s="562"/>
      <c r="I2497" s="562"/>
      <c r="J2497" s="562"/>
    </row>
    <row r="2498" spans="1:10" hidden="1" x14ac:dyDescent="0.25">
      <c r="A2498" s="362"/>
      <c r="B2498" s="611">
        <v>44222</v>
      </c>
      <c r="C2498" s="362" t="s">
        <v>84</v>
      </c>
      <c r="D2498" s="562"/>
      <c r="E2498" s="562"/>
      <c r="F2498" s="562"/>
      <c r="G2498" s="562"/>
      <c r="H2498" s="562"/>
      <c r="I2498" s="562"/>
      <c r="J2498" s="562"/>
    </row>
    <row r="2499" spans="1:10" hidden="1" x14ac:dyDescent="0.25">
      <c r="A2499" s="362"/>
      <c r="B2499" s="611">
        <v>44222</v>
      </c>
      <c r="C2499" s="362" t="s">
        <v>4751</v>
      </c>
      <c r="D2499" s="562"/>
      <c r="E2499" s="562"/>
      <c r="F2499" s="562"/>
      <c r="G2499" s="562"/>
      <c r="H2499" s="562"/>
      <c r="I2499" s="562"/>
      <c r="J2499" s="562"/>
    </row>
    <row r="2500" spans="1:10" hidden="1" x14ac:dyDescent="0.25">
      <c r="A2500" s="362"/>
      <c r="B2500" s="611">
        <v>44222</v>
      </c>
      <c r="C2500" s="362" t="s">
        <v>166</v>
      </c>
      <c r="D2500" s="562"/>
      <c r="E2500" s="562"/>
      <c r="F2500" s="562"/>
      <c r="G2500" s="562"/>
      <c r="H2500" s="562"/>
      <c r="I2500" s="562"/>
      <c r="J2500" s="562"/>
    </row>
    <row r="2501" spans="1:10" hidden="1" x14ac:dyDescent="0.25">
      <c r="A2501" s="362"/>
      <c r="B2501" s="611">
        <v>44222</v>
      </c>
      <c r="C2501" s="362" t="s">
        <v>3435</v>
      </c>
      <c r="D2501" s="562"/>
      <c r="E2501" s="562"/>
      <c r="F2501" s="562"/>
      <c r="G2501" s="562"/>
      <c r="H2501" s="562"/>
      <c r="I2501" s="562"/>
      <c r="J2501" s="562"/>
    </row>
    <row r="2502" spans="1:10" hidden="1" x14ac:dyDescent="0.25">
      <c r="A2502" s="362"/>
      <c r="B2502" s="611">
        <v>44222</v>
      </c>
      <c r="C2502" s="370" t="s">
        <v>85</v>
      </c>
      <c r="D2502" s="562"/>
      <c r="E2502" s="562"/>
      <c r="F2502" s="562"/>
      <c r="G2502" s="562"/>
      <c r="H2502" s="562"/>
      <c r="I2502" s="562"/>
      <c r="J2502" s="562"/>
    </row>
    <row r="2503" spans="1:10" hidden="1" x14ac:dyDescent="0.25">
      <c r="A2503" s="532"/>
      <c r="B2503" s="532"/>
      <c r="C2503" s="532"/>
      <c r="D2503" s="564"/>
      <c r="E2503" s="564"/>
      <c r="F2503" s="564"/>
      <c r="G2503" s="564"/>
      <c r="H2503" s="564"/>
      <c r="I2503" s="564"/>
      <c r="J2503" s="564"/>
    </row>
    <row r="2504" spans="1:10" hidden="1" x14ac:dyDescent="0.25">
      <c r="A2504" s="362"/>
      <c r="B2504" s="611">
        <v>44223</v>
      </c>
      <c r="C2504" s="362" t="s">
        <v>86</v>
      </c>
      <c r="D2504" s="562"/>
      <c r="E2504" s="562"/>
      <c r="F2504" s="562"/>
      <c r="G2504" s="562"/>
      <c r="H2504" s="562"/>
      <c r="I2504" s="562"/>
      <c r="J2504" s="562"/>
    </row>
    <row r="2505" spans="1:10" hidden="1" x14ac:dyDescent="0.25">
      <c r="A2505" s="362"/>
      <c r="B2505" s="611">
        <v>44223</v>
      </c>
      <c r="C2505" s="362" t="s">
        <v>87</v>
      </c>
      <c r="D2505" s="562"/>
      <c r="E2505" s="562"/>
      <c r="F2505" s="562"/>
      <c r="G2505" s="562"/>
      <c r="H2505" s="562"/>
      <c r="I2505" s="562"/>
      <c r="J2505" s="562"/>
    </row>
    <row r="2506" spans="1:10" hidden="1" x14ac:dyDescent="0.25">
      <c r="A2506" s="362"/>
      <c r="B2506" s="611">
        <v>44223</v>
      </c>
      <c r="C2506" s="362" t="s">
        <v>88</v>
      </c>
      <c r="D2506" s="562"/>
      <c r="E2506" s="562"/>
      <c r="F2506" s="562"/>
      <c r="G2506" s="562"/>
      <c r="H2506" s="562"/>
      <c r="I2506" s="562"/>
      <c r="J2506" s="562"/>
    </row>
    <row r="2507" spans="1:10" hidden="1" x14ac:dyDescent="0.25">
      <c r="A2507" s="362"/>
      <c r="B2507" s="611">
        <v>44223</v>
      </c>
      <c r="C2507" s="362" t="s">
        <v>82</v>
      </c>
      <c r="D2507" s="562"/>
      <c r="E2507" s="562"/>
      <c r="F2507" s="562"/>
      <c r="G2507" s="562"/>
      <c r="H2507" s="562"/>
      <c r="I2507" s="562"/>
      <c r="J2507" s="562"/>
    </row>
    <row r="2508" spans="1:10" hidden="1" x14ac:dyDescent="0.25">
      <c r="A2508" s="362"/>
      <c r="B2508" s="611">
        <v>44223</v>
      </c>
      <c r="C2508" s="362" t="s">
        <v>80</v>
      </c>
      <c r="D2508" s="562"/>
      <c r="E2508" s="562"/>
      <c r="F2508" s="562"/>
      <c r="G2508" s="562"/>
      <c r="H2508" s="562"/>
      <c r="I2508" s="562"/>
      <c r="J2508" s="562"/>
    </row>
    <row r="2509" spans="1:10" hidden="1" x14ac:dyDescent="0.25">
      <c r="A2509" s="362"/>
      <c r="B2509" s="611">
        <v>44223</v>
      </c>
      <c r="C2509" s="362" t="s">
        <v>83</v>
      </c>
      <c r="D2509" s="562"/>
      <c r="E2509" s="562"/>
      <c r="F2509" s="562"/>
      <c r="G2509" s="562"/>
      <c r="H2509" s="562"/>
      <c r="I2509" s="562"/>
      <c r="J2509" s="562"/>
    </row>
    <row r="2510" spans="1:10" hidden="1" x14ac:dyDescent="0.25">
      <c r="A2510" s="362"/>
      <c r="B2510" s="611">
        <v>44223</v>
      </c>
      <c r="C2510" s="362" t="s">
        <v>78</v>
      </c>
      <c r="D2510" s="562"/>
      <c r="E2510" s="562"/>
      <c r="F2510" s="562"/>
      <c r="G2510" s="562"/>
      <c r="H2510" s="562"/>
      <c r="I2510" s="562"/>
      <c r="J2510" s="562"/>
    </row>
    <row r="2511" spans="1:10" hidden="1" x14ac:dyDescent="0.25">
      <c r="A2511" s="362"/>
      <c r="B2511" s="611">
        <v>44223</v>
      </c>
      <c r="C2511" s="362" t="s">
        <v>141</v>
      </c>
      <c r="D2511" s="562"/>
      <c r="E2511" s="562"/>
      <c r="F2511" s="562"/>
      <c r="G2511" s="562"/>
      <c r="H2511" s="562"/>
      <c r="I2511" s="562"/>
      <c r="J2511" s="562"/>
    </row>
    <row r="2512" spans="1:10" hidden="1" x14ac:dyDescent="0.25">
      <c r="A2512" s="362"/>
      <c r="B2512" s="611">
        <v>44223</v>
      </c>
      <c r="C2512" s="362" t="s">
        <v>89</v>
      </c>
      <c r="D2512" s="562"/>
      <c r="E2512" s="562"/>
      <c r="F2512" s="562"/>
      <c r="G2512" s="562"/>
      <c r="H2512" s="562"/>
      <c r="I2512" s="562"/>
      <c r="J2512" s="562"/>
    </row>
    <row r="2513" spans="1:10" hidden="1" x14ac:dyDescent="0.25">
      <c r="A2513" s="362"/>
      <c r="B2513" s="611">
        <v>44223</v>
      </c>
      <c r="C2513" s="362" t="s">
        <v>81</v>
      </c>
      <c r="D2513" s="562"/>
      <c r="E2513" s="562"/>
      <c r="F2513" s="562"/>
      <c r="G2513" s="562"/>
      <c r="H2513" s="562"/>
      <c r="I2513" s="562"/>
      <c r="J2513" s="562"/>
    </row>
    <row r="2514" spans="1:10" hidden="1" x14ac:dyDescent="0.25">
      <c r="A2514" s="362"/>
      <c r="B2514" s="611">
        <v>44223</v>
      </c>
      <c r="C2514" s="362" t="s">
        <v>84</v>
      </c>
      <c r="D2514" s="562"/>
      <c r="E2514" s="562"/>
      <c r="F2514" s="562"/>
      <c r="G2514" s="562"/>
      <c r="H2514" s="562"/>
      <c r="I2514" s="562"/>
      <c r="J2514" s="562"/>
    </row>
    <row r="2515" spans="1:10" hidden="1" x14ac:dyDescent="0.25">
      <c r="A2515" s="362"/>
      <c r="B2515" s="611">
        <v>44223</v>
      </c>
      <c r="C2515" s="362" t="s">
        <v>4751</v>
      </c>
      <c r="D2515" s="562"/>
      <c r="E2515" s="562"/>
      <c r="F2515" s="562"/>
      <c r="G2515" s="562"/>
      <c r="H2515" s="562"/>
      <c r="I2515" s="562"/>
      <c r="J2515" s="562"/>
    </row>
    <row r="2516" spans="1:10" hidden="1" x14ac:dyDescent="0.25">
      <c r="A2516" s="362"/>
      <c r="B2516" s="611">
        <v>44223</v>
      </c>
      <c r="C2516" s="362" t="s">
        <v>166</v>
      </c>
      <c r="D2516" s="562"/>
      <c r="E2516" s="562"/>
      <c r="F2516" s="562"/>
      <c r="G2516" s="562"/>
      <c r="H2516" s="562"/>
      <c r="I2516" s="562"/>
      <c r="J2516" s="562"/>
    </row>
    <row r="2517" spans="1:10" hidden="1" x14ac:dyDescent="0.25">
      <c r="A2517" s="362"/>
      <c r="B2517" s="611">
        <v>44223</v>
      </c>
      <c r="C2517" s="362" t="s">
        <v>3435</v>
      </c>
      <c r="D2517" s="562"/>
      <c r="E2517" s="562"/>
      <c r="F2517" s="562"/>
      <c r="G2517" s="562"/>
      <c r="H2517" s="562"/>
      <c r="I2517" s="562"/>
      <c r="J2517" s="562"/>
    </row>
    <row r="2518" spans="1:10" hidden="1" x14ac:dyDescent="0.25">
      <c r="A2518" s="362"/>
      <c r="B2518" s="611">
        <v>44223</v>
      </c>
      <c r="C2518" s="370" t="s">
        <v>85</v>
      </c>
      <c r="D2518" s="562"/>
      <c r="E2518" s="562"/>
      <c r="F2518" s="562"/>
      <c r="G2518" s="562"/>
      <c r="H2518" s="562"/>
      <c r="I2518" s="562"/>
      <c r="J2518" s="562"/>
    </row>
    <row r="2519" spans="1:10" hidden="1" x14ac:dyDescent="0.25">
      <c r="A2519" s="532"/>
      <c r="B2519" s="532"/>
      <c r="C2519" s="532"/>
      <c r="D2519" s="564"/>
      <c r="E2519" s="564"/>
      <c r="F2519" s="564"/>
      <c r="G2519" s="564"/>
      <c r="H2519" s="564"/>
      <c r="I2519" s="564"/>
      <c r="J2519" s="564"/>
    </row>
    <row r="2520" spans="1:10" hidden="1" x14ac:dyDescent="0.25">
      <c r="A2520" s="362"/>
      <c r="B2520" s="611">
        <v>44224</v>
      </c>
      <c r="C2520" s="362" t="s">
        <v>86</v>
      </c>
      <c r="D2520" s="562"/>
      <c r="E2520" s="562"/>
      <c r="F2520" s="562"/>
      <c r="G2520" s="562"/>
      <c r="H2520" s="562"/>
      <c r="I2520" s="562"/>
      <c r="J2520" s="562"/>
    </row>
    <row r="2521" spans="1:10" hidden="1" x14ac:dyDescent="0.25">
      <c r="A2521" s="362"/>
      <c r="B2521" s="611">
        <v>44224</v>
      </c>
      <c r="C2521" s="362" t="s">
        <v>87</v>
      </c>
      <c r="D2521" s="562"/>
      <c r="E2521" s="562"/>
      <c r="F2521" s="562"/>
      <c r="G2521" s="562"/>
      <c r="H2521" s="562"/>
      <c r="I2521" s="562"/>
      <c r="J2521" s="562"/>
    </row>
    <row r="2522" spans="1:10" hidden="1" x14ac:dyDescent="0.25">
      <c r="A2522" s="362"/>
      <c r="B2522" s="611">
        <v>44224</v>
      </c>
      <c r="C2522" s="362" t="s">
        <v>88</v>
      </c>
      <c r="D2522" s="562"/>
      <c r="E2522" s="562"/>
      <c r="F2522" s="562"/>
      <c r="G2522" s="562"/>
      <c r="H2522" s="562"/>
      <c r="I2522" s="562"/>
      <c r="J2522" s="562"/>
    </row>
    <row r="2523" spans="1:10" hidden="1" x14ac:dyDescent="0.25">
      <c r="A2523" s="362"/>
      <c r="B2523" s="611">
        <v>44224</v>
      </c>
      <c r="C2523" s="362" t="s">
        <v>82</v>
      </c>
      <c r="D2523" s="562"/>
      <c r="E2523" s="562"/>
      <c r="F2523" s="562"/>
      <c r="G2523" s="562"/>
      <c r="H2523" s="562"/>
      <c r="I2523" s="562"/>
      <c r="J2523" s="562"/>
    </row>
    <row r="2524" spans="1:10" hidden="1" x14ac:dyDescent="0.25">
      <c r="A2524" s="362"/>
      <c r="B2524" s="611">
        <v>44224</v>
      </c>
      <c r="C2524" s="362" t="s">
        <v>80</v>
      </c>
      <c r="D2524" s="562"/>
      <c r="E2524" s="562"/>
      <c r="F2524" s="562"/>
      <c r="G2524" s="562"/>
      <c r="H2524" s="562"/>
      <c r="I2524" s="562"/>
      <c r="J2524" s="562"/>
    </row>
    <row r="2525" spans="1:10" hidden="1" x14ac:dyDescent="0.25">
      <c r="A2525" s="362"/>
      <c r="B2525" s="611">
        <v>44224</v>
      </c>
      <c r="C2525" s="362" t="s">
        <v>83</v>
      </c>
      <c r="D2525" s="562"/>
      <c r="E2525" s="562"/>
      <c r="F2525" s="562"/>
      <c r="G2525" s="562"/>
      <c r="H2525" s="562"/>
      <c r="I2525" s="562"/>
      <c r="J2525" s="562"/>
    </row>
    <row r="2526" spans="1:10" hidden="1" x14ac:dyDescent="0.25">
      <c r="A2526" s="362"/>
      <c r="B2526" s="611">
        <v>44224</v>
      </c>
      <c r="C2526" s="362" t="s">
        <v>78</v>
      </c>
      <c r="D2526" s="562"/>
      <c r="E2526" s="562"/>
      <c r="F2526" s="562"/>
      <c r="G2526" s="562"/>
      <c r="H2526" s="562"/>
      <c r="I2526" s="562"/>
      <c r="J2526" s="562"/>
    </row>
    <row r="2527" spans="1:10" hidden="1" x14ac:dyDescent="0.25">
      <c r="A2527" s="362"/>
      <c r="B2527" s="611">
        <v>44224</v>
      </c>
      <c r="C2527" s="362" t="s">
        <v>141</v>
      </c>
      <c r="D2527" s="562"/>
      <c r="E2527" s="562"/>
      <c r="F2527" s="562"/>
      <c r="G2527" s="562"/>
      <c r="H2527" s="562"/>
      <c r="I2527" s="562"/>
      <c r="J2527" s="562"/>
    </row>
    <row r="2528" spans="1:10" hidden="1" x14ac:dyDescent="0.25">
      <c r="A2528" s="362"/>
      <c r="B2528" s="611">
        <v>44224</v>
      </c>
      <c r="C2528" s="362" t="s">
        <v>89</v>
      </c>
      <c r="D2528" s="562"/>
      <c r="E2528" s="562"/>
      <c r="F2528" s="562"/>
      <c r="G2528" s="562"/>
      <c r="H2528" s="562"/>
      <c r="I2528" s="562"/>
      <c r="J2528" s="562"/>
    </row>
    <row r="2529" spans="1:10" hidden="1" x14ac:dyDescent="0.25">
      <c r="A2529" s="362"/>
      <c r="B2529" s="611">
        <v>44224</v>
      </c>
      <c r="C2529" s="362" t="s">
        <v>81</v>
      </c>
      <c r="D2529" s="562"/>
      <c r="E2529" s="562"/>
      <c r="F2529" s="562"/>
      <c r="G2529" s="562"/>
      <c r="H2529" s="562"/>
      <c r="I2529" s="562"/>
      <c r="J2529" s="562"/>
    </row>
    <row r="2530" spans="1:10" hidden="1" x14ac:dyDescent="0.25">
      <c r="A2530" s="362"/>
      <c r="B2530" s="611">
        <v>44224</v>
      </c>
      <c r="C2530" s="362" t="s">
        <v>84</v>
      </c>
      <c r="D2530" s="562"/>
      <c r="E2530" s="562"/>
      <c r="F2530" s="562"/>
      <c r="G2530" s="562"/>
      <c r="H2530" s="562"/>
      <c r="I2530" s="562"/>
      <c r="J2530" s="562"/>
    </row>
    <row r="2531" spans="1:10" hidden="1" x14ac:dyDescent="0.25">
      <c r="A2531" s="362"/>
      <c r="B2531" s="611">
        <v>44224</v>
      </c>
      <c r="C2531" s="362" t="s">
        <v>4751</v>
      </c>
      <c r="D2531" s="562"/>
      <c r="E2531" s="562"/>
      <c r="F2531" s="562"/>
      <c r="G2531" s="562"/>
      <c r="H2531" s="562"/>
      <c r="I2531" s="562"/>
      <c r="J2531" s="562"/>
    </row>
    <row r="2532" spans="1:10" hidden="1" x14ac:dyDescent="0.25">
      <c r="A2532" s="362"/>
      <c r="B2532" s="611">
        <v>44224</v>
      </c>
      <c r="C2532" s="362" t="s">
        <v>166</v>
      </c>
      <c r="D2532" s="562"/>
      <c r="E2532" s="562"/>
      <c r="F2532" s="562"/>
      <c r="G2532" s="562"/>
      <c r="H2532" s="562"/>
      <c r="I2532" s="562"/>
      <c r="J2532" s="562"/>
    </row>
    <row r="2533" spans="1:10" hidden="1" x14ac:dyDescent="0.25">
      <c r="A2533" s="362"/>
      <c r="B2533" s="611">
        <v>44224</v>
      </c>
      <c r="C2533" s="362" t="s">
        <v>3435</v>
      </c>
      <c r="D2533" s="562"/>
      <c r="E2533" s="562"/>
      <c r="F2533" s="562"/>
      <c r="G2533" s="562"/>
      <c r="H2533" s="562"/>
      <c r="I2533" s="562"/>
      <c r="J2533" s="562"/>
    </row>
    <row r="2534" spans="1:10" hidden="1" x14ac:dyDescent="0.25">
      <c r="A2534" s="362"/>
      <c r="B2534" s="611">
        <v>44224</v>
      </c>
      <c r="C2534" s="370" t="s">
        <v>85</v>
      </c>
      <c r="D2534" s="562"/>
      <c r="E2534" s="562"/>
      <c r="F2534" s="562"/>
      <c r="G2534" s="562"/>
      <c r="H2534" s="562"/>
      <c r="I2534" s="562"/>
      <c r="J2534" s="562"/>
    </row>
    <row r="2535" spans="1:10" hidden="1" x14ac:dyDescent="0.25">
      <c r="A2535" s="532"/>
      <c r="B2535" s="532"/>
      <c r="C2535" s="532"/>
      <c r="D2535" s="564"/>
      <c r="E2535" s="564"/>
      <c r="F2535" s="564"/>
      <c r="G2535" s="564"/>
      <c r="H2535" s="564"/>
      <c r="I2535" s="564"/>
      <c r="J2535" s="564"/>
    </row>
    <row r="2536" spans="1:10" hidden="1" x14ac:dyDescent="0.25">
      <c r="A2536" s="362"/>
      <c r="B2536" s="611">
        <v>44225</v>
      </c>
      <c r="C2536" s="362" t="s">
        <v>86</v>
      </c>
      <c r="D2536" s="562"/>
      <c r="E2536" s="562"/>
      <c r="F2536" s="562"/>
      <c r="G2536" s="562"/>
      <c r="H2536" s="562"/>
      <c r="I2536" s="562"/>
      <c r="J2536" s="562"/>
    </row>
    <row r="2537" spans="1:10" hidden="1" x14ac:dyDescent="0.25">
      <c r="A2537" s="362"/>
      <c r="B2537" s="611">
        <v>44225</v>
      </c>
      <c r="C2537" s="362" t="s">
        <v>87</v>
      </c>
      <c r="D2537" s="562"/>
      <c r="E2537" s="562"/>
      <c r="F2537" s="562"/>
      <c r="G2537" s="562"/>
      <c r="H2537" s="562"/>
      <c r="I2537" s="562"/>
      <c r="J2537" s="562"/>
    </row>
    <row r="2538" spans="1:10" hidden="1" x14ac:dyDescent="0.25">
      <c r="A2538" s="362"/>
      <c r="B2538" s="611">
        <v>44225</v>
      </c>
      <c r="C2538" s="362" t="s">
        <v>88</v>
      </c>
      <c r="D2538" s="562"/>
      <c r="E2538" s="562"/>
      <c r="F2538" s="562"/>
      <c r="G2538" s="562"/>
      <c r="H2538" s="562"/>
      <c r="I2538" s="562"/>
      <c r="J2538" s="562"/>
    </row>
    <row r="2539" spans="1:10" hidden="1" x14ac:dyDescent="0.25">
      <c r="A2539" s="362"/>
      <c r="B2539" s="611">
        <v>44225</v>
      </c>
      <c r="C2539" s="362" t="s">
        <v>82</v>
      </c>
      <c r="D2539" s="562"/>
      <c r="E2539" s="562"/>
      <c r="F2539" s="562"/>
      <c r="G2539" s="562"/>
      <c r="H2539" s="562"/>
      <c r="I2539" s="562"/>
      <c r="J2539" s="562"/>
    </row>
    <row r="2540" spans="1:10" hidden="1" x14ac:dyDescent="0.25">
      <c r="A2540" s="362"/>
      <c r="B2540" s="611">
        <v>44225</v>
      </c>
      <c r="C2540" s="362" t="s">
        <v>80</v>
      </c>
      <c r="D2540" s="562"/>
      <c r="E2540" s="562"/>
      <c r="F2540" s="562"/>
      <c r="G2540" s="562"/>
      <c r="H2540" s="562"/>
      <c r="I2540" s="562"/>
      <c r="J2540" s="562"/>
    </row>
    <row r="2541" spans="1:10" hidden="1" x14ac:dyDescent="0.25">
      <c r="A2541" s="362"/>
      <c r="B2541" s="611">
        <v>44225</v>
      </c>
      <c r="C2541" s="362" t="s">
        <v>83</v>
      </c>
      <c r="D2541" s="562"/>
      <c r="E2541" s="562"/>
      <c r="F2541" s="562"/>
      <c r="G2541" s="562"/>
      <c r="H2541" s="562"/>
      <c r="I2541" s="562"/>
      <c r="J2541" s="562"/>
    </row>
    <row r="2542" spans="1:10" hidden="1" x14ac:dyDescent="0.25">
      <c r="A2542" s="362"/>
      <c r="B2542" s="611">
        <v>44225</v>
      </c>
      <c r="C2542" s="362" t="s">
        <v>78</v>
      </c>
      <c r="D2542" s="562"/>
      <c r="E2542" s="562"/>
      <c r="F2542" s="562"/>
      <c r="G2542" s="562"/>
      <c r="H2542" s="562"/>
      <c r="I2542" s="562"/>
      <c r="J2542" s="562"/>
    </row>
    <row r="2543" spans="1:10" hidden="1" x14ac:dyDescent="0.25">
      <c r="A2543" s="362"/>
      <c r="B2543" s="611">
        <v>44225</v>
      </c>
      <c r="C2543" s="362" t="s">
        <v>141</v>
      </c>
      <c r="D2543" s="562"/>
      <c r="E2543" s="562"/>
      <c r="F2543" s="562"/>
      <c r="G2543" s="562"/>
      <c r="H2543" s="562"/>
      <c r="I2543" s="562"/>
      <c r="J2543" s="562"/>
    </row>
    <row r="2544" spans="1:10" hidden="1" x14ac:dyDescent="0.25">
      <c r="A2544" s="362"/>
      <c r="B2544" s="611">
        <v>44225</v>
      </c>
      <c r="C2544" s="362" t="s">
        <v>89</v>
      </c>
      <c r="D2544" s="562"/>
      <c r="E2544" s="562"/>
      <c r="F2544" s="562"/>
      <c r="G2544" s="562"/>
      <c r="H2544" s="562"/>
      <c r="I2544" s="562"/>
      <c r="J2544" s="562"/>
    </row>
    <row r="2545" spans="1:10" hidden="1" x14ac:dyDescent="0.25">
      <c r="A2545" s="362"/>
      <c r="B2545" s="611">
        <v>44225</v>
      </c>
      <c r="C2545" s="362" t="s">
        <v>81</v>
      </c>
      <c r="D2545" s="562"/>
      <c r="E2545" s="562"/>
      <c r="F2545" s="562"/>
      <c r="G2545" s="562"/>
      <c r="H2545" s="562"/>
      <c r="I2545" s="562"/>
      <c r="J2545" s="562"/>
    </row>
    <row r="2546" spans="1:10" hidden="1" x14ac:dyDescent="0.25">
      <c r="A2546" s="362"/>
      <c r="B2546" s="611">
        <v>44225</v>
      </c>
      <c r="C2546" s="362" t="s">
        <v>84</v>
      </c>
      <c r="D2546" s="562"/>
      <c r="E2546" s="562"/>
      <c r="F2546" s="562"/>
      <c r="G2546" s="562"/>
      <c r="H2546" s="562"/>
      <c r="I2546" s="562"/>
      <c r="J2546" s="562"/>
    </row>
    <row r="2547" spans="1:10" hidden="1" x14ac:dyDescent="0.25">
      <c r="A2547" s="362"/>
      <c r="B2547" s="611">
        <v>44225</v>
      </c>
      <c r="C2547" s="362" t="s">
        <v>4751</v>
      </c>
      <c r="D2547" s="562"/>
      <c r="E2547" s="562"/>
      <c r="F2547" s="562"/>
      <c r="G2547" s="562"/>
      <c r="H2547" s="562"/>
      <c r="I2547" s="562"/>
      <c r="J2547" s="562"/>
    </row>
    <row r="2548" spans="1:10" hidden="1" x14ac:dyDescent="0.25">
      <c r="A2548" s="362"/>
      <c r="B2548" s="611">
        <v>44225</v>
      </c>
      <c r="C2548" s="362" t="s">
        <v>166</v>
      </c>
      <c r="D2548" s="562"/>
      <c r="E2548" s="562"/>
      <c r="F2548" s="562"/>
      <c r="G2548" s="562"/>
      <c r="H2548" s="562"/>
      <c r="I2548" s="562"/>
      <c r="J2548" s="562"/>
    </row>
    <row r="2549" spans="1:10" hidden="1" x14ac:dyDescent="0.25">
      <c r="A2549" s="362"/>
      <c r="B2549" s="611">
        <v>44225</v>
      </c>
      <c r="C2549" s="362" t="s">
        <v>3435</v>
      </c>
      <c r="D2549" s="562"/>
      <c r="E2549" s="562"/>
      <c r="F2549" s="562"/>
      <c r="G2549" s="562"/>
      <c r="H2549" s="562"/>
      <c r="I2549" s="562"/>
      <c r="J2549" s="562"/>
    </row>
    <row r="2550" spans="1:10" hidden="1" x14ac:dyDescent="0.25">
      <c r="A2550" s="362"/>
      <c r="B2550" s="611">
        <v>44225</v>
      </c>
      <c r="C2550" s="370" t="s">
        <v>85</v>
      </c>
      <c r="D2550" s="562"/>
      <c r="E2550" s="562"/>
      <c r="F2550" s="562"/>
      <c r="G2550" s="562"/>
      <c r="H2550" s="562"/>
      <c r="I2550" s="562"/>
      <c r="J2550" s="562"/>
    </row>
    <row r="2551" spans="1:10" hidden="1" x14ac:dyDescent="0.25">
      <c r="A2551" s="532"/>
      <c r="B2551" s="532"/>
      <c r="C2551" s="532"/>
      <c r="D2551" s="564"/>
      <c r="E2551" s="564"/>
      <c r="F2551" s="564"/>
      <c r="G2551" s="564"/>
      <c r="H2551" s="564"/>
      <c r="I2551" s="564"/>
      <c r="J2551" s="564"/>
    </row>
    <row r="2552" spans="1:10" hidden="1" x14ac:dyDescent="0.25">
      <c r="A2552" s="362"/>
      <c r="B2552" s="611">
        <v>44226</v>
      </c>
      <c r="C2552" s="362" t="s">
        <v>86</v>
      </c>
      <c r="D2552" s="562"/>
      <c r="E2552" s="562"/>
      <c r="F2552" s="562">
        <v>191738100</v>
      </c>
      <c r="G2552" s="562"/>
      <c r="H2552" s="562"/>
      <c r="I2552" s="562"/>
      <c r="J2552" s="562"/>
    </row>
    <row r="2553" spans="1:10" hidden="1" x14ac:dyDescent="0.25">
      <c r="A2553" s="362"/>
      <c r="B2553" s="611">
        <v>44226</v>
      </c>
      <c r="C2553" s="362" t="s">
        <v>87</v>
      </c>
      <c r="D2553" s="562"/>
      <c r="E2553" s="562"/>
      <c r="F2553" s="562">
        <v>133439000</v>
      </c>
      <c r="G2553" s="562"/>
      <c r="H2553" s="562"/>
      <c r="I2553" s="562"/>
      <c r="J2553" s="562"/>
    </row>
    <row r="2554" spans="1:10" hidden="1" x14ac:dyDescent="0.25">
      <c r="A2554" s="362"/>
      <c r="B2554" s="611">
        <v>44226</v>
      </c>
      <c r="C2554" s="362" t="s">
        <v>88</v>
      </c>
      <c r="D2554" s="562"/>
      <c r="E2554" s="562"/>
      <c r="F2554" s="562">
        <v>155203000</v>
      </c>
      <c r="G2554" s="562"/>
      <c r="H2554" s="562"/>
      <c r="I2554" s="562"/>
      <c r="J2554" s="562"/>
    </row>
    <row r="2555" spans="1:10" hidden="1" x14ac:dyDescent="0.25">
      <c r="A2555" s="362"/>
      <c r="B2555" s="611">
        <v>44226</v>
      </c>
      <c r="C2555" s="362" t="s">
        <v>82</v>
      </c>
      <c r="D2555" s="562"/>
      <c r="E2555" s="562"/>
      <c r="F2555" s="562">
        <v>167573600</v>
      </c>
      <c r="G2555" s="562"/>
      <c r="H2555" s="562"/>
      <c r="I2555" s="562"/>
      <c r="J2555" s="562"/>
    </row>
    <row r="2556" spans="1:10" hidden="1" x14ac:dyDescent="0.25">
      <c r="A2556" s="362"/>
      <c r="B2556" s="611">
        <v>44226</v>
      </c>
      <c r="C2556" s="362" t="s">
        <v>80</v>
      </c>
      <c r="D2556" s="562"/>
      <c r="E2556" s="562"/>
      <c r="F2556" s="562">
        <v>256414500</v>
      </c>
      <c r="G2556" s="562"/>
      <c r="H2556" s="562"/>
      <c r="I2556" s="562"/>
      <c r="J2556" s="562"/>
    </row>
    <row r="2557" spans="1:10" hidden="1" x14ac:dyDescent="0.25">
      <c r="A2557" s="362"/>
      <c r="B2557" s="611">
        <v>44226</v>
      </c>
      <c r="C2557" s="362" t="s">
        <v>83</v>
      </c>
      <c r="D2557" s="562"/>
      <c r="E2557" s="562"/>
      <c r="F2557" s="562">
        <v>253175600</v>
      </c>
      <c r="G2557" s="562"/>
      <c r="H2557" s="562"/>
      <c r="I2557" s="562"/>
      <c r="J2557" s="562"/>
    </row>
    <row r="2558" spans="1:10" hidden="1" x14ac:dyDescent="0.25">
      <c r="A2558" s="362"/>
      <c r="B2558" s="611">
        <v>44226</v>
      </c>
      <c r="C2558" s="362" t="s">
        <v>78</v>
      </c>
      <c r="D2558" s="562"/>
      <c r="E2558" s="562"/>
      <c r="F2558" s="562">
        <v>165872600</v>
      </c>
      <c r="G2558" s="562"/>
      <c r="H2558" s="562"/>
      <c r="I2558" s="562"/>
      <c r="J2558" s="562"/>
    </row>
    <row r="2559" spans="1:10" hidden="1" x14ac:dyDescent="0.25">
      <c r="A2559" s="362"/>
      <c r="B2559" s="611">
        <v>44226</v>
      </c>
      <c r="C2559" s="362" t="s">
        <v>141</v>
      </c>
      <c r="D2559" s="562"/>
      <c r="E2559" s="562"/>
      <c r="F2559" s="562">
        <v>39351700</v>
      </c>
      <c r="G2559" s="562"/>
      <c r="H2559" s="562"/>
      <c r="I2559" s="562"/>
      <c r="J2559" s="562"/>
    </row>
    <row r="2560" spans="1:10" hidden="1" x14ac:dyDescent="0.25">
      <c r="A2560" s="362"/>
      <c r="B2560" s="611">
        <v>44226</v>
      </c>
      <c r="C2560" s="362" t="s">
        <v>89</v>
      </c>
      <c r="D2560" s="562"/>
      <c r="E2560" s="562"/>
      <c r="F2560" s="562">
        <v>156573500</v>
      </c>
      <c r="G2560" s="562"/>
      <c r="H2560" s="562"/>
      <c r="I2560" s="562"/>
      <c r="J2560" s="562"/>
    </row>
    <row r="2561" spans="1:10" hidden="1" x14ac:dyDescent="0.25">
      <c r="A2561" s="362"/>
      <c r="B2561" s="611">
        <v>44226</v>
      </c>
      <c r="C2561" s="362" t="s">
        <v>81</v>
      </c>
      <c r="D2561" s="562"/>
      <c r="E2561" s="562"/>
      <c r="F2561" s="562">
        <v>116671700</v>
      </c>
      <c r="G2561" s="562"/>
      <c r="H2561" s="562"/>
      <c r="I2561" s="562"/>
      <c r="J2561" s="562"/>
    </row>
    <row r="2562" spans="1:10" hidden="1" x14ac:dyDescent="0.25">
      <c r="A2562" s="362"/>
      <c r="B2562" s="611">
        <v>44226</v>
      </c>
      <c r="C2562" s="362" t="s">
        <v>84</v>
      </c>
      <c r="D2562" s="562"/>
      <c r="E2562" s="562"/>
      <c r="F2562" s="562">
        <v>263460000</v>
      </c>
      <c r="G2562" s="562"/>
      <c r="H2562" s="562"/>
      <c r="I2562" s="562"/>
      <c r="J2562" s="562"/>
    </row>
    <row r="2563" spans="1:10" hidden="1" x14ac:dyDescent="0.25">
      <c r="A2563" s="362"/>
      <c r="B2563" s="611">
        <v>44226</v>
      </c>
      <c r="C2563" s="362" t="s">
        <v>4751</v>
      </c>
      <c r="D2563" s="562"/>
      <c r="E2563" s="562"/>
      <c r="F2563" s="562">
        <v>341703700</v>
      </c>
      <c r="G2563" s="562"/>
      <c r="H2563" s="562"/>
      <c r="I2563" s="562"/>
      <c r="J2563" s="562"/>
    </row>
    <row r="2564" spans="1:10" hidden="1" x14ac:dyDescent="0.25">
      <c r="A2564" s="362"/>
      <c r="B2564" s="611">
        <v>44226</v>
      </c>
      <c r="C2564" s="362" t="s">
        <v>166</v>
      </c>
      <c r="D2564" s="562"/>
      <c r="E2564" s="562"/>
      <c r="F2564" s="562">
        <v>42665500</v>
      </c>
      <c r="G2564" s="562"/>
      <c r="H2564" s="562"/>
      <c r="I2564" s="562"/>
      <c r="J2564" s="562"/>
    </row>
    <row r="2565" spans="1:10" hidden="1" x14ac:dyDescent="0.25">
      <c r="A2565" s="362"/>
      <c r="B2565" s="611">
        <v>44226</v>
      </c>
      <c r="C2565" s="362" t="s">
        <v>3435</v>
      </c>
      <c r="D2565" s="562"/>
      <c r="E2565" s="562"/>
      <c r="F2565" s="562"/>
      <c r="G2565" s="562"/>
      <c r="H2565" s="562"/>
      <c r="I2565" s="562"/>
      <c r="J2565" s="562"/>
    </row>
    <row r="2566" spans="1:10" hidden="1" x14ac:dyDescent="0.25">
      <c r="A2566" s="362"/>
      <c r="B2566" s="611">
        <v>44226</v>
      </c>
      <c r="C2566" s="370" t="s">
        <v>85</v>
      </c>
      <c r="D2566" s="562"/>
      <c r="E2566" s="562"/>
      <c r="F2566" s="562">
        <v>25425100</v>
      </c>
      <c r="G2566" s="562"/>
      <c r="H2566" s="562"/>
      <c r="I2566" s="562"/>
      <c r="J2566" s="562"/>
    </row>
    <row r="2567" spans="1:10" hidden="1" x14ac:dyDescent="0.25">
      <c r="A2567" s="532"/>
      <c r="B2567" s="532"/>
      <c r="C2567" s="532"/>
      <c r="D2567" s="532"/>
      <c r="E2567" s="532"/>
      <c r="F2567" s="532"/>
      <c r="G2567" s="532"/>
      <c r="H2567" s="532"/>
      <c r="I2567" s="532"/>
      <c r="J2567" s="532"/>
    </row>
    <row r="2568" spans="1:10" hidden="1" x14ac:dyDescent="0.25">
      <c r="A2568" s="1602">
        <v>44228</v>
      </c>
      <c r="B2568" s="1605"/>
      <c r="C2568" s="1605"/>
      <c r="D2568" s="1605"/>
      <c r="E2568" s="1605"/>
      <c r="F2568" s="1605"/>
      <c r="G2568" s="1605"/>
      <c r="H2568" s="1605"/>
      <c r="I2568" s="1605"/>
      <c r="J2568" s="1606"/>
    </row>
    <row r="2569" spans="1:10" hidden="1" x14ac:dyDescent="0.25">
      <c r="A2569" s="362"/>
      <c r="B2569" s="611">
        <v>44228</v>
      </c>
      <c r="C2569" s="362" t="s">
        <v>86</v>
      </c>
      <c r="D2569" s="562">
        <v>46278595</v>
      </c>
      <c r="E2569" s="562">
        <v>11801800</v>
      </c>
      <c r="F2569" s="562">
        <v>58080400</v>
      </c>
      <c r="G2569" s="562">
        <f>D2569+E2569-F2569</f>
        <v>-5</v>
      </c>
      <c r="H2569" s="562"/>
      <c r="I2569" s="562"/>
      <c r="J2569" s="562"/>
    </row>
    <row r="2570" spans="1:10" hidden="1" x14ac:dyDescent="0.25">
      <c r="A2570" s="362"/>
      <c r="B2570" s="611">
        <v>44228</v>
      </c>
      <c r="C2570" s="362" t="s">
        <v>87</v>
      </c>
      <c r="D2570" s="562">
        <v>100676918</v>
      </c>
      <c r="E2570" s="562">
        <v>66681170</v>
      </c>
      <c r="F2570" s="562">
        <v>167358100</v>
      </c>
      <c r="G2570" s="562">
        <f t="shared" ref="G2570:G2633" si="43">D2570+E2570-F2570</f>
        <v>-12</v>
      </c>
      <c r="H2570" s="562"/>
      <c r="I2570" s="562"/>
      <c r="J2570" s="562"/>
    </row>
    <row r="2571" spans="1:10" hidden="1" x14ac:dyDescent="0.25">
      <c r="A2571" s="362"/>
      <c r="B2571" s="611">
        <v>44228</v>
      </c>
      <c r="C2571" s="362" t="s">
        <v>88</v>
      </c>
      <c r="D2571" s="562">
        <v>208707144</v>
      </c>
      <c r="E2571" s="562">
        <v>16908080</v>
      </c>
      <c r="F2571" s="562">
        <v>225615300</v>
      </c>
      <c r="G2571" s="562">
        <f t="shared" si="43"/>
        <v>-76</v>
      </c>
      <c r="H2571" s="562"/>
      <c r="I2571" s="562"/>
      <c r="J2571" s="562"/>
    </row>
    <row r="2572" spans="1:10" hidden="1" x14ac:dyDescent="0.25">
      <c r="A2572" s="362"/>
      <c r="B2572" s="611">
        <v>44228</v>
      </c>
      <c r="C2572" s="362" t="s">
        <v>82</v>
      </c>
      <c r="D2572" s="562">
        <v>46755962</v>
      </c>
      <c r="E2572" s="562">
        <v>3631700</v>
      </c>
      <c r="F2572" s="562">
        <v>50387800</v>
      </c>
      <c r="G2572" s="562">
        <f t="shared" si="43"/>
        <v>-138</v>
      </c>
      <c r="H2572" s="562"/>
      <c r="I2572" s="562"/>
      <c r="J2572" s="562"/>
    </row>
    <row r="2573" spans="1:10" hidden="1" x14ac:dyDescent="0.25">
      <c r="A2573" s="362"/>
      <c r="B2573" s="611">
        <v>44228</v>
      </c>
      <c r="C2573" s="362" t="s">
        <v>80</v>
      </c>
      <c r="D2573" s="562">
        <v>193660800</v>
      </c>
      <c r="E2573" s="562"/>
      <c r="F2573" s="562">
        <v>193660800</v>
      </c>
      <c r="G2573" s="562">
        <f t="shared" si="43"/>
        <v>0</v>
      </c>
      <c r="H2573" s="562"/>
      <c r="I2573" s="562"/>
      <c r="J2573" s="562"/>
    </row>
    <row r="2574" spans="1:10" hidden="1" x14ac:dyDescent="0.25">
      <c r="A2574" s="362"/>
      <c r="B2574" s="611">
        <v>44228</v>
      </c>
      <c r="C2574" s="362" t="s">
        <v>83</v>
      </c>
      <c r="D2574" s="562">
        <v>388926685</v>
      </c>
      <c r="E2574" s="562">
        <v>25834615</v>
      </c>
      <c r="F2574" s="562">
        <v>414761300</v>
      </c>
      <c r="G2574" s="562">
        <f t="shared" si="43"/>
        <v>0</v>
      </c>
      <c r="H2574" s="562"/>
      <c r="I2574" s="562"/>
      <c r="J2574" s="562"/>
    </row>
    <row r="2575" spans="1:10" hidden="1" x14ac:dyDescent="0.25">
      <c r="A2575" s="362"/>
      <c r="B2575" s="611">
        <v>44228</v>
      </c>
      <c r="C2575" s="362" t="s">
        <v>78</v>
      </c>
      <c r="D2575" s="562">
        <v>135319603</v>
      </c>
      <c r="E2575" s="562">
        <v>1645197</v>
      </c>
      <c r="F2575" s="562">
        <v>136964800</v>
      </c>
      <c r="G2575" s="562">
        <f t="shared" si="43"/>
        <v>0</v>
      </c>
      <c r="H2575" s="562"/>
      <c r="I2575" s="562"/>
      <c r="J2575" s="562"/>
    </row>
    <row r="2576" spans="1:10" hidden="1" x14ac:dyDescent="0.25">
      <c r="A2576" s="362"/>
      <c r="B2576" s="611">
        <v>44228</v>
      </c>
      <c r="C2576" s="362" t="s">
        <v>141</v>
      </c>
      <c r="D2576" s="562">
        <v>98248252</v>
      </c>
      <c r="E2576" s="562">
        <v>3166289</v>
      </c>
      <c r="F2576" s="562">
        <v>101414600</v>
      </c>
      <c r="G2576" s="562">
        <f t="shared" si="43"/>
        <v>-59</v>
      </c>
      <c r="H2576" s="562"/>
      <c r="I2576" s="562"/>
      <c r="J2576" s="562"/>
    </row>
    <row r="2577" spans="1:10" hidden="1" x14ac:dyDescent="0.25">
      <c r="A2577" s="362"/>
      <c r="B2577" s="611">
        <v>44228</v>
      </c>
      <c r="C2577" s="362" t="s">
        <v>89</v>
      </c>
      <c r="D2577" s="562">
        <v>148028255</v>
      </c>
      <c r="E2577" s="562">
        <v>5534645</v>
      </c>
      <c r="F2577" s="562">
        <v>153562900</v>
      </c>
      <c r="G2577" s="562">
        <f t="shared" si="43"/>
        <v>0</v>
      </c>
      <c r="H2577" s="562"/>
      <c r="I2577" s="562"/>
      <c r="J2577" s="562"/>
    </row>
    <row r="2578" spans="1:10" hidden="1" x14ac:dyDescent="0.25">
      <c r="A2578" s="362"/>
      <c r="B2578" s="611">
        <v>44228</v>
      </c>
      <c r="C2578" s="362" t="s">
        <v>81</v>
      </c>
      <c r="D2578" s="562">
        <v>43413905</v>
      </c>
      <c r="E2578" s="562">
        <v>7777174</v>
      </c>
      <c r="F2578" s="562">
        <v>51191100</v>
      </c>
      <c r="G2578" s="562">
        <f t="shared" si="43"/>
        <v>-21</v>
      </c>
      <c r="H2578" s="562"/>
      <c r="I2578" s="562"/>
      <c r="J2578" s="562"/>
    </row>
    <row r="2579" spans="1:10" hidden="1" x14ac:dyDescent="0.25">
      <c r="A2579" s="362"/>
      <c r="B2579" s="611">
        <v>44228</v>
      </c>
      <c r="C2579" s="362" t="s">
        <v>84</v>
      </c>
      <c r="D2579" s="562">
        <v>301679184</v>
      </c>
      <c r="E2579" s="562">
        <v>10129593</v>
      </c>
      <c r="F2579" s="562">
        <v>311809000</v>
      </c>
      <c r="G2579" s="562">
        <f t="shared" si="43"/>
        <v>-223</v>
      </c>
      <c r="H2579" s="562"/>
      <c r="I2579" s="562"/>
      <c r="J2579" s="562"/>
    </row>
    <row r="2580" spans="1:10" hidden="1" x14ac:dyDescent="0.25">
      <c r="A2580" s="362"/>
      <c r="B2580" s="611">
        <v>44228</v>
      </c>
      <c r="C2580" s="362" t="s">
        <v>4751</v>
      </c>
      <c r="D2580" s="562">
        <v>172993558</v>
      </c>
      <c r="E2580" s="562">
        <v>7529742</v>
      </c>
      <c r="F2580" s="562">
        <v>180523500</v>
      </c>
      <c r="G2580" s="562">
        <f t="shared" si="43"/>
        <v>-200</v>
      </c>
      <c r="H2580" s="562"/>
      <c r="I2580" s="562"/>
      <c r="J2580" s="562"/>
    </row>
    <row r="2581" spans="1:10" hidden="1" x14ac:dyDescent="0.25">
      <c r="A2581" s="362"/>
      <c r="B2581" s="611">
        <v>44228</v>
      </c>
      <c r="C2581" s="362" t="s">
        <v>166</v>
      </c>
      <c r="D2581" s="562">
        <v>84515072</v>
      </c>
      <c r="E2581" s="562"/>
      <c r="F2581" s="562">
        <v>84515100</v>
      </c>
      <c r="G2581" s="562">
        <f t="shared" si="43"/>
        <v>-28</v>
      </c>
      <c r="H2581" s="562"/>
      <c r="I2581" s="562"/>
      <c r="J2581" s="562"/>
    </row>
    <row r="2582" spans="1:10" hidden="1" x14ac:dyDescent="0.25">
      <c r="A2582" s="362"/>
      <c r="B2582" s="611">
        <v>44228</v>
      </c>
      <c r="C2582" s="362" t="s">
        <v>3435</v>
      </c>
      <c r="D2582" s="562">
        <v>40171523</v>
      </c>
      <c r="E2582" s="562"/>
      <c r="F2582" s="562">
        <v>40171600</v>
      </c>
      <c r="G2582" s="562">
        <f t="shared" si="43"/>
        <v>-77</v>
      </c>
      <c r="H2582" s="562"/>
      <c r="I2582" s="562"/>
      <c r="J2582" s="562"/>
    </row>
    <row r="2583" spans="1:10" hidden="1" x14ac:dyDescent="0.25">
      <c r="A2583" s="362"/>
      <c r="B2583" s="611">
        <v>44228</v>
      </c>
      <c r="C2583" s="370" t="s">
        <v>85</v>
      </c>
      <c r="D2583" s="562">
        <v>46374100</v>
      </c>
      <c r="E2583" s="562"/>
      <c r="F2583" s="562">
        <v>46374100</v>
      </c>
      <c r="G2583" s="562">
        <f t="shared" si="43"/>
        <v>0</v>
      </c>
      <c r="H2583" s="562"/>
      <c r="I2583" s="562"/>
      <c r="J2583" s="562"/>
    </row>
    <row r="2584" spans="1:10" hidden="1" x14ac:dyDescent="0.25">
      <c r="A2584" s="898"/>
      <c r="B2584" s="898"/>
      <c r="C2584" s="898"/>
      <c r="D2584" s="899">
        <f>SUM(D2569:D2583)</f>
        <v>2055749556</v>
      </c>
      <c r="E2584" s="899">
        <f>SUM(E2569:E2583)</f>
        <v>160640005</v>
      </c>
      <c r="F2584" s="899">
        <f>SUM(F2569:F2583)</f>
        <v>2216390400</v>
      </c>
      <c r="G2584" s="562">
        <f t="shared" si="43"/>
        <v>-839</v>
      </c>
      <c r="H2584" s="899"/>
      <c r="I2584" s="899"/>
      <c r="J2584" s="899"/>
    </row>
    <row r="2585" spans="1:10" hidden="1" x14ac:dyDescent="0.25">
      <c r="A2585" s="362"/>
      <c r="B2585" s="611">
        <v>44229</v>
      </c>
      <c r="C2585" s="362" t="s">
        <v>86</v>
      </c>
      <c r="D2585" s="562">
        <v>46478553</v>
      </c>
      <c r="E2585" s="562">
        <v>27611650</v>
      </c>
      <c r="F2585" s="562">
        <v>74090200</v>
      </c>
      <c r="G2585" s="562">
        <f t="shared" si="43"/>
        <v>3</v>
      </c>
      <c r="H2585" s="562"/>
      <c r="I2585" s="562"/>
      <c r="J2585" s="562"/>
    </row>
    <row r="2586" spans="1:10" hidden="1" x14ac:dyDescent="0.25">
      <c r="A2586" s="362"/>
      <c r="B2586" s="611">
        <v>44229</v>
      </c>
      <c r="C2586" s="362" t="s">
        <v>87</v>
      </c>
      <c r="D2586" s="562">
        <v>158856264</v>
      </c>
      <c r="E2586" s="562">
        <v>36363670</v>
      </c>
      <c r="F2586" s="562">
        <v>195220000</v>
      </c>
      <c r="G2586" s="562">
        <f t="shared" si="43"/>
        <v>-66</v>
      </c>
      <c r="H2586" s="562"/>
      <c r="I2586" s="562"/>
      <c r="J2586" s="562"/>
    </row>
    <row r="2587" spans="1:10" hidden="1" x14ac:dyDescent="0.25">
      <c r="A2587" s="362"/>
      <c r="B2587" s="611">
        <v>44229</v>
      </c>
      <c r="C2587" s="362" t="s">
        <v>88</v>
      </c>
      <c r="D2587" s="562">
        <v>231083277</v>
      </c>
      <c r="E2587" s="562">
        <v>8888884</v>
      </c>
      <c r="F2587" s="562">
        <v>239972200</v>
      </c>
      <c r="G2587" s="562">
        <f t="shared" si="43"/>
        <v>-39</v>
      </c>
      <c r="H2587" s="562"/>
      <c r="I2587" s="562"/>
      <c r="J2587" s="562"/>
    </row>
    <row r="2588" spans="1:10" hidden="1" x14ac:dyDescent="0.25">
      <c r="A2588" s="362"/>
      <c r="B2588" s="611">
        <v>44229</v>
      </c>
      <c r="C2588" s="362" t="s">
        <v>82</v>
      </c>
      <c r="D2588" s="562">
        <v>170690211</v>
      </c>
      <c r="E2588" s="562"/>
      <c r="F2588" s="562">
        <v>170690300</v>
      </c>
      <c r="G2588" s="562">
        <f t="shared" si="43"/>
        <v>-89</v>
      </c>
      <c r="H2588" s="562"/>
      <c r="I2588" s="562"/>
      <c r="J2588" s="562"/>
    </row>
    <row r="2589" spans="1:10" hidden="1" x14ac:dyDescent="0.25">
      <c r="A2589" s="362"/>
      <c r="B2589" s="611">
        <v>44229</v>
      </c>
      <c r="C2589" s="362" t="s">
        <v>80</v>
      </c>
      <c r="D2589" s="562">
        <v>276816000</v>
      </c>
      <c r="E2589" s="562"/>
      <c r="F2589" s="562">
        <v>276816000</v>
      </c>
      <c r="G2589" s="562">
        <f t="shared" si="43"/>
        <v>0</v>
      </c>
      <c r="H2589" s="562"/>
      <c r="I2589" s="562"/>
      <c r="J2589" s="562"/>
    </row>
    <row r="2590" spans="1:10" hidden="1" x14ac:dyDescent="0.25">
      <c r="A2590" s="362"/>
      <c r="B2590" s="611">
        <v>44229</v>
      </c>
      <c r="C2590" s="362" t="s">
        <v>83</v>
      </c>
      <c r="D2590" s="562">
        <v>263866136</v>
      </c>
      <c r="E2590" s="562">
        <v>62604927</v>
      </c>
      <c r="F2590" s="562">
        <v>326471100</v>
      </c>
      <c r="G2590" s="562">
        <f t="shared" si="43"/>
        <v>-37</v>
      </c>
      <c r="H2590" s="562"/>
      <c r="I2590" s="562"/>
      <c r="J2590" s="562"/>
    </row>
    <row r="2591" spans="1:10" hidden="1" x14ac:dyDescent="0.25">
      <c r="A2591" s="362"/>
      <c r="B2591" s="611">
        <v>44229</v>
      </c>
      <c r="C2591" s="362" t="s">
        <v>78</v>
      </c>
      <c r="D2591" s="562">
        <v>88001040</v>
      </c>
      <c r="E2591" s="562">
        <v>3168560</v>
      </c>
      <c r="F2591" s="562">
        <v>91169600</v>
      </c>
      <c r="G2591" s="562">
        <f t="shared" si="43"/>
        <v>0</v>
      </c>
      <c r="H2591" s="562"/>
      <c r="I2591" s="562"/>
      <c r="J2591" s="562"/>
    </row>
    <row r="2592" spans="1:10" hidden="1" x14ac:dyDescent="0.25">
      <c r="A2592" s="362"/>
      <c r="B2592" s="611">
        <v>44229</v>
      </c>
      <c r="C2592" s="362" t="s">
        <v>141</v>
      </c>
      <c r="D2592" s="562">
        <v>48628507</v>
      </c>
      <c r="E2592" s="562">
        <v>292000</v>
      </c>
      <c r="F2592" s="562">
        <v>48920600</v>
      </c>
      <c r="G2592" s="562">
        <f t="shared" si="43"/>
        <v>-93</v>
      </c>
      <c r="H2592" s="562"/>
      <c r="I2592" s="562"/>
      <c r="J2592" s="562"/>
    </row>
    <row r="2593" spans="1:10" hidden="1" x14ac:dyDescent="0.25">
      <c r="A2593" s="362"/>
      <c r="B2593" s="611">
        <v>44229</v>
      </c>
      <c r="C2593" s="362" t="s">
        <v>89</v>
      </c>
      <c r="D2593" s="562">
        <v>151088503</v>
      </c>
      <c r="E2593" s="562">
        <v>3321497</v>
      </c>
      <c r="F2593" s="562">
        <v>154410000</v>
      </c>
      <c r="G2593" s="562">
        <f t="shared" si="43"/>
        <v>0</v>
      </c>
      <c r="H2593" s="562"/>
      <c r="I2593" s="562"/>
      <c r="J2593" s="562"/>
    </row>
    <row r="2594" spans="1:10" hidden="1" x14ac:dyDescent="0.25">
      <c r="A2594" s="362"/>
      <c r="B2594" s="611">
        <v>44229</v>
      </c>
      <c r="C2594" s="362" t="s">
        <v>81</v>
      </c>
      <c r="D2594" s="562">
        <v>71683347</v>
      </c>
      <c r="E2594" s="562">
        <v>8240509</v>
      </c>
      <c r="F2594" s="562">
        <v>79923900</v>
      </c>
      <c r="G2594" s="562">
        <f t="shared" si="43"/>
        <v>-44</v>
      </c>
      <c r="H2594" s="562"/>
      <c r="I2594" s="562"/>
      <c r="J2594" s="562"/>
    </row>
    <row r="2595" spans="1:10" hidden="1" x14ac:dyDescent="0.25">
      <c r="A2595" s="362"/>
      <c r="B2595" s="611">
        <v>44229</v>
      </c>
      <c r="C2595" s="362" t="s">
        <v>84</v>
      </c>
      <c r="D2595" s="562">
        <v>203542459</v>
      </c>
      <c r="E2595" s="562">
        <v>15079333</v>
      </c>
      <c r="F2595" s="562">
        <v>217621800</v>
      </c>
      <c r="G2595" s="562">
        <f t="shared" si="43"/>
        <v>999992</v>
      </c>
      <c r="H2595" s="562"/>
      <c r="I2595" s="562"/>
      <c r="J2595" s="562"/>
    </row>
    <row r="2596" spans="1:10" hidden="1" x14ac:dyDescent="0.25">
      <c r="A2596" s="362"/>
      <c r="B2596" s="611">
        <v>44229</v>
      </c>
      <c r="C2596" s="362" t="s">
        <v>4751</v>
      </c>
      <c r="D2596" s="562">
        <v>270956298</v>
      </c>
      <c r="E2596" s="562">
        <v>13200202</v>
      </c>
      <c r="F2596" s="562">
        <v>284156500</v>
      </c>
      <c r="G2596" s="562">
        <f t="shared" si="43"/>
        <v>0</v>
      </c>
      <c r="H2596" s="562"/>
      <c r="I2596" s="562"/>
      <c r="J2596" s="562"/>
    </row>
    <row r="2597" spans="1:10" hidden="1" x14ac:dyDescent="0.25">
      <c r="A2597" s="362"/>
      <c r="B2597" s="611">
        <v>44229</v>
      </c>
      <c r="C2597" s="362" t="s">
        <v>166</v>
      </c>
      <c r="D2597" s="562">
        <v>69197023</v>
      </c>
      <c r="E2597" s="562"/>
      <c r="F2597" s="562">
        <v>69197100</v>
      </c>
      <c r="G2597" s="562">
        <f t="shared" si="43"/>
        <v>-77</v>
      </c>
      <c r="H2597" s="562"/>
      <c r="I2597" s="562"/>
      <c r="J2597" s="562"/>
    </row>
    <row r="2598" spans="1:10" hidden="1" x14ac:dyDescent="0.25">
      <c r="A2598" s="362"/>
      <c r="B2598" s="611">
        <v>44229</v>
      </c>
      <c r="C2598" s="362" t="s">
        <v>3435</v>
      </c>
      <c r="D2598" s="562">
        <v>45251663</v>
      </c>
      <c r="E2598" s="562"/>
      <c r="F2598" s="562">
        <v>45251700</v>
      </c>
      <c r="G2598" s="562">
        <f t="shared" si="43"/>
        <v>-37</v>
      </c>
      <c r="H2598" s="562"/>
      <c r="I2598" s="562"/>
      <c r="J2598" s="562"/>
    </row>
    <row r="2599" spans="1:10" hidden="1" x14ac:dyDescent="0.25">
      <c r="A2599" s="362"/>
      <c r="B2599" s="611">
        <v>44229</v>
      </c>
      <c r="C2599" s="370" t="s">
        <v>85</v>
      </c>
      <c r="D2599" s="562">
        <v>38086000</v>
      </c>
      <c r="E2599" s="562"/>
      <c r="F2599" s="562">
        <v>38086000</v>
      </c>
      <c r="G2599" s="562">
        <f t="shared" si="43"/>
        <v>0</v>
      </c>
      <c r="H2599" s="562"/>
      <c r="I2599" s="562"/>
      <c r="J2599" s="562"/>
    </row>
    <row r="2600" spans="1:10" hidden="1" x14ac:dyDescent="0.25">
      <c r="A2600" s="532"/>
      <c r="B2600" s="532"/>
      <c r="C2600" s="532"/>
      <c r="D2600" s="564">
        <f>SUM(D2585:D2599)</f>
        <v>2134225281</v>
      </c>
      <c r="E2600" s="564">
        <f t="shared" ref="E2600:F2600" si="44">SUM(E2585:E2599)</f>
        <v>178771232</v>
      </c>
      <c r="F2600" s="564">
        <f t="shared" si="44"/>
        <v>2311997000</v>
      </c>
      <c r="G2600" s="562">
        <f t="shared" si="43"/>
        <v>999513</v>
      </c>
      <c r="H2600" s="564"/>
      <c r="I2600" s="564"/>
      <c r="J2600" s="564"/>
    </row>
    <row r="2601" spans="1:10" hidden="1" x14ac:dyDescent="0.25">
      <c r="A2601" s="362"/>
      <c r="B2601" s="611">
        <v>44230</v>
      </c>
      <c r="C2601" s="362" t="s">
        <v>86</v>
      </c>
      <c r="D2601" s="562">
        <v>60072069</v>
      </c>
      <c r="E2601" s="562">
        <v>31942511</v>
      </c>
      <c r="F2601" s="562">
        <v>92014600</v>
      </c>
      <c r="G2601" s="562">
        <f t="shared" si="43"/>
        <v>-20</v>
      </c>
      <c r="H2601" s="562"/>
      <c r="I2601" s="562"/>
      <c r="J2601" s="562"/>
    </row>
    <row r="2602" spans="1:10" hidden="1" x14ac:dyDescent="0.25">
      <c r="A2602" s="362"/>
      <c r="B2602" s="611">
        <v>44230</v>
      </c>
      <c r="C2602" s="362" t="s">
        <v>87</v>
      </c>
      <c r="D2602" s="562">
        <v>103019972</v>
      </c>
      <c r="E2602" s="562">
        <v>5162209</v>
      </c>
      <c r="F2602" s="562">
        <v>108182100</v>
      </c>
      <c r="G2602" s="562">
        <f t="shared" si="43"/>
        <v>81</v>
      </c>
      <c r="H2602" s="562"/>
      <c r="I2602" s="562"/>
      <c r="J2602" s="562"/>
    </row>
    <row r="2603" spans="1:10" hidden="1" x14ac:dyDescent="0.25">
      <c r="A2603" s="362"/>
      <c r="B2603" s="611">
        <v>44230</v>
      </c>
      <c r="C2603" s="362" t="s">
        <v>88</v>
      </c>
      <c r="D2603" s="562">
        <v>266727093</v>
      </c>
      <c r="E2603" s="562">
        <v>30148637</v>
      </c>
      <c r="F2603" s="562">
        <v>296875800</v>
      </c>
      <c r="G2603" s="562">
        <f t="shared" si="43"/>
        <v>-70</v>
      </c>
      <c r="H2603" s="562"/>
      <c r="I2603" s="562"/>
      <c r="J2603" s="562"/>
    </row>
    <row r="2604" spans="1:10" hidden="1" x14ac:dyDescent="0.25">
      <c r="A2604" s="362"/>
      <c r="B2604" s="611">
        <v>44230</v>
      </c>
      <c r="C2604" s="362" t="s">
        <v>82</v>
      </c>
      <c r="D2604" s="562">
        <v>118922457</v>
      </c>
      <c r="E2604" s="562">
        <v>4103254</v>
      </c>
      <c r="F2604" s="562">
        <v>123025800</v>
      </c>
      <c r="G2604" s="562">
        <f t="shared" si="43"/>
        <v>-89</v>
      </c>
      <c r="H2604" s="562"/>
      <c r="I2604" s="562"/>
      <c r="J2604" s="562"/>
    </row>
    <row r="2605" spans="1:10" hidden="1" x14ac:dyDescent="0.25">
      <c r="A2605" s="362"/>
      <c r="B2605" s="611">
        <v>44230</v>
      </c>
      <c r="C2605" s="362" t="s">
        <v>80</v>
      </c>
      <c r="D2605" s="562">
        <v>206459848</v>
      </c>
      <c r="E2605" s="562">
        <v>10318452</v>
      </c>
      <c r="F2605" s="562">
        <v>216778300</v>
      </c>
      <c r="G2605" s="562">
        <f t="shared" si="43"/>
        <v>0</v>
      </c>
      <c r="H2605" s="562"/>
      <c r="I2605" s="562"/>
      <c r="J2605" s="562"/>
    </row>
    <row r="2606" spans="1:10" hidden="1" x14ac:dyDescent="0.25">
      <c r="A2606" s="362"/>
      <c r="B2606" s="611">
        <v>44230</v>
      </c>
      <c r="C2606" s="362" t="s">
        <v>83</v>
      </c>
      <c r="D2606" s="562">
        <v>182808973</v>
      </c>
      <c r="E2606" s="562">
        <v>16803430</v>
      </c>
      <c r="F2606" s="562">
        <v>199612500</v>
      </c>
      <c r="G2606" s="562">
        <f t="shared" si="43"/>
        <v>-97</v>
      </c>
      <c r="H2606" s="562"/>
      <c r="I2606" s="562"/>
      <c r="J2606" s="562"/>
    </row>
    <row r="2607" spans="1:10" hidden="1" x14ac:dyDescent="0.25">
      <c r="A2607" s="362"/>
      <c r="B2607" s="611">
        <v>44230</v>
      </c>
      <c r="C2607" s="362" t="s">
        <v>78</v>
      </c>
      <c r="D2607" s="562">
        <v>110332046</v>
      </c>
      <c r="E2607" s="562">
        <v>1736154</v>
      </c>
      <c r="F2607" s="562">
        <v>112068200</v>
      </c>
      <c r="G2607" s="562">
        <f t="shared" si="43"/>
        <v>0</v>
      </c>
      <c r="H2607" s="562"/>
      <c r="I2607" s="562"/>
      <c r="J2607" s="562"/>
    </row>
    <row r="2608" spans="1:10" hidden="1" x14ac:dyDescent="0.25">
      <c r="A2608" s="362"/>
      <c r="B2608" s="611">
        <v>44230</v>
      </c>
      <c r="C2608" s="362" t="s">
        <v>141</v>
      </c>
      <c r="D2608" s="562">
        <v>109145168</v>
      </c>
      <c r="E2608" s="562">
        <v>656866</v>
      </c>
      <c r="F2608" s="562">
        <v>109802100</v>
      </c>
      <c r="G2608" s="562">
        <f t="shared" si="43"/>
        <v>-66</v>
      </c>
      <c r="H2608" s="562"/>
      <c r="I2608" s="562"/>
      <c r="J2608" s="562"/>
    </row>
    <row r="2609" spans="1:10" hidden="1" x14ac:dyDescent="0.25">
      <c r="A2609" s="362"/>
      <c r="B2609" s="611">
        <v>44230</v>
      </c>
      <c r="C2609" s="362" t="s">
        <v>89</v>
      </c>
      <c r="D2609" s="562">
        <v>144635215</v>
      </c>
      <c r="E2609" s="562">
        <v>9083985</v>
      </c>
      <c r="F2609" s="562">
        <v>153719200</v>
      </c>
      <c r="G2609" s="562">
        <f t="shared" si="43"/>
        <v>0</v>
      </c>
      <c r="H2609" s="562"/>
      <c r="I2609" s="562"/>
      <c r="J2609" s="562"/>
    </row>
    <row r="2610" spans="1:10" hidden="1" x14ac:dyDescent="0.25">
      <c r="A2610" s="362"/>
      <c r="B2610" s="611">
        <v>44230</v>
      </c>
      <c r="C2610" s="362" t="s">
        <v>81</v>
      </c>
      <c r="D2610" s="562">
        <v>68150133</v>
      </c>
      <c r="E2610" s="562">
        <v>4807363</v>
      </c>
      <c r="F2610" s="562">
        <v>72957496</v>
      </c>
      <c r="G2610" s="562">
        <f t="shared" si="43"/>
        <v>0</v>
      </c>
      <c r="H2610" s="562"/>
      <c r="I2610" s="562"/>
      <c r="J2610" s="562"/>
    </row>
    <row r="2611" spans="1:10" hidden="1" x14ac:dyDescent="0.25">
      <c r="A2611" s="362"/>
      <c r="B2611" s="611">
        <v>44230</v>
      </c>
      <c r="C2611" s="362" t="s">
        <v>84</v>
      </c>
      <c r="D2611" s="562">
        <v>474545266</v>
      </c>
      <c r="E2611" s="562">
        <v>12349782</v>
      </c>
      <c r="F2611" s="562">
        <v>486895100</v>
      </c>
      <c r="G2611" s="562">
        <f t="shared" si="43"/>
        <v>-52</v>
      </c>
      <c r="H2611" s="562"/>
      <c r="I2611" s="562"/>
      <c r="J2611" s="562"/>
    </row>
    <row r="2612" spans="1:10" hidden="1" x14ac:dyDescent="0.25">
      <c r="A2612" s="362"/>
      <c r="B2612" s="611">
        <v>44230</v>
      </c>
      <c r="C2612" s="362" t="s">
        <v>4751</v>
      </c>
      <c r="D2612" s="562">
        <v>132502433</v>
      </c>
      <c r="E2612" s="562">
        <v>3922767</v>
      </c>
      <c r="F2612" s="562">
        <v>136425200</v>
      </c>
      <c r="G2612" s="562">
        <f t="shared" si="43"/>
        <v>0</v>
      </c>
      <c r="H2612" s="562"/>
      <c r="I2612" s="562"/>
      <c r="J2612" s="562"/>
    </row>
    <row r="2613" spans="1:10" hidden="1" x14ac:dyDescent="0.25">
      <c r="A2613" s="362"/>
      <c r="B2613" s="611">
        <v>44230</v>
      </c>
      <c r="C2613" s="362" t="s">
        <v>166</v>
      </c>
      <c r="D2613" s="562">
        <v>48353320</v>
      </c>
      <c r="E2613" s="562"/>
      <c r="F2613" s="562">
        <v>48353300</v>
      </c>
      <c r="G2613" s="562">
        <f t="shared" si="43"/>
        <v>20</v>
      </c>
      <c r="H2613" s="562"/>
      <c r="I2613" s="562"/>
      <c r="J2613" s="562"/>
    </row>
    <row r="2614" spans="1:10" hidden="1" x14ac:dyDescent="0.25">
      <c r="A2614" s="362"/>
      <c r="B2614" s="611">
        <v>44230</v>
      </c>
      <c r="C2614" s="362" t="s">
        <v>3435</v>
      </c>
      <c r="D2614" s="562">
        <v>134791982</v>
      </c>
      <c r="E2614" s="562"/>
      <c r="F2614" s="562">
        <v>134792000</v>
      </c>
      <c r="G2614" s="562">
        <f t="shared" si="43"/>
        <v>-18</v>
      </c>
      <c r="H2614" s="562"/>
      <c r="I2614" s="562"/>
      <c r="J2614" s="562"/>
    </row>
    <row r="2615" spans="1:10" hidden="1" x14ac:dyDescent="0.25">
      <c r="A2615" s="362"/>
      <c r="B2615" s="611">
        <v>44230</v>
      </c>
      <c r="C2615" s="370" t="s">
        <v>85</v>
      </c>
      <c r="D2615" s="562">
        <v>42582400</v>
      </c>
      <c r="E2615" s="562"/>
      <c r="F2615" s="562">
        <v>42582400</v>
      </c>
      <c r="G2615" s="562">
        <f t="shared" si="43"/>
        <v>0</v>
      </c>
      <c r="H2615" s="562"/>
      <c r="I2615" s="562"/>
      <c r="J2615" s="562"/>
    </row>
    <row r="2616" spans="1:10" hidden="1" x14ac:dyDescent="0.25">
      <c r="A2616" s="532"/>
      <c r="B2616" s="532"/>
      <c r="C2616" s="532"/>
      <c r="D2616" s="564">
        <f>SUM(D2601:D2615)</f>
        <v>2203048375</v>
      </c>
      <c r="E2616" s="564">
        <f>SUM(E2601:E2615)</f>
        <v>131035410</v>
      </c>
      <c r="F2616" s="564">
        <f>SUM(F2601:F2615)</f>
        <v>2334084096</v>
      </c>
      <c r="G2616" s="564">
        <f t="shared" si="43"/>
        <v>-311</v>
      </c>
      <c r="H2616" s="564"/>
      <c r="I2616" s="564"/>
      <c r="J2616" s="564"/>
    </row>
    <row r="2617" spans="1:10" hidden="1" x14ac:dyDescent="0.25">
      <c r="A2617" s="362"/>
      <c r="B2617" s="611">
        <v>44231</v>
      </c>
      <c r="C2617" s="362" t="s">
        <v>86</v>
      </c>
      <c r="D2617" s="562">
        <v>80303769</v>
      </c>
      <c r="E2617" s="562">
        <v>58155086</v>
      </c>
      <c r="F2617" s="562">
        <v>138458800</v>
      </c>
      <c r="G2617" s="562">
        <f t="shared" si="43"/>
        <v>55</v>
      </c>
      <c r="H2617" s="562"/>
      <c r="I2617" s="562"/>
      <c r="J2617" s="562"/>
    </row>
    <row r="2618" spans="1:10" hidden="1" x14ac:dyDescent="0.25">
      <c r="A2618" s="362"/>
      <c r="B2618" s="611">
        <v>44231</v>
      </c>
      <c r="C2618" s="362" t="s">
        <v>87</v>
      </c>
      <c r="D2618" s="562">
        <v>73930046</v>
      </c>
      <c r="E2618" s="562">
        <v>103755555</v>
      </c>
      <c r="F2618" s="562">
        <v>177685700</v>
      </c>
      <c r="G2618" s="562">
        <f t="shared" si="43"/>
        <v>-99</v>
      </c>
      <c r="H2618" s="562"/>
      <c r="I2618" s="562"/>
      <c r="J2618" s="562"/>
    </row>
    <row r="2619" spans="1:10" hidden="1" x14ac:dyDescent="0.25">
      <c r="A2619" s="362"/>
      <c r="B2619" s="611">
        <v>44231</v>
      </c>
      <c r="C2619" s="362" t="s">
        <v>88</v>
      </c>
      <c r="D2619" s="562">
        <v>219343940</v>
      </c>
      <c r="E2619" s="562">
        <v>13347912</v>
      </c>
      <c r="F2619" s="562">
        <v>232691900</v>
      </c>
      <c r="G2619" s="562">
        <f t="shared" si="43"/>
        <v>-48</v>
      </c>
      <c r="H2619" s="562"/>
      <c r="I2619" s="562"/>
      <c r="J2619" s="562"/>
    </row>
    <row r="2620" spans="1:10" hidden="1" x14ac:dyDescent="0.25">
      <c r="A2620" s="362"/>
      <c r="B2620" s="611">
        <v>44231</v>
      </c>
      <c r="C2620" s="362" t="s">
        <v>82</v>
      </c>
      <c r="D2620" s="562">
        <v>102373117</v>
      </c>
      <c r="E2620" s="562">
        <v>765000</v>
      </c>
      <c r="F2620" s="562">
        <v>103138200</v>
      </c>
      <c r="G2620" s="562">
        <f t="shared" si="43"/>
        <v>-83</v>
      </c>
      <c r="H2620" s="562"/>
      <c r="I2620" s="562"/>
      <c r="J2620" s="562"/>
    </row>
    <row r="2621" spans="1:10" hidden="1" x14ac:dyDescent="0.25">
      <c r="A2621" s="362"/>
      <c r="B2621" s="611">
        <v>44231</v>
      </c>
      <c r="C2621" s="362" t="s">
        <v>80</v>
      </c>
      <c r="D2621" s="562">
        <v>280377500</v>
      </c>
      <c r="E2621" s="562"/>
      <c r="F2621" s="562">
        <v>280377500</v>
      </c>
      <c r="G2621" s="562">
        <f t="shared" si="43"/>
        <v>0</v>
      </c>
      <c r="H2621" s="562"/>
      <c r="I2621" s="562"/>
      <c r="J2621" s="562"/>
    </row>
    <row r="2622" spans="1:10" hidden="1" x14ac:dyDescent="0.25">
      <c r="A2622" s="362"/>
      <c r="B2622" s="611">
        <v>44231</v>
      </c>
      <c r="C2622" s="362" t="s">
        <v>83</v>
      </c>
      <c r="D2622" s="562">
        <v>189314492</v>
      </c>
      <c r="E2622" s="562">
        <v>14588708</v>
      </c>
      <c r="F2622" s="562">
        <v>203903200</v>
      </c>
      <c r="G2622" s="562">
        <f t="shared" si="43"/>
        <v>0</v>
      </c>
      <c r="H2622" s="562"/>
      <c r="I2622" s="562"/>
      <c r="J2622" s="562"/>
    </row>
    <row r="2623" spans="1:10" hidden="1" x14ac:dyDescent="0.25">
      <c r="A2623" s="362"/>
      <c r="B2623" s="611">
        <v>44231</v>
      </c>
      <c r="C2623" s="362" t="s">
        <v>78</v>
      </c>
      <c r="D2623" s="562">
        <v>139213434</v>
      </c>
      <c r="E2623" s="562">
        <v>1609366</v>
      </c>
      <c r="F2623" s="562">
        <v>140822800</v>
      </c>
      <c r="G2623" s="562">
        <f t="shared" si="43"/>
        <v>0</v>
      </c>
      <c r="H2623" s="562"/>
      <c r="I2623" s="562"/>
      <c r="J2623" s="562"/>
    </row>
    <row r="2624" spans="1:10" hidden="1" x14ac:dyDescent="0.25">
      <c r="A2624" s="362"/>
      <c r="B2624" s="611">
        <v>44231</v>
      </c>
      <c r="C2624" s="362" t="s">
        <v>141</v>
      </c>
      <c r="D2624" s="562">
        <v>71394750</v>
      </c>
      <c r="E2624" s="562">
        <v>4529025</v>
      </c>
      <c r="F2624" s="562">
        <v>75923800</v>
      </c>
      <c r="G2624" s="562">
        <f t="shared" si="43"/>
        <v>-25</v>
      </c>
      <c r="H2624" s="562"/>
      <c r="I2624" s="562"/>
      <c r="J2624" s="562"/>
    </row>
    <row r="2625" spans="1:10" hidden="1" x14ac:dyDescent="0.25">
      <c r="A2625" s="362"/>
      <c r="B2625" s="611">
        <v>44231</v>
      </c>
      <c r="C2625" s="362" t="s">
        <v>89</v>
      </c>
      <c r="D2625" s="562">
        <v>156641591</v>
      </c>
      <c r="E2625" s="562">
        <v>17387809</v>
      </c>
      <c r="F2625" s="562">
        <v>174029400</v>
      </c>
      <c r="G2625" s="562">
        <f t="shared" si="43"/>
        <v>0</v>
      </c>
      <c r="H2625" s="562"/>
      <c r="I2625" s="562"/>
      <c r="J2625" s="562"/>
    </row>
    <row r="2626" spans="1:10" hidden="1" x14ac:dyDescent="0.25">
      <c r="A2626" s="362"/>
      <c r="B2626" s="611">
        <v>44231</v>
      </c>
      <c r="C2626" s="362" t="s">
        <v>81</v>
      </c>
      <c r="D2626" s="562">
        <v>87938231</v>
      </c>
      <c r="E2626" s="562">
        <v>21359735</v>
      </c>
      <c r="F2626" s="562">
        <v>109298000</v>
      </c>
      <c r="G2626" s="562">
        <f t="shared" si="43"/>
        <v>-34</v>
      </c>
      <c r="H2626" s="562"/>
      <c r="I2626" s="562"/>
      <c r="J2626" s="562"/>
    </row>
    <row r="2627" spans="1:10" hidden="1" x14ac:dyDescent="0.25">
      <c r="A2627" s="362"/>
      <c r="B2627" s="611">
        <v>44231</v>
      </c>
      <c r="C2627" s="362" t="s">
        <v>84</v>
      </c>
      <c r="D2627" s="562">
        <v>276069940</v>
      </c>
      <c r="E2627" s="562">
        <v>10042833</v>
      </c>
      <c r="F2627" s="562">
        <v>286112800</v>
      </c>
      <c r="G2627" s="562">
        <f t="shared" si="43"/>
        <v>-27</v>
      </c>
      <c r="H2627" s="562"/>
      <c r="I2627" s="562"/>
      <c r="J2627" s="562"/>
    </row>
    <row r="2628" spans="1:10" hidden="1" x14ac:dyDescent="0.25">
      <c r="A2628" s="362"/>
      <c r="B2628" s="611">
        <v>44231</v>
      </c>
      <c r="C2628" s="362" t="s">
        <v>4751</v>
      </c>
      <c r="D2628" s="562">
        <v>182166000</v>
      </c>
      <c r="E2628" s="562">
        <v>4054100</v>
      </c>
      <c r="F2628" s="562">
        <v>186220100</v>
      </c>
      <c r="G2628" s="562">
        <f t="shared" si="43"/>
        <v>0</v>
      </c>
      <c r="H2628" s="562"/>
      <c r="I2628" s="562"/>
      <c r="J2628" s="562"/>
    </row>
    <row r="2629" spans="1:10" hidden="1" x14ac:dyDescent="0.25">
      <c r="A2629" s="362"/>
      <c r="B2629" s="611">
        <v>44231</v>
      </c>
      <c r="C2629" s="362" t="s">
        <v>166</v>
      </c>
      <c r="D2629" s="562">
        <v>97616586</v>
      </c>
      <c r="E2629" s="562"/>
      <c r="F2629" s="562">
        <v>97616600</v>
      </c>
      <c r="G2629" s="562">
        <f t="shared" si="43"/>
        <v>-14</v>
      </c>
      <c r="H2629" s="562"/>
      <c r="I2629" s="562"/>
      <c r="J2629" s="562"/>
    </row>
    <row r="2630" spans="1:10" hidden="1" x14ac:dyDescent="0.25">
      <c r="A2630" s="362"/>
      <c r="B2630" s="611">
        <v>44231</v>
      </c>
      <c r="C2630" s="362" t="s">
        <v>3435</v>
      </c>
      <c r="D2630" s="562">
        <v>168428189</v>
      </c>
      <c r="E2630" s="562"/>
      <c r="F2630" s="562">
        <v>168428200</v>
      </c>
      <c r="G2630" s="562">
        <f t="shared" si="43"/>
        <v>-11</v>
      </c>
      <c r="H2630" s="562"/>
      <c r="I2630" s="562"/>
      <c r="J2630" s="562"/>
    </row>
    <row r="2631" spans="1:10" hidden="1" x14ac:dyDescent="0.25">
      <c r="A2631" s="362"/>
      <c r="B2631" s="611">
        <v>44231</v>
      </c>
      <c r="C2631" s="370" t="s">
        <v>85</v>
      </c>
      <c r="D2631" s="562">
        <v>21376300</v>
      </c>
      <c r="E2631" s="562"/>
      <c r="F2631" s="562">
        <v>21376300</v>
      </c>
      <c r="G2631" s="562">
        <f t="shared" si="43"/>
        <v>0</v>
      </c>
      <c r="H2631" s="562"/>
      <c r="I2631" s="562"/>
      <c r="J2631" s="562"/>
    </row>
    <row r="2632" spans="1:10" hidden="1" x14ac:dyDescent="0.25">
      <c r="A2632" s="532"/>
      <c r="B2632" s="532"/>
      <c r="C2632" s="532"/>
      <c r="D2632" s="564">
        <f>SUM(D2617:D2631)</f>
        <v>2146487885</v>
      </c>
      <c r="E2632" s="564">
        <f t="shared" ref="E2632:F2632" si="45">SUM(E2617:E2631)</f>
        <v>249595129</v>
      </c>
      <c r="F2632" s="564">
        <f t="shared" si="45"/>
        <v>2396083300</v>
      </c>
      <c r="G2632" s="564">
        <f t="shared" si="43"/>
        <v>-286</v>
      </c>
      <c r="H2632" s="564"/>
      <c r="I2632" s="564"/>
      <c r="J2632" s="564"/>
    </row>
    <row r="2633" spans="1:10" hidden="1" x14ac:dyDescent="0.25">
      <c r="A2633" s="362"/>
      <c r="B2633" s="611">
        <v>44232</v>
      </c>
      <c r="C2633" s="362" t="s">
        <v>86</v>
      </c>
      <c r="D2633" s="562">
        <v>42463473</v>
      </c>
      <c r="E2633" s="562">
        <v>107071577</v>
      </c>
      <c r="F2633" s="562">
        <v>149535000</v>
      </c>
      <c r="G2633" s="562">
        <f t="shared" si="43"/>
        <v>50</v>
      </c>
      <c r="H2633" s="562"/>
      <c r="I2633" s="562"/>
      <c r="J2633" s="562"/>
    </row>
    <row r="2634" spans="1:10" hidden="1" x14ac:dyDescent="0.25">
      <c r="A2634" s="362"/>
      <c r="B2634" s="611">
        <v>44232</v>
      </c>
      <c r="C2634" s="362" t="s">
        <v>87</v>
      </c>
      <c r="D2634" s="562">
        <v>67309367</v>
      </c>
      <c r="E2634" s="562">
        <v>153113710</v>
      </c>
      <c r="F2634" s="562">
        <v>220423100</v>
      </c>
      <c r="G2634" s="562">
        <f t="shared" ref="G2634:G2697" si="46">D2634+E2634-F2634</f>
        <v>-23</v>
      </c>
      <c r="H2634" s="562"/>
      <c r="I2634" s="562"/>
      <c r="J2634" s="562"/>
    </row>
    <row r="2635" spans="1:10" hidden="1" x14ac:dyDescent="0.25">
      <c r="A2635" s="362"/>
      <c r="B2635" s="611">
        <v>44232</v>
      </c>
      <c r="C2635" s="362" t="s">
        <v>88</v>
      </c>
      <c r="D2635" s="562">
        <v>265478129</v>
      </c>
      <c r="E2635" s="562">
        <v>38631069</v>
      </c>
      <c r="F2635" s="562">
        <v>304109200</v>
      </c>
      <c r="G2635" s="562">
        <f t="shared" si="46"/>
        <v>-2</v>
      </c>
      <c r="H2635" s="562"/>
      <c r="I2635" s="562"/>
      <c r="J2635" s="562"/>
    </row>
    <row r="2636" spans="1:10" hidden="1" x14ac:dyDescent="0.25">
      <c r="A2636" s="362"/>
      <c r="B2636" s="611">
        <v>44232</v>
      </c>
      <c r="C2636" s="362" t="s">
        <v>82</v>
      </c>
      <c r="D2636" s="562">
        <v>184984650</v>
      </c>
      <c r="E2636" s="562">
        <v>3920407</v>
      </c>
      <c r="F2636" s="562">
        <v>188905100</v>
      </c>
      <c r="G2636" s="562">
        <f t="shared" si="46"/>
        <v>-43</v>
      </c>
      <c r="H2636" s="562"/>
      <c r="I2636" s="562"/>
      <c r="J2636" s="562"/>
    </row>
    <row r="2637" spans="1:10" hidden="1" x14ac:dyDescent="0.25">
      <c r="A2637" s="362"/>
      <c r="B2637" s="611">
        <v>44232</v>
      </c>
      <c r="C2637" s="362" t="s">
        <v>80</v>
      </c>
      <c r="D2637" s="562">
        <v>304948288</v>
      </c>
      <c r="E2637" s="562">
        <v>75300126</v>
      </c>
      <c r="F2637" s="562">
        <v>380248400</v>
      </c>
      <c r="G2637" s="562">
        <f t="shared" si="46"/>
        <v>14</v>
      </c>
      <c r="H2637" s="562"/>
      <c r="I2637" s="562"/>
      <c r="J2637" s="562"/>
    </row>
    <row r="2638" spans="1:10" hidden="1" x14ac:dyDescent="0.25">
      <c r="A2638" s="362"/>
      <c r="B2638" s="611">
        <v>44232</v>
      </c>
      <c r="C2638" s="362" t="s">
        <v>83</v>
      </c>
      <c r="D2638" s="562">
        <v>309796846</v>
      </c>
      <c r="E2638" s="562">
        <v>103044112</v>
      </c>
      <c r="F2638" s="562">
        <v>412841000</v>
      </c>
      <c r="G2638" s="562">
        <f t="shared" si="46"/>
        <v>-42</v>
      </c>
      <c r="H2638" s="562"/>
      <c r="I2638" s="562"/>
      <c r="J2638" s="562"/>
    </row>
    <row r="2639" spans="1:10" hidden="1" x14ac:dyDescent="0.25">
      <c r="A2639" s="362"/>
      <c r="B2639" s="611">
        <v>44232</v>
      </c>
      <c r="C2639" s="362" t="s">
        <v>78</v>
      </c>
      <c r="D2639" s="562">
        <v>128401776</v>
      </c>
      <c r="E2639" s="562">
        <v>1634324</v>
      </c>
      <c r="F2639" s="562">
        <v>130036100</v>
      </c>
      <c r="G2639" s="562">
        <f t="shared" si="46"/>
        <v>0</v>
      </c>
      <c r="H2639" s="562"/>
      <c r="I2639" s="562"/>
      <c r="J2639" s="562"/>
    </row>
    <row r="2640" spans="1:10" hidden="1" x14ac:dyDescent="0.25">
      <c r="A2640" s="362"/>
      <c r="B2640" s="611">
        <v>44232</v>
      </c>
      <c r="C2640" s="362" t="s">
        <v>141</v>
      </c>
      <c r="D2640" s="562">
        <v>69677082</v>
      </c>
      <c r="E2640" s="562">
        <v>613925</v>
      </c>
      <c r="F2640" s="562">
        <v>70290100</v>
      </c>
      <c r="G2640" s="562">
        <f t="shared" si="46"/>
        <v>907</v>
      </c>
      <c r="H2640" s="562"/>
      <c r="I2640" s="562"/>
      <c r="J2640" s="562"/>
    </row>
    <row r="2641" spans="1:10" hidden="1" x14ac:dyDescent="0.25">
      <c r="A2641" s="362"/>
      <c r="B2641" s="611">
        <v>44232</v>
      </c>
      <c r="C2641" s="362" t="s">
        <v>89</v>
      </c>
      <c r="D2641" s="562">
        <v>170619333</v>
      </c>
      <c r="E2641" s="562">
        <v>124632567</v>
      </c>
      <c r="F2641" s="562">
        <v>295251900</v>
      </c>
      <c r="G2641" s="562">
        <f t="shared" si="46"/>
        <v>0</v>
      </c>
      <c r="H2641" s="562"/>
      <c r="I2641" s="562"/>
      <c r="J2641" s="562"/>
    </row>
    <row r="2642" spans="1:10" hidden="1" x14ac:dyDescent="0.25">
      <c r="A2642" s="362"/>
      <c r="B2642" s="611">
        <v>44232</v>
      </c>
      <c r="C2642" s="362" t="s">
        <v>81</v>
      </c>
      <c r="D2642" s="562">
        <v>98195249</v>
      </c>
      <c r="E2642" s="562">
        <v>36421436</v>
      </c>
      <c r="F2642" s="562">
        <v>134616700</v>
      </c>
      <c r="G2642" s="562">
        <f t="shared" si="46"/>
        <v>-15</v>
      </c>
      <c r="H2642" s="562"/>
      <c r="I2642" s="562"/>
      <c r="J2642" s="562"/>
    </row>
    <row r="2643" spans="1:10" hidden="1" x14ac:dyDescent="0.25">
      <c r="A2643" s="362"/>
      <c r="B2643" s="611">
        <v>44232</v>
      </c>
      <c r="C2643" s="362" t="s">
        <v>84</v>
      </c>
      <c r="D2643" s="562">
        <v>153306847</v>
      </c>
      <c r="E2643" s="562">
        <v>10311290</v>
      </c>
      <c r="F2643" s="562">
        <v>163618200</v>
      </c>
      <c r="G2643" s="562">
        <f t="shared" si="46"/>
        <v>-63</v>
      </c>
      <c r="H2643" s="562"/>
      <c r="I2643" s="562"/>
      <c r="J2643" s="562"/>
    </row>
    <row r="2644" spans="1:10" hidden="1" x14ac:dyDescent="0.25">
      <c r="A2644" s="362"/>
      <c r="B2644" s="611">
        <v>44232</v>
      </c>
      <c r="C2644" s="362" t="s">
        <v>4751</v>
      </c>
      <c r="D2644" s="562">
        <v>192086849</v>
      </c>
      <c r="E2644" s="562">
        <v>5643351</v>
      </c>
      <c r="F2644" s="562">
        <v>197730200</v>
      </c>
      <c r="G2644" s="562">
        <f t="shared" si="46"/>
        <v>0</v>
      </c>
      <c r="H2644" s="562"/>
      <c r="I2644" s="562"/>
      <c r="J2644" s="562"/>
    </row>
    <row r="2645" spans="1:10" hidden="1" x14ac:dyDescent="0.25">
      <c r="A2645" s="362"/>
      <c r="B2645" s="611">
        <v>44232</v>
      </c>
      <c r="C2645" s="362" t="s">
        <v>166</v>
      </c>
      <c r="D2645" s="562">
        <v>28621586</v>
      </c>
      <c r="E2645" s="562"/>
      <c r="F2645" s="562">
        <v>28621600</v>
      </c>
      <c r="G2645" s="562">
        <f t="shared" si="46"/>
        <v>-14</v>
      </c>
      <c r="H2645" s="562"/>
      <c r="I2645" s="562"/>
      <c r="J2645" s="562"/>
    </row>
    <row r="2646" spans="1:10" hidden="1" x14ac:dyDescent="0.25">
      <c r="A2646" s="362"/>
      <c r="B2646" s="611">
        <v>44232</v>
      </c>
      <c r="C2646" s="362" t="s">
        <v>3435</v>
      </c>
      <c r="D2646" s="562">
        <v>56181895</v>
      </c>
      <c r="E2646" s="562"/>
      <c r="F2646" s="562">
        <v>56181900</v>
      </c>
      <c r="G2646" s="562">
        <f t="shared" si="46"/>
        <v>-5</v>
      </c>
      <c r="H2646" s="562"/>
      <c r="I2646" s="562"/>
      <c r="J2646" s="562"/>
    </row>
    <row r="2647" spans="1:10" hidden="1" x14ac:dyDescent="0.25">
      <c r="A2647" s="362"/>
      <c r="B2647" s="611">
        <v>44232</v>
      </c>
      <c r="C2647" s="370" t="s">
        <v>85</v>
      </c>
      <c r="D2647" s="562">
        <v>19222700</v>
      </c>
      <c r="E2647" s="562"/>
      <c r="F2647" s="562">
        <v>19222700</v>
      </c>
      <c r="G2647" s="562">
        <f t="shared" si="46"/>
        <v>0</v>
      </c>
      <c r="H2647" s="562"/>
      <c r="I2647" s="562"/>
      <c r="J2647" s="562"/>
    </row>
    <row r="2648" spans="1:10" hidden="1" x14ac:dyDescent="0.25">
      <c r="A2648" s="532"/>
      <c r="B2648" s="532"/>
      <c r="C2648" s="532"/>
      <c r="D2648" s="564">
        <f>SUM(D2633:D2647)</f>
        <v>2091294070</v>
      </c>
      <c r="E2648" s="564">
        <f t="shared" ref="E2648:F2648" si="47">SUM(E2633:E2647)</f>
        <v>660337894</v>
      </c>
      <c r="F2648" s="564">
        <f t="shared" si="47"/>
        <v>2751631200</v>
      </c>
      <c r="G2648" s="564">
        <f t="shared" si="46"/>
        <v>764</v>
      </c>
      <c r="H2648" s="564"/>
      <c r="I2648" s="564"/>
      <c r="J2648" s="564"/>
    </row>
    <row r="2649" spans="1:10" hidden="1" x14ac:dyDescent="0.25">
      <c r="A2649" s="362"/>
      <c r="B2649" s="611">
        <v>44233</v>
      </c>
      <c r="C2649" s="362" t="s">
        <v>86</v>
      </c>
      <c r="D2649" s="562">
        <v>53225803</v>
      </c>
      <c r="E2649" s="562">
        <v>91159550</v>
      </c>
      <c r="F2649" s="562">
        <v>144385400</v>
      </c>
      <c r="G2649" s="562">
        <f t="shared" si="46"/>
        <v>-47</v>
      </c>
      <c r="H2649" s="562"/>
      <c r="I2649" s="562"/>
      <c r="J2649" s="562"/>
    </row>
    <row r="2650" spans="1:10" hidden="1" x14ac:dyDescent="0.25">
      <c r="A2650" s="362"/>
      <c r="B2650" s="611">
        <v>44233</v>
      </c>
      <c r="C2650" s="362" t="s">
        <v>87</v>
      </c>
      <c r="D2650" s="562">
        <v>41525048</v>
      </c>
      <c r="E2650" s="562">
        <v>107222691</v>
      </c>
      <c r="F2650" s="562">
        <v>148747800</v>
      </c>
      <c r="G2650" s="562">
        <f t="shared" si="46"/>
        <v>-61</v>
      </c>
      <c r="H2650" s="562"/>
      <c r="I2650" s="562"/>
      <c r="J2650" s="562"/>
    </row>
    <row r="2651" spans="1:10" hidden="1" x14ac:dyDescent="0.25">
      <c r="A2651" s="362"/>
      <c r="B2651" s="611">
        <v>44233</v>
      </c>
      <c r="C2651" s="362" t="s">
        <v>88</v>
      </c>
      <c r="D2651" s="562">
        <v>49490659</v>
      </c>
      <c r="E2651" s="562">
        <v>6974356</v>
      </c>
      <c r="F2651" s="562">
        <v>56465100</v>
      </c>
      <c r="G2651" s="562">
        <f t="shared" si="46"/>
        <v>-85</v>
      </c>
      <c r="H2651" s="562"/>
      <c r="I2651" s="562"/>
      <c r="J2651" s="562"/>
    </row>
    <row r="2652" spans="1:10" hidden="1" x14ac:dyDescent="0.25">
      <c r="A2652" s="362"/>
      <c r="B2652" s="611">
        <v>44233</v>
      </c>
      <c r="C2652" s="362" t="s">
        <v>82</v>
      </c>
      <c r="D2652" s="562">
        <v>21959947</v>
      </c>
      <c r="E2652" s="562">
        <v>7744500</v>
      </c>
      <c r="F2652" s="562">
        <v>29704500</v>
      </c>
      <c r="G2652" s="562">
        <f t="shared" si="46"/>
        <v>-53</v>
      </c>
      <c r="H2652" s="562"/>
      <c r="I2652" s="562"/>
      <c r="J2652" s="562"/>
    </row>
    <row r="2653" spans="1:10" hidden="1" x14ac:dyDescent="0.25">
      <c r="A2653" s="362"/>
      <c r="B2653" s="611">
        <v>44233</v>
      </c>
      <c r="C2653" s="362" t="s">
        <v>80</v>
      </c>
      <c r="D2653" s="562">
        <v>11932191</v>
      </c>
      <c r="E2653" s="562"/>
      <c r="F2653" s="562">
        <v>11932000</v>
      </c>
      <c r="G2653" s="562">
        <f t="shared" si="46"/>
        <v>191</v>
      </c>
      <c r="H2653" s="562"/>
      <c r="I2653" s="562"/>
      <c r="J2653" s="562"/>
    </row>
    <row r="2654" spans="1:10" hidden="1" x14ac:dyDescent="0.25">
      <c r="A2654" s="362"/>
      <c r="B2654" s="611">
        <v>44233</v>
      </c>
      <c r="C2654" s="362" t="s">
        <v>83</v>
      </c>
      <c r="D2654" s="562">
        <v>249482822</v>
      </c>
      <c r="E2654" s="562">
        <v>35271198</v>
      </c>
      <c r="F2654" s="562">
        <v>284754000</v>
      </c>
      <c r="G2654" s="562">
        <f t="shared" si="46"/>
        <v>20</v>
      </c>
      <c r="H2654" s="562"/>
      <c r="I2654" s="562"/>
      <c r="J2654" s="562"/>
    </row>
    <row r="2655" spans="1:10" hidden="1" x14ac:dyDescent="0.25">
      <c r="A2655" s="362"/>
      <c r="B2655" s="611">
        <v>44233</v>
      </c>
      <c r="C2655" s="362" t="s">
        <v>78</v>
      </c>
      <c r="D2655" s="562">
        <v>126372858</v>
      </c>
      <c r="E2655" s="562">
        <v>6979442</v>
      </c>
      <c r="F2655" s="562">
        <v>133352300</v>
      </c>
      <c r="G2655" s="562">
        <f t="shared" si="46"/>
        <v>0</v>
      </c>
      <c r="H2655" s="562"/>
      <c r="I2655" s="562"/>
      <c r="J2655" s="562"/>
    </row>
    <row r="2656" spans="1:10" hidden="1" x14ac:dyDescent="0.25">
      <c r="A2656" s="362"/>
      <c r="B2656" s="611">
        <v>44233</v>
      </c>
      <c r="C2656" s="362" t="s">
        <v>141</v>
      </c>
      <c r="D2656" s="562">
        <v>19664446</v>
      </c>
      <c r="E2656" s="562">
        <v>701700</v>
      </c>
      <c r="F2656" s="562">
        <v>20366200</v>
      </c>
      <c r="G2656" s="562">
        <f t="shared" si="46"/>
        <v>-54</v>
      </c>
      <c r="H2656" s="562"/>
      <c r="I2656" s="562"/>
      <c r="J2656" s="562"/>
    </row>
    <row r="2657" spans="1:10" hidden="1" x14ac:dyDescent="0.25">
      <c r="A2657" s="362"/>
      <c r="B2657" s="611">
        <v>44233</v>
      </c>
      <c r="C2657" s="362" t="s">
        <v>89</v>
      </c>
      <c r="D2657" s="562">
        <v>92772748</v>
      </c>
      <c r="E2657" s="562">
        <v>70194652</v>
      </c>
      <c r="F2657" s="562">
        <v>162967400</v>
      </c>
      <c r="G2657" s="562">
        <f t="shared" si="46"/>
        <v>0</v>
      </c>
      <c r="H2657" s="562"/>
      <c r="I2657" s="562"/>
      <c r="J2657" s="562"/>
    </row>
    <row r="2658" spans="1:10" hidden="1" x14ac:dyDescent="0.25">
      <c r="A2658" s="362"/>
      <c r="B2658" s="611">
        <v>44233</v>
      </c>
      <c r="C2658" s="362" t="s">
        <v>81</v>
      </c>
      <c r="D2658" s="562">
        <v>81368879</v>
      </c>
      <c r="E2658" s="562">
        <v>19548440</v>
      </c>
      <c r="F2658" s="562">
        <f>48493700+52423700</f>
        <v>100917400</v>
      </c>
      <c r="G2658" s="562">
        <f t="shared" si="46"/>
        <v>-81</v>
      </c>
      <c r="H2658" s="562"/>
      <c r="I2658" s="562"/>
      <c r="J2658" s="562"/>
    </row>
    <row r="2659" spans="1:10" hidden="1" x14ac:dyDescent="0.25">
      <c r="A2659" s="362"/>
      <c r="B2659" s="611">
        <v>44233</v>
      </c>
      <c r="C2659" s="362" t="s">
        <v>84</v>
      </c>
      <c r="D2659" s="562">
        <v>197209721</v>
      </c>
      <c r="E2659" s="562">
        <v>25951169</v>
      </c>
      <c r="F2659" s="562">
        <v>223161600</v>
      </c>
      <c r="G2659" s="562">
        <f t="shared" si="46"/>
        <v>-710</v>
      </c>
      <c r="H2659" s="562"/>
      <c r="I2659" s="562"/>
      <c r="J2659" s="562"/>
    </row>
    <row r="2660" spans="1:10" hidden="1" x14ac:dyDescent="0.25">
      <c r="A2660" s="362"/>
      <c r="B2660" s="611">
        <v>44233</v>
      </c>
      <c r="C2660" s="362" t="s">
        <v>4751</v>
      </c>
      <c r="D2660" s="562">
        <v>242101150</v>
      </c>
      <c r="E2660" s="562">
        <v>9978650</v>
      </c>
      <c r="F2660" s="562">
        <v>252079800</v>
      </c>
      <c r="G2660" s="562">
        <f t="shared" si="46"/>
        <v>0</v>
      </c>
      <c r="H2660" s="562"/>
      <c r="I2660" s="562"/>
      <c r="J2660" s="562"/>
    </row>
    <row r="2661" spans="1:10" hidden="1" x14ac:dyDescent="0.25">
      <c r="A2661" s="362"/>
      <c r="B2661" s="611">
        <v>44233</v>
      </c>
      <c r="C2661" s="362" t="s">
        <v>166</v>
      </c>
      <c r="D2661" s="562"/>
      <c r="E2661" s="562"/>
      <c r="F2661" s="562"/>
      <c r="G2661" s="562">
        <f t="shared" si="46"/>
        <v>0</v>
      </c>
      <c r="H2661" s="562"/>
      <c r="I2661" s="562"/>
      <c r="J2661" s="562"/>
    </row>
    <row r="2662" spans="1:10" hidden="1" x14ac:dyDescent="0.25">
      <c r="A2662" s="362"/>
      <c r="B2662" s="611">
        <v>44233</v>
      </c>
      <c r="C2662" s="362" t="s">
        <v>3435</v>
      </c>
      <c r="D2662" s="562"/>
      <c r="E2662" s="562"/>
      <c r="F2662" s="562"/>
      <c r="G2662" s="562">
        <f t="shared" si="46"/>
        <v>0</v>
      </c>
      <c r="H2662" s="562"/>
      <c r="I2662" s="562"/>
      <c r="J2662" s="562"/>
    </row>
    <row r="2663" spans="1:10" hidden="1" x14ac:dyDescent="0.25">
      <c r="A2663" s="362"/>
      <c r="B2663" s="611">
        <v>44233</v>
      </c>
      <c r="C2663" s="370" t="s">
        <v>85</v>
      </c>
      <c r="D2663" s="562">
        <v>30206400</v>
      </c>
      <c r="E2663" s="562"/>
      <c r="F2663" s="562">
        <v>30206400</v>
      </c>
      <c r="G2663" s="562">
        <f t="shared" si="46"/>
        <v>0</v>
      </c>
      <c r="H2663" s="562"/>
      <c r="I2663" s="562"/>
      <c r="J2663" s="562"/>
    </row>
    <row r="2664" spans="1:10" hidden="1" x14ac:dyDescent="0.25">
      <c r="A2664" s="532"/>
      <c r="B2664" s="532"/>
      <c r="C2664" s="532"/>
      <c r="D2664" s="564">
        <f>SUM(D2649:D2663)</f>
        <v>1217312672</v>
      </c>
      <c r="E2664" s="564">
        <f t="shared" ref="E2664:G2664" si="48">SUM(E2649:E2663)</f>
        <v>381726348</v>
      </c>
      <c r="F2664" s="564">
        <f t="shared" si="48"/>
        <v>1599039900</v>
      </c>
      <c r="G2664" s="564">
        <f t="shared" si="48"/>
        <v>-880</v>
      </c>
      <c r="H2664" s="564"/>
      <c r="I2664" s="564"/>
      <c r="J2664" s="564"/>
    </row>
    <row r="2665" spans="1:10" hidden="1" x14ac:dyDescent="0.25">
      <c r="A2665" s="362"/>
      <c r="B2665" s="611">
        <v>44235</v>
      </c>
      <c r="C2665" s="362" t="s">
        <v>86</v>
      </c>
      <c r="D2665" s="562">
        <v>58970034</v>
      </c>
      <c r="E2665" s="562">
        <v>116200729</v>
      </c>
      <c r="F2665" s="562">
        <v>175170700</v>
      </c>
      <c r="G2665" s="562">
        <f t="shared" si="46"/>
        <v>63</v>
      </c>
      <c r="H2665" s="562"/>
      <c r="I2665" s="562"/>
      <c r="J2665" s="562"/>
    </row>
    <row r="2666" spans="1:10" hidden="1" x14ac:dyDescent="0.25">
      <c r="A2666" s="362"/>
      <c r="B2666" s="611">
        <v>44235</v>
      </c>
      <c r="C2666" s="362" t="s">
        <v>87</v>
      </c>
      <c r="D2666" s="562">
        <v>99242311</v>
      </c>
      <c r="E2666" s="562">
        <v>84510308</v>
      </c>
      <c r="F2666" s="562">
        <v>183752700</v>
      </c>
      <c r="G2666" s="562">
        <f t="shared" si="46"/>
        <v>-81</v>
      </c>
      <c r="H2666" s="562"/>
      <c r="I2666" s="562"/>
      <c r="J2666" s="562"/>
    </row>
    <row r="2667" spans="1:10" hidden="1" x14ac:dyDescent="0.25">
      <c r="A2667" s="362"/>
      <c r="B2667" s="611">
        <v>44235</v>
      </c>
      <c r="C2667" s="362" t="s">
        <v>88</v>
      </c>
      <c r="D2667" s="562">
        <v>130850597</v>
      </c>
      <c r="E2667" s="562">
        <v>102757572</v>
      </c>
      <c r="F2667" s="562">
        <v>233608200</v>
      </c>
      <c r="G2667" s="562">
        <f t="shared" si="46"/>
        <v>-31</v>
      </c>
      <c r="H2667" s="562"/>
      <c r="I2667" s="562"/>
      <c r="J2667" s="562"/>
    </row>
    <row r="2668" spans="1:10" hidden="1" x14ac:dyDescent="0.25">
      <c r="A2668" s="362"/>
      <c r="B2668" s="611">
        <v>44235</v>
      </c>
      <c r="C2668" s="362" t="s">
        <v>82</v>
      </c>
      <c r="D2668" s="562">
        <v>72936305</v>
      </c>
      <c r="E2668" s="562">
        <v>260515</v>
      </c>
      <c r="F2668" s="562">
        <v>73186900</v>
      </c>
      <c r="G2668" s="562">
        <f t="shared" si="46"/>
        <v>9920</v>
      </c>
      <c r="H2668" s="562"/>
      <c r="I2668" s="562"/>
      <c r="J2668" s="562"/>
    </row>
    <row r="2669" spans="1:10" hidden="1" x14ac:dyDescent="0.25">
      <c r="A2669" s="362"/>
      <c r="B2669" s="611">
        <v>44235</v>
      </c>
      <c r="C2669" s="362" t="s">
        <v>80</v>
      </c>
      <c r="D2669" s="562">
        <v>267190629</v>
      </c>
      <c r="E2669" s="562"/>
      <c r="F2669" s="562">
        <v>267190600</v>
      </c>
      <c r="G2669" s="562">
        <f t="shared" si="46"/>
        <v>29</v>
      </c>
      <c r="H2669" s="562"/>
      <c r="I2669" s="562"/>
      <c r="J2669" s="562"/>
    </row>
    <row r="2670" spans="1:10" hidden="1" x14ac:dyDescent="0.25">
      <c r="A2670" s="362"/>
      <c r="B2670" s="611">
        <v>44235</v>
      </c>
      <c r="C2670" s="362" t="s">
        <v>83</v>
      </c>
      <c r="D2670" s="562">
        <v>183210877</v>
      </c>
      <c r="E2670" s="562">
        <v>79986191</v>
      </c>
      <c r="F2670" s="562">
        <v>263197100</v>
      </c>
      <c r="G2670" s="562">
        <f t="shared" si="46"/>
        <v>-32</v>
      </c>
      <c r="H2670" s="562"/>
      <c r="I2670" s="562"/>
      <c r="J2670" s="562"/>
    </row>
    <row r="2671" spans="1:10" hidden="1" x14ac:dyDescent="0.25">
      <c r="A2671" s="362"/>
      <c r="B2671" s="611">
        <v>44235</v>
      </c>
      <c r="C2671" s="362" t="s">
        <v>78</v>
      </c>
      <c r="D2671" s="562">
        <v>61655857</v>
      </c>
      <c r="E2671" s="562">
        <v>2974443</v>
      </c>
      <c r="F2671" s="562">
        <v>64630300</v>
      </c>
      <c r="G2671" s="562">
        <f t="shared" si="46"/>
        <v>0</v>
      </c>
      <c r="H2671" s="562"/>
      <c r="I2671" s="562"/>
      <c r="J2671" s="562"/>
    </row>
    <row r="2672" spans="1:10" hidden="1" x14ac:dyDescent="0.25">
      <c r="A2672" s="362"/>
      <c r="B2672" s="611">
        <v>44235</v>
      </c>
      <c r="C2672" s="362" t="s">
        <v>141</v>
      </c>
      <c r="D2672" s="562">
        <v>34784276</v>
      </c>
      <c r="E2672" s="562">
        <v>4346280</v>
      </c>
      <c r="F2672" s="562">
        <v>39130600</v>
      </c>
      <c r="G2672" s="562">
        <f t="shared" si="46"/>
        <v>-44</v>
      </c>
      <c r="H2672" s="562"/>
      <c r="I2672" s="562"/>
      <c r="J2672" s="562"/>
    </row>
    <row r="2673" spans="1:10" hidden="1" x14ac:dyDescent="0.25">
      <c r="A2673" s="362"/>
      <c r="B2673" s="611">
        <v>44235</v>
      </c>
      <c r="C2673" s="362" t="s">
        <v>89</v>
      </c>
      <c r="D2673" s="562">
        <v>118815195</v>
      </c>
      <c r="E2673" s="562">
        <v>38501105</v>
      </c>
      <c r="F2673" s="562">
        <v>157316300</v>
      </c>
      <c r="G2673" s="562">
        <f t="shared" si="46"/>
        <v>0</v>
      </c>
      <c r="H2673" s="562"/>
      <c r="I2673" s="562"/>
      <c r="J2673" s="562"/>
    </row>
    <row r="2674" spans="1:10" hidden="1" x14ac:dyDescent="0.25">
      <c r="A2674" s="362"/>
      <c r="B2674" s="611">
        <v>44235</v>
      </c>
      <c r="C2674" s="362" t="s">
        <v>81</v>
      </c>
      <c r="D2674" s="562">
        <v>127174863</v>
      </c>
      <c r="E2674" s="562">
        <v>25036237</v>
      </c>
      <c r="F2674" s="562">
        <v>152211100</v>
      </c>
      <c r="G2674" s="562">
        <f t="shared" si="46"/>
        <v>0</v>
      </c>
      <c r="H2674" s="562"/>
      <c r="I2674" s="562"/>
      <c r="J2674" s="562"/>
    </row>
    <row r="2675" spans="1:10" hidden="1" x14ac:dyDescent="0.25">
      <c r="A2675" s="362"/>
      <c r="B2675" s="611">
        <v>44235</v>
      </c>
      <c r="C2675" s="362" t="s">
        <v>84</v>
      </c>
      <c r="D2675" s="562">
        <v>242587441</v>
      </c>
      <c r="E2675" s="562">
        <v>11810343</v>
      </c>
      <c r="F2675" s="562">
        <v>254397700</v>
      </c>
      <c r="G2675" s="562">
        <f t="shared" si="46"/>
        <v>84</v>
      </c>
      <c r="H2675" s="562"/>
      <c r="I2675" s="562"/>
      <c r="J2675" s="562"/>
    </row>
    <row r="2676" spans="1:10" hidden="1" x14ac:dyDescent="0.25">
      <c r="A2676" s="362"/>
      <c r="B2676" s="611">
        <v>44235</v>
      </c>
      <c r="C2676" s="362" t="s">
        <v>4751</v>
      </c>
      <c r="D2676" s="562">
        <v>176275927</v>
      </c>
      <c r="E2676" s="562">
        <v>8233773</v>
      </c>
      <c r="F2676" s="562">
        <v>184509700</v>
      </c>
      <c r="G2676" s="562">
        <f t="shared" si="46"/>
        <v>0</v>
      </c>
      <c r="H2676" s="562"/>
      <c r="I2676" s="562"/>
      <c r="J2676" s="562"/>
    </row>
    <row r="2677" spans="1:10" hidden="1" x14ac:dyDescent="0.25">
      <c r="A2677" s="362"/>
      <c r="B2677" s="611">
        <v>44235</v>
      </c>
      <c r="C2677" s="362" t="s">
        <v>166</v>
      </c>
      <c r="D2677" s="562">
        <v>58316237</v>
      </c>
      <c r="E2677" s="562"/>
      <c r="F2677" s="562">
        <v>58316500</v>
      </c>
      <c r="G2677" s="562">
        <f t="shared" si="46"/>
        <v>-263</v>
      </c>
      <c r="H2677" s="562"/>
      <c r="I2677" s="562"/>
      <c r="J2677" s="562"/>
    </row>
    <row r="2678" spans="1:10" hidden="1" x14ac:dyDescent="0.25">
      <c r="A2678" s="362"/>
      <c r="B2678" s="611">
        <v>44235</v>
      </c>
      <c r="C2678" s="362" t="s">
        <v>3435</v>
      </c>
      <c r="D2678" s="562">
        <v>49213262</v>
      </c>
      <c r="E2678" s="562"/>
      <c r="F2678" s="562">
        <v>49213300</v>
      </c>
      <c r="G2678" s="562">
        <f t="shared" si="46"/>
        <v>-38</v>
      </c>
      <c r="H2678" s="562"/>
      <c r="I2678" s="562"/>
      <c r="J2678" s="562"/>
    </row>
    <row r="2679" spans="1:10" hidden="1" x14ac:dyDescent="0.25">
      <c r="A2679" s="362"/>
      <c r="B2679" s="611">
        <v>44235</v>
      </c>
      <c r="C2679" s="370" t="s">
        <v>85</v>
      </c>
      <c r="D2679" s="562">
        <v>62586300</v>
      </c>
      <c r="E2679" s="562"/>
      <c r="F2679" s="562">
        <v>62586300</v>
      </c>
      <c r="G2679" s="562">
        <f t="shared" si="46"/>
        <v>0</v>
      </c>
      <c r="H2679" s="562"/>
      <c r="I2679" s="562"/>
      <c r="J2679" s="562"/>
    </row>
    <row r="2680" spans="1:10" hidden="1" x14ac:dyDescent="0.25">
      <c r="A2680" s="532"/>
      <c r="B2680" s="532"/>
      <c r="C2680" s="532"/>
      <c r="D2680" s="564">
        <f>SUM(D2665:D2679)</f>
        <v>1743810111</v>
      </c>
      <c r="E2680" s="564">
        <f t="shared" ref="E2680:G2680" si="49">SUM(E2665:E2679)</f>
        <v>474617496</v>
      </c>
      <c r="F2680" s="564">
        <f t="shared" si="49"/>
        <v>2218418000</v>
      </c>
      <c r="G2680" s="564">
        <f t="shared" si="49"/>
        <v>9607</v>
      </c>
      <c r="H2680" s="564"/>
      <c r="I2680" s="564"/>
      <c r="J2680" s="564"/>
    </row>
    <row r="2681" spans="1:10" hidden="1" x14ac:dyDescent="0.25">
      <c r="A2681" s="362"/>
      <c r="B2681" s="611">
        <v>44236</v>
      </c>
      <c r="C2681" s="362" t="s">
        <v>86</v>
      </c>
      <c r="D2681" s="562">
        <v>73546393</v>
      </c>
      <c r="E2681" s="562">
        <v>49091388</v>
      </c>
      <c r="F2681" s="562">
        <v>122637700</v>
      </c>
      <c r="G2681" s="562">
        <f t="shared" si="46"/>
        <v>81</v>
      </c>
      <c r="H2681" s="562"/>
      <c r="I2681" s="562"/>
      <c r="J2681" s="562"/>
    </row>
    <row r="2682" spans="1:10" hidden="1" x14ac:dyDescent="0.25">
      <c r="A2682" s="362"/>
      <c r="B2682" s="611">
        <v>44236</v>
      </c>
      <c r="C2682" s="362" t="s">
        <v>87</v>
      </c>
      <c r="D2682" s="562">
        <v>190192804</v>
      </c>
      <c r="E2682" s="562">
        <v>68133052</v>
      </c>
      <c r="F2682" s="562">
        <v>258325700</v>
      </c>
      <c r="G2682" s="562">
        <f t="shared" si="46"/>
        <v>156</v>
      </c>
      <c r="H2682" s="562"/>
      <c r="I2682" s="562"/>
      <c r="J2682" s="562"/>
    </row>
    <row r="2683" spans="1:10" hidden="1" x14ac:dyDescent="0.25">
      <c r="A2683" s="362"/>
      <c r="B2683" s="611">
        <v>44236</v>
      </c>
      <c r="C2683" s="362" t="s">
        <v>88</v>
      </c>
      <c r="D2683" s="562">
        <v>186855560</v>
      </c>
      <c r="E2683" s="562">
        <v>85164320</v>
      </c>
      <c r="F2683" s="562">
        <v>272019900</v>
      </c>
      <c r="G2683" s="562">
        <f t="shared" si="46"/>
        <v>-20</v>
      </c>
      <c r="H2683" s="562"/>
      <c r="I2683" s="562"/>
      <c r="J2683" s="562"/>
    </row>
    <row r="2684" spans="1:10" hidden="1" x14ac:dyDescent="0.25">
      <c r="A2684" s="362"/>
      <c r="B2684" s="611">
        <v>44236</v>
      </c>
      <c r="C2684" s="362" t="s">
        <v>82</v>
      </c>
      <c r="D2684" s="562">
        <v>83114979</v>
      </c>
      <c r="E2684" s="562">
        <v>2325656</v>
      </c>
      <c r="F2684" s="562">
        <v>85440700</v>
      </c>
      <c r="G2684" s="562">
        <f t="shared" si="46"/>
        <v>-65</v>
      </c>
      <c r="H2684" s="562"/>
      <c r="I2684" s="562"/>
      <c r="J2684" s="562"/>
    </row>
    <row r="2685" spans="1:10" hidden="1" x14ac:dyDescent="0.25">
      <c r="A2685" s="362"/>
      <c r="B2685" s="611">
        <v>44236</v>
      </c>
      <c r="C2685" s="362" t="s">
        <v>80</v>
      </c>
      <c r="D2685" s="562">
        <v>230619000</v>
      </c>
      <c r="E2685" s="562"/>
      <c r="F2685" s="562">
        <v>230619000</v>
      </c>
      <c r="G2685" s="562">
        <f t="shared" si="46"/>
        <v>0</v>
      </c>
      <c r="H2685" s="562"/>
      <c r="I2685" s="562"/>
      <c r="J2685" s="562"/>
    </row>
    <row r="2686" spans="1:10" hidden="1" x14ac:dyDescent="0.25">
      <c r="A2686" s="362"/>
      <c r="B2686" s="611">
        <v>44236</v>
      </c>
      <c r="C2686" s="362" t="s">
        <v>83</v>
      </c>
      <c r="D2686" s="562">
        <v>344728821</v>
      </c>
      <c r="E2686" s="562">
        <v>201674235</v>
      </c>
      <c r="F2686" s="562">
        <v>546403100</v>
      </c>
      <c r="G2686" s="562">
        <f t="shared" si="46"/>
        <v>-44</v>
      </c>
      <c r="H2686" s="562"/>
      <c r="I2686" s="562"/>
      <c r="J2686" s="562"/>
    </row>
    <row r="2687" spans="1:10" hidden="1" x14ac:dyDescent="0.25">
      <c r="A2687" s="362"/>
      <c r="B2687" s="611">
        <v>44236</v>
      </c>
      <c r="C2687" s="362" t="s">
        <v>78</v>
      </c>
      <c r="D2687" s="562">
        <v>119826903</v>
      </c>
      <c r="E2687" s="562">
        <v>3904297</v>
      </c>
      <c r="F2687" s="562">
        <v>123731200</v>
      </c>
      <c r="G2687" s="562">
        <f t="shared" si="46"/>
        <v>0</v>
      </c>
      <c r="H2687" s="562"/>
      <c r="I2687" s="562"/>
      <c r="J2687" s="562"/>
    </row>
    <row r="2688" spans="1:10" hidden="1" x14ac:dyDescent="0.25">
      <c r="A2688" s="362"/>
      <c r="B2688" s="611">
        <v>44236</v>
      </c>
      <c r="C2688" s="362" t="s">
        <v>141</v>
      </c>
      <c r="D2688" s="562">
        <v>109235231</v>
      </c>
      <c r="E2688" s="562">
        <v>18985851</v>
      </c>
      <c r="F2688" s="562">
        <v>128221100</v>
      </c>
      <c r="G2688" s="562">
        <f t="shared" si="46"/>
        <v>-18</v>
      </c>
      <c r="H2688" s="562"/>
      <c r="I2688" s="562"/>
      <c r="J2688" s="562"/>
    </row>
    <row r="2689" spans="1:11" hidden="1" x14ac:dyDescent="0.25">
      <c r="A2689" s="362"/>
      <c r="B2689" s="611">
        <v>44236</v>
      </c>
      <c r="C2689" s="362" t="s">
        <v>89</v>
      </c>
      <c r="D2689" s="562">
        <v>212329897</v>
      </c>
      <c r="E2689" s="562">
        <v>18287203</v>
      </c>
      <c r="F2689" s="562">
        <v>230617100</v>
      </c>
      <c r="G2689" s="562">
        <f t="shared" si="46"/>
        <v>0</v>
      </c>
      <c r="H2689" s="562"/>
      <c r="I2689" s="562"/>
      <c r="J2689" s="562"/>
    </row>
    <row r="2690" spans="1:11" hidden="1" x14ac:dyDescent="0.25">
      <c r="A2690" s="362"/>
      <c r="B2690" s="611">
        <v>44236</v>
      </c>
      <c r="C2690" s="362" t="s">
        <v>81</v>
      </c>
      <c r="D2690" s="562">
        <v>111077672</v>
      </c>
      <c r="E2690" s="562">
        <v>14007670</v>
      </c>
      <c r="F2690" s="562">
        <v>125085400</v>
      </c>
      <c r="G2690" s="562">
        <f t="shared" si="46"/>
        <v>-58</v>
      </c>
      <c r="H2690" s="562"/>
      <c r="I2690" s="562"/>
      <c r="J2690" s="562"/>
    </row>
    <row r="2691" spans="1:11" hidden="1" x14ac:dyDescent="0.25">
      <c r="A2691" s="362"/>
      <c r="B2691" s="611">
        <v>44236</v>
      </c>
      <c r="C2691" s="362" t="s">
        <v>84</v>
      </c>
      <c r="D2691" s="562">
        <v>237657195</v>
      </c>
      <c r="E2691" s="562">
        <v>10217682</v>
      </c>
      <c r="F2691" s="562">
        <v>247874800</v>
      </c>
      <c r="G2691" s="562">
        <f t="shared" si="46"/>
        <v>77</v>
      </c>
      <c r="H2691" s="562"/>
      <c r="I2691" s="562"/>
      <c r="J2691" s="562"/>
    </row>
    <row r="2692" spans="1:11" hidden="1" x14ac:dyDescent="0.25">
      <c r="A2692" s="362"/>
      <c r="B2692" s="611">
        <v>44236</v>
      </c>
      <c r="C2692" s="362" t="s">
        <v>4751</v>
      </c>
      <c r="D2692" s="562">
        <v>253521790</v>
      </c>
      <c r="E2692" s="562">
        <v>9718110</v>
      </c>
      <c r="F2692" s="562">
        <v>263239900</v>
      </c>
      <c r="G2692" s="562">
        <f t="shared" si="46"/>
        <v>0</v>
      </c>
      <c r="H2692" s="562"/>
      <c r="I2692" s="562"/>
      <c r="J2692" s="562"/>
    </row>
    <row r="2693" spans="1:11" hidden="1" x14ac:dyDescent="0.25">
      <c r="A2693" s="362"/>
      <c r="B2693" s="611">
        <v>44236</v>
      </c>
      <c r="C2693" s="362" t="s">
        <v>166</v>
      </c>
      <c r="D2693" s="562">
        <v>45189371</v>
      </c>
      <c r="F2693" s="562">
        <v>45189400</v>
      </c>
      <c r="G2693" s="562">
        <f t="shared" si="46"/>
        <v>-29</v>
      </c>
      <c r="H2693" s="562"/>
      <c r="I2693" s="562"/>
      <c r="J2693" s="562"/>
    </row>
    <row r="2694" spans="1:11" hidden="1" x14ac:dyDescent="0.25">
      <c r="A2694" s="362"/>
      <c r="B2694" s="611">
        <v>44236</v>
      </c>
      <c r="C2694" s="362" t="s">
        <v>3435</v>
      </c>
      <c r="D2694" s="562">
        <v>35252121</v>
      </c>
      <c r="E2694" s="562"/>
      <c r="F2694" s="562">
        <v>35252200</v>
      </c>
      <c r="G2694" s="562">
        <f t="shared" si="46"/>
        <v>-79</v>
      </c>
      <c r="H2694" s="562"/>
      <c r="I2694" s="562"/>
      <c r="J2694" s="562"/>
    </row>
    <row r="2695" spans="1:11" hidden="1" x14ac:dyDescent="0.25">
      <c r="A2695" s="362"/>
      <c r="B2695" s="611">
        <v>44236</v>
      </c>
      <c r="C2695" s="370" t="s">
        <v>85</v>
      </c>
      <c r="D2695" s="562">
        <v>32074100</v>
      </c>
      <c r="E2695" s="562"/>
      <c r="F2695" s="562">
        <v>32074100</v>
      </c>
      <c r="G2695" s="562">
        <f t="shared" si="46"/>
        <v>0</v>
      </c>
      <c r="H2695" s="562"/>
      <c r="I2695" s="562"/>
      <c r="J2695" s="562"/>
    </row>
    <row r="2696" spans="1:11" hidden="1" x14ac:dyDescent="0.25">
      <c r="A2696" s="532"/>
      <c r="B2696" s="532"/>
      <c r="C2696" s="532"/>
      <c r="D2696" s="564">
        <f>SUM(D2681:D2695)</f>
        <v>2265221837</v>
      </c>
      <c r="E2696" s="564">
        <f t="shared" ref="E2696:G2696" si="50">SUM(E2681:E2695)</f>
        <v>481509464</v>
      </c>
      <c r="F2696" s="564">
        <f t="shared" si="50"/>
        <v>2746731300</v>
      </c>
      <c r="G2696" s="564">
        <f t="shared" si="50"/>
        <v>1</v>
      </c>
      <c r="H2696" s="564"/>
      <c r="I2696" s="564"/>
      <c r="J2696" s="564"/>
    </row>
    <row r="2697" spans="1:11" hidden="1" x14ac:dyDescent="0.25">
      <c r="A2697" s="362"/>
      <c r="B2697" s="611">
        <v>44237</v>
      </c>
      <c r="C2697" s="362" t="s">
        <v>86</v>
      </c>
      <c r="D2697" s="562">
        <v>74920489</v>
      </c>
      <c r="E2697" s="562">
        <v>23399586</v>
      </c>
      <c r="F2697" s="562">
        <v>98320000</v>
      </c>
      <c r="G2697" s="562">
        <f t="shared" si="46"/>
        <v>75</v>
      </c>
      <c r="H2697" s="562"/>
      <c r="I2697" s="562"/>
      <c r="J2697" s="562"/>
    </row>
    <row r="2698" spans="1:11" hidden="1" x14ac:dyDescent="0.25">
      <c r="A2698" s="362"/>
      <c r="B2698" s="611">
        <v>44237</v>
      </c>
      <c r="C2698" s="362" t="s">
        <v>87</v>
      </c>
      <c r="D2698" s="562">
        <v>64332270</v>
      </c>
      <c r="E2698" s="562">
        <v>39305498</v>
      </c>
      <c r="F2698" s="562">
        <v>103637800</v>
      </c>
      <c r="G2698" s="562">
        <f t="shared" ref="G2698:G2727" si="51">D2698+E2698-F2698</f>
        <v>-32</v>
      </c>
      <c r="H2698" s="562"/>
      <c r="I2698" s="562"/>
      <c r="J2698" s="562"/>
    </row>
    <row r="2699" spans="1:11" hidden="1" x14ac:dyDescent="0.25">
      <c r="A2699" s="362"/>
      <c r="B2699" s="611">
        <v>44237</v>
      </c>
      <c r="C2699" s="362" t="s">
        <v>88</v>
      </c>
      <c r="D2699" s="562">
        <v>128817252</v>
      </c>
      <c r="E2699" s="562">
        <v>48929626</v>
      </c>
      <c r="F2699" s="562">
        <v>177746900</v>
      </c>
      <c r="G2699" s="562">
        <f t="shared" si="51"/>
        <v>-22</v>
      </c>
      <c r="H2699" s="562"/>
      <c r="I2699" s="562"/>
      <c r="J2699" s="562"/>
    </row>
    <row r="2700" spans="1:11" hidden="1" x14ac:dyDescent="0.25">
      <c r="A2700" s="362"/>
      <c r="B2700" s="611">
        <v>44237</v>
      </c>
      <c r="C2700" s="362" t="s">
        <v>82</v>
      </c>
      <c r="D2700" s="562">
        <v>178632262</v>
      </c>
      <c r="E2700" s="562">
        <v>2070793</v>
      </c>
      <c r="F2700" s="562">
        <v>180703100</v>
      </c>
      <c r="G2700" s="562">
        <f t="shared" si="51"/>
        <v>-45</v>
      </c>
      <c r="H2700" s="562"/>
      <c r="I2700" s="562"/>
      <c r="J2700" s="562"/>
    </row>
    <row r="2701" spans="1:11" hidden="1" x14ac:dyDescent="0.25">
      <c r="A2701" s="362"/>
      <c r="B2701" s="611">
        <v>44237</v>
      </c>
      <c r="C2701" s="362" t="s">
        <v>80</v>
      </c>
      <c r="D2701" s="562">
        <v>293440150</v>
      </c>
      <c r="E2701" s="562"/>
      <c r="F2701" s="562">
        <v>293440100</v>
      </c>
      <c r="G2701" s="562">
        <f t="shared" si="51"/>
        <v>50</v>
      </c>
      <c r="H2701" s="562"/>
      <c r="I2701" s="562"/>
      <c r="J2701" s="562"/>
    </row>
    <row r="2702" spans="1:11" hidden="1" x14ac:dyDescent="0.25">
      <c r="A2702" s="362"/>
      <c r="B2702" s="611">
        <v>44237</v>
      </c>
      <c r="C2702" s="362" t="s">
        <v>83</v>
      </c>
      <c r="D2702" s="562">
        <v>200798338</v>
      </c>
      <c r="E2702" s="562">
        <v>14166706</v>
      </c>
      <c r="F2702" s="562">
        <v>214965100</v>
      </c>
      <c r="G2702" s="562">
        <f t="shared" si="51"/>
        <v>-56</v>
      </c>
      <c r="H2702" s="562"/>
      <c r="I2702" s="562"/>
      <c r="J2702" s="562"/>
    </row>
    <row r="2703" spans="1:11" hidden="1" x14ac:dyDescent="0.25">
      <c r="A2703" s="362"/>
      <c r="B2703" s="611">
        <v>44237</v>
      </c>
      <c r="C2703" s="362" t="s">
        <v>78</v>
      </c>
      <c r="D2703" s="562">
        <v>185734582</v>
      </c>
      <c r="E2703" s="562">
        <v>3864818</v>
      </c>
      <c r="F2703" s="562">
        <v>189599400</v>
      </c>
      <c r="G2703" s="562">
        <f t="shared" si="51"/>
        <v>0</v>
      </c>
      <c r="H2703" s="562"/>
      <c r="I2703" s="562"/>
      <c r="J2703" s="562"/>
    </row>
    <row r="2704" spans="1:11" hidden="1" x14ac:dyDescent="0.25">
      <c r="A2704" s="362"/>
      <c r="B2704" s="611">
        <v>44237</v>
      </c>
      <c r="C2704" s="362" t="s">
        <v>141</v>
      </c>
      <c r="D2704" s="562">
        <v>54626523</v>
      </c>
      <c r="E2704" s="562">
        <v>1800761</v>
      </c>
      <c r="F2704" s="562">
        <v>56427300</v>
      </c>
      <c r="G2704" s="562">
        <f t="shared" si="51"/>
        <v>-16</v>
      </c>
      <c r="H2704" s="562"/>
      <c r="I2704" s="562"/>
      <c r="J2704" s="562"/>
      <c r="K2704">
        <f>2485800+2829600+3801600</f>
        <v>9117000</v>
      </c>
    </row>
    <row r="2705" spans="1:10" hidden="1" x14ac:dyDescent="0.25">
      <c r="A2705" s="362"/>
      <c r="B2705" s="611">
        <v>44237</v>
      </c>
      <c r="C2705" s="362" t="s">
        <v>89</v>
      </c>
      <c r="D2705" s="562">
        <v>102177905</v>
      </c>
      <c r="E2705" s="562">
        <v>31292495</v>
      </c>
      <c r="F2705" s="562">
        <v>133470400</v>
      </c>
      <c r="G2705" s="562">
        <f t="shared" si="51"/>
        <v>0</v>
      </c>
      <c r="H2705" s="562"/>
      <c r="I2705" s="562"/>
      <c r="J2705" s="562"/>
    </row>
    <row r="2706" spans="1:10" hidden="1" x14ac:dyDescent="0.25">
      <c r="A2706" s="362"/>
      <c r="B2706" s="611">
        <v>44237</v>
      </c>
      <c r="C2706" s="362" t="s">
        <v>81</v>
      </c>
      <c r="D2706" s="562">
        <v>109869621</v>
      </c>
      <c r="E2706" s="562">
        <v>40396837</v>
      </c>
      <c r="F2706" s="562">
        <v>150266500</v>
      </c>
      <c r="G2706" s="562">
        <f t="shared" si="51"/>
        <v>-42</v>
      </c>
      <c r="H2706" s="562"/>
      <c r="I2706" s="562"/>
      <c r="J2706" s="562"/>
    </row>
    <row r="2707" spans="1:10" hidden="1" x14ac:dyDescent="0.25">
      <c r="A2707" s="362"/>
      <c r="B2707" s="611">
        <v>44237</v>
      </c>
      <c r="C2707" s="362" t="s">
        <v>84</v>
      </c>
      <c r="D2707" s="562">
        <v>266087350</v>
      </c>
      <c r="E2707" s="562">
        <v>4579537</v>
      </c>
      <c r="F2707" s="562">
        <v>270666900</v>
      </c>
      <c r="G2707" s="562">
        <f t="shared" si="51"/>
        <v>-13</v>
      </c>
      <c r="H2707" s="562"/>
      <c r="I2707" s="562"/>
      <c r="J2707" s="562"/>
    </row>
    <row r="2708" spans="1:10" hidden="1" x14ac:dyDescent="0.25">
      <c r="A2708" s="362"/>
      <c r="B2708" s="611">
        <v>44237</v>
      </c>
      <c r="C2708" s="362" t="s">
        <v>4751</v>
      </c>
      <c r="D2708" s="562">
        <v>180821541</v>
      </c>
      <c r="E2708" s="562">
        <v>18090159</v>
      </c>
      <c r="F2708" s="562">
        <v>198911700</v>
      </c>
      <c r="G2708" s="562">
        <f t="shared" si="51"/>
        <v>0</v>
      </c>
      <c r="H2708" s="562"/>
      <c r="I2708" s="562"/>
      <c r="J2708" s="562"/>
    </row>
    <row r="2709" spans="1:10" hidden="1" x14ac:dyDescent="0.25">
      <c r="A2709" s="362"/>
      <c r="B2709" s="611">
        <v>44237</v>
      </c>
      <c r="C2709" s="362" t="s">
        <v>166</v>
      </c>
      <c r="D2709" s="562">
        <v>89189887</v>
      </c>
      <c r="E2709" s="562"/>
      <c r="F2709" s="562">
        <v>89189900</v>
      </c>
      <c r="G2709" s="562">
        <f t="shared" si="51"/>
        <v>-13</v>
      </c>
      <c r="H2709" s="562"/>
      <c r="I2709" s="562"/>
      <c r="J2709" s="562"/>
    </row>
    <row r="2710" spans="1:10" hidden="1" x14ac:dyDescent="0.25">
      <c r="A2710" s="362"/>
      <c r="B2710" s="611">
        <v>44237</v>
      </c>
      <c r="C2710" s="362" t="s">
        <v>3435</v>
      </c>
      <c r="D2710" s="562">
        <v>58841180</v>
      </c>
      <c r="E2710" s="562"/>
      <c r="F2710" s="562">
        <v>58841200</v>
      </c>
      <c r="G2710" s="562">
        <f t="shared" si="51"/>
        <v>-20</v>
      </c>
      <c r="H2710" s="562"/>
      <c r="I2710" s="562"/>
      <c r="J2710" s="562"/>
    </row>
    <row r="2711" spans="1:10" hidden="1" x14ac:dyDescent="0.25">
      <c r="A2711" s="362"/>
      <c r="B2711" s="611">
        <v>44237</v>
      </c>
      <c r="C2711" s="370" t="s">
        <v>85</v>
      </c>
      <c r="D2711" s="562">
        <v>41904700</v>
      </c>
      <c r="E2711" s="562"/>
      <c r="F2711" s="562">
        <v>41904700</v>
      </c>
      <c r="G2711" s="562">
        <f t="shared" si="51"/>
        <v>0</v>
      </c>
      <c r="H2711" s="562"/>
      <c r="I2711" s="562"/>
      <c r="J2711" s="562"/>
    </row>
    <row r="2712" spans="1:10" hidden="1" x14ac:dyDescent="0.25">
      <c r="A2712" s="532"/>
      <c r="B2712" s="532"/>
      <c r="C2712" s="532"/>
      <c r="D2712" s="564">
        <f>SUM(D2697:D2711)</f>
        <v>2030194050</v>
      </c>
      <c r="E2712" s="564">
        <f t="shared" ref="E2712:G2712" si="52">SUM(E2697:E2711)</f>
        <v>227896816</v>
      </c>
      <c r="F2712" s="564">
        <f t="shared" si="52"/>
        <v>2258091000</v>
      </c>
      <c r="G2712" s="564">
        <f t="shared" si="52"/>
        <v>-134</v>
      </c>
      <c r="H2712" s="564"/>
      <c r="I2712" s="564"/>
      <c r="J2712" s="564"/>
    </row>
    <row r="2713" spans="1:10" hidden="1" x14ac:dyDescent="0.25">
      <c r="A2713" s="362"/>
      <c r="B2713" s="611">
        <v>44238</v>
      </c>
      <c r="C2713" s="362" t="s">
        <v>86</v>
      </c>
      <c r="D2713" s="562">
        <v>74051615</v>
      </c>
      <c r="E2713" s="562">
        <v>152088385</v>
      </c>
      <c r="F2713" s="562">
        <v>226140000</v>
      </c>
      <c r="G2713" s="562">
        <f t="shared" si="51"/>
        <v>0</v>
      </c>
      <c r="H2713" s="562"/>
      <c r="I2713" s="562"/>
      <c r="J2713" s="562"/>
    </row>
    <row r="2714" spans="1:10" hidden="1" x14ac:dyDescent="0.25">
      <c r="A2714" s="362"/>
      <c r="B2714" s="611">
        <v>44238</v>
      </c>
      <c r="C2714" s="362" t="s">
        <v>87</v>
      </c>
      <c r="D2714" s="562">
        <v>64957022</v>
      </c>
      <c r="E2714" s="562">
        <v>14681615</v>
      </c>
      <c r="F2714" s="562">
        <v>79639000</v>
      </c>
      <c r="G2714" s="562">
        <f t="shared" si="51"/>
        <v>-363</v>
      </c>
      <c r="H2714" s="562"/>
      <c r="I2714" s="562"/>
      <c r="J2714" s="562"/>
    </row>
    <row r="2715" spans="1:10" hidden="1" x14ac:dyDescent="0.25">
      <c r="A2715" s="362"/>
      <c r="B2715" s="611">
        <v>44238</v>
      </c>
      <c r="C2715" s="362" t="s">
        <v>88</v>
      </c>
      <c r="D2715" s="562">
        <v>168343342</v>
      </c>
      <c r="E2715" s="562">
        <v>172105968</v>
      </c>
      <c r="F2715" s="562">
        <v>340449400</v>
      </c>
      <c r="G2715" s="562">
        <f t="shared" si="51"/>
        <v>-90</v>
      </c>
      <c r="H2715" s="562"/>
      <c r="I2715" s="562"/>
      <c r="J2715" s="562"/>
    </row>
    <row r="2716" spans="1:10" hidden="1" x14ac:dyDescent="0.25">
      <c r="A2716" s="362"/>
      <c r="B2716" s="611">
        <v>44238</v>
      </c>
      <c r="C2716" s="362" t="s">
        <v>82</v>
      </c>
      <c r="D2716" s="562">
        <v>213159596</v>
      </c>
      <c r="E2716" s="562">
        <v>5066519</v>
      </c>
      <c r="F2716" s="562">
        <v>218226100</v>
      </c>
      <c r="G2716" s="562">
        <f t="shared" si="51"/>
        <v>15</v>
      </c>
      <c r="H2716" s="562"/>
      <c r="I2716" s="562"/>
      <c r="J2716" s="562"/>
    </row>
    <row r="2717" spans="1:10" hidden="1" x14ac:dyDescent="0.25">
      <c r="A2717" s="362"/>
      <c r="B2717" s="611">
        <v>44238</v>
      </c>
      <c r="C2717" s="362" t="s">
        <v>80</v>
      </c>
      <c r="D2717" s="562">
        <v>183598648</v>
      </c>
      <c r="E2717" s="562">
        <v>18498452</v>
      </c>
      <c r="F2717" s="562">
        <v>202094200</v>
      </c>
      <c r="G2717" s="562">
        <f t="shared" si="51"/>
        <v>2900</v>
      </c>
      <c r="H2717" s="562"/>
      <c r="I2717" s="562"/>
      <c r="J2717" s="562"/>
    </row>
    <row r="2718" spans="1:10" hidden="1" x14ac:dyDescent="0.25">
      <c r="A2718" s="362"/>
      <c r="B2718" s="611">
        <v>44238</v>
      </c>
      <c r="C2718" s="362" t="s">
        <v>83</v>
      </c>
      <c r="D2718" s="562">
        <v>298968594</v>
      </c>
      <c r="E2718" s="562">
        <v>7847967</v>
      </c>
      <c r="F2718" s="562">
        <v>306816600</v>
      </c>
      <c r="G2718" s="562">
        <f t="shared" si="51"/>
        <v>-39</v>
      </c>
      <c r="H2718" s="562"/>
      <c r="I2718" s="562"/>
      <c r="J2718" s="562"/>
    </row>
    <row r="2719" spans="1:10" hidden="1" x14ac:dyDescent="0.25">
      <c r="A2719" s="362"/>
      <c r="B2719" s="611">
        <v>44238</v>
      </c>
      <c r="C2719" s="362" t="s">
        <v>78</v>
      </c>
      <c r="D2719" s="562">
        <v>97839962</v>
      </c>
      <c r="E2719" s="562">
        <v>8711538</v>
      </c>
      <c r="F2719" s="562">
        <v>106551500</v>
      </c>
      <c r="G2719" s="562">
        <f t="shared" si="51"/>
        <v>0</v>
      </c>
      <c r="H2719" s="562"/>
      <c r="I2719" s="562"/>
      <c r="J2719" s="562"/>
    </row>
    <row r="2720" spans="1:10" hidden="1" x14ac:dyDescent="0.25">
      <c r="A2720" s="362"/>
      <c r="B2720" s="611">
        <v>44238</v>
      </c>
      <c r="C2720" s="362" t="s">
        <v>141</v>
      </c>
      <c r="D2720" s="562">
        <v>94208858</v>
      </c>
      <c r="E2720" s="562">
        <v>337400</v>
      </c>
      <c r="F2720" s="562">
        <v>94547100</v>
      </c>
      <c r="G2720" s="562">
        <f t="shared" si="51"/>
        <v>-842</v>
      </c>
      <c r="H2720" s="562"/>
      <c r="I2720" s="562"/>
      <c r="J2720" s="562"/>
    </row>
    <row r="2721" spans="1:10" hidden="1" x14ac:dyDescent="0.25">
      <c r="A2721" s="362"/>
      <c r="B2721" s="611">
        <v>44238</v>
      </c>
      <c r="C2721" s="362" t="s">
        <v>89</v>
      </c>
      <c r="D2721" s="562">
        <v>179847899</v>
      </c>
      <c r="E2721" s="562">
        <v>20414101</v>
      </c>
      <c r="F2721" s="562">
        <v>200262000</v>
      </c>
      <c r="G2721" s="562">
        <f t="shared" si="51"/>
        <v>0</v>
      </c>
      <c r="H2721" s="562"/>
      <c r="I2721" s="562"/>
      <c r="J2721" s="562"/>
    </row>
    <row r="2722" spans="1:10" hidden="1" x14ac:dyDescent="0.25">
      <c r="A2722" s="362"/>
      <c r="B2722" s="611">
        <v>44238</v>
      </c>
      <c r="C2722" s="362" t="s">
        <v>81</v>
      </c>
      <c r="D2722" s="562">
        <v>57509387</v>
      </c>
      <c r="E2722" s="562">
        <v>7640563</v>
      </c>
      <c r="F2722" s="562">
        <v>65150000</v>
      </c>
      <c r="G2722" s="562">
        <f t="shared" si="51"/>
        <v>-50</v>
      </c>
      <c r="H2722" s="562"/>
      <c r="I2722" s="562"/>
      <c r="J2722" s="562"/>
    </row>
    <row r="2723" spans="1:10" hidden="1" x14ac:dyDescent="0.25">
      <c r="A2723" s="362"/>
      <c r="B2723" s="611">
        <v>44238</v>
      </c>
      <c r="C2723" s="362" t="s">
        <v>84</v>
      </c>
      <c r="D2723" s="562">
        <v>395494022</v>
      </c>
      <c r="E2723" s="562">
        <v>7091142</v>
      </c>
      <c r="F2723" s="562">
        <v>402584600</v>
      </c>
      <c r="G2723" s="562">
        <f t="shared" si="51"/>
        <v>564</v>
      </c>
      <c r="H2723" s="562"/>
      <c r="I2723" s="562"/>
      <c r="J2723" s="562"/>
    </row>
    <row r="2724" spans="1:10" hidden="1" x14ac:dyDescent="0.25">
      <c r="A2724" s="362"/>
      <c r="B2724" s="611">
        <v>44238</v>
      </c>
      <c r="C2724" s="362" t="s">
        <v>4751</v>
      </c>
      <c r="D2724" s="562">
        <v>271324643</v>
      </c>
      <c r="E2724" s="562">
        <v>46922157</v>
      </c>
      <c r="F2724" s="562">
        <v>318246800</v>
      </c>
      <c r="G2724" s="562">
        <f t="shared" si="51"/>
        <v>0</v>
      </c>
      <c r="H2724" s="562"/>
      <c r="I2724" s="562"/>
      <c r="J2724" s="562"/>
    </row>
    <row r="2725" spans="1:10" hidden="1" x14ac:dyDescent="0.25">
      <c r="A2725" s="362"/>
      <c r="B2725" s="611">
        <v>44238</v>
      </c>
      <c r="C2725" s="362" t="s">
        <v>166</v>
      </c>
      <c r="D2725" s="562">
        <v>69606275</v>
      </c>
      <c r="E2725" s="562"/>
      <c r="F2725" s="562">
        <v>69606300</v>
      </c>
      <c r="G2725" s="562">
        <f t="shared" si="51"/>
        <v>-25</v>
      </c>
      <c r="H2725" s="562"/>
      <c r="I2725" s="562"/>
      <c r="J2725" s="562"/>
    </row>
    <row r="2726" spans="1:10" hidden="1" x14ac:dyDescent="0.25">
      <c r="A2726" s="362"/>
      <c r="B2726" s="611">
        <v>44238</v>
      </c>
      <c r="C2726" s="362" t="s">
        <v>3435</v>
      </c>
      <c r="D2726" s="562">
        <v>46510785</v>
      </c>
      <c r="E2726" s="562"/>
      <c r="F2726" s="562">
        <v>46510800</v>
      </c>
      <c r="G2726" s="562">
        <f t="shared" si="51"/>
        <v>-15</v>
      </c>
      <c r="H2726" s="562"/>
      <c r="I2726" s="562"/>
      <c r="J2726" s="562"/>
    </row>
    <row r="2727" spans="1:10" hidden="1" x14ac:dyDescent="0.25">
      <c r="A2727" s="362"/>
      <c r="B2727" s="611">
        <v>44238</v>
      </c>
      <c r="C2727" s="370" t="s">
        <v>85</v>
      </c>
      <c r="D2727" s="562">
        <v>22745100</v>
      </c>
      <c r="E2727" s="562"/>
      <c r="F2727" s="562">
        <v>22745100</v>
      </c>
      <c r="G2727" s="562">
        <f t="shared" si="51"/>
        <v>0</v>
      </c>
      <c r="H2727" s="562"/>
      <c r="I2727" s="562"/>
      <c r="J2727" s="562"/>
    </row>
    <row r="2728" spans="1:10" hidden="1" x14ac:dyDescent="0.25">
      <c r="A2728" s="532"/>
      <c r="B2728" s="532"/>
      <c r="C2728" s="532"/>
      <c r="D2728" s="564">
        <f>SUM(D2713:D2727)</f>
        <v>2238165748</v>
      </c>
      <c r="E2728" s="564">
        <f t="shared" ref="E2728:F2728" si="53">SUM(E2713:E2727)</f>
        <v>461405807</v>
      </c>
      <c r="F2728" s="564">
        <f t="shared" si="53"/>
        <v>2699569500</v>
      </c>
      <c r="G2728" s="564">
        <f>SUM(G2713:G2727)</f>
        <v>2055</v>
      </c>
      <c r="H2728" s="564"/>
      <c r="I2728" s="564"/>
      <c r="J2728" s="564"/>
    </row>
    <row r="2729" spans="1:10" hidden="1" x14ac:dyDescent="0.25">
      <c r="A2729" s="362"/>
      <c r="B2729" s="611">
        <v>44239</v>
      </c>
      <c r="C2729" s="362" t="s">
        <v>86</v>
      </c>
      <c r="D2729" s="562">
        <v>78044393</v>
      </c>
      <c r="E2729" s="562">
        <v>17596900</v>
      </c>
      <c r="F2729" s="562">
        <v>95641300</v>
      </c>
      <c r="G2729" s="562">
        <f>D2729+E2729-F2729</f>
        <v>-7</v>
      </c>
      <c r="H2729" s="562"/>
      <c r="I2729" s="562"/>
      <c r="J2729" s="562"/>
    </row>
    <row r="2730" spans="1:10" hidden="1" x14ac:dyDescent="0.25">
      <c r="A2730" s="362"/>
      <c r="B2730" s="611">
        <v>44239</v>
      </c>
      <c r="C2730" s="362" t="s">
        <v>87</v>
      </c>
      <c r="D2730" s="562">
        <v>135318519</v>
      </c>
      <c r="E2730" s="562">
        <v>81596532</v>
      </c>
      <c r="F2730" s="562">
        <v>216914800</v>
      </c>
      <c r="G2730" s="562">
        <f t="shared" ref="G2730:G2743" si="54">D2730+E2730-F2730</f>
        <v>251</v>
      </c>
      <c r="H2730" s="562"/>
      <c r="I2730" s="562"/>
      <c r="J2730" s="562"/>
    </row>
    <row r="2731" spans="1:10" hidden="1" x14ac:dyDescent="0.25">
      <c r="A2731" s="362"/>
      <c r="B2731" s="611">
        <v>44239</v>
      </c>
      <c r="C2731" s="362" t="s">
        <v>88</v>
      </c>
      <c r="D2731" s="562">
        <v>127798080</v>
      </c>
      <c r="E2731" s="562">
        <v>13134047</v>
      </c>
      <c r="F2731" s="562">
        <v>140932200</v>
      </c>
      <c r="G2731" s="562">
        <f t="shared" si="54"/>
        <v>-73</v>
      </c>
      <c r="H2731" s="562"/>
      <c r="I2731" s="562"/>
      <c r="J2731" s="562"/>
    </row>
    <row r="2732" spans="1:10" hidden="1" x14ac:dyDescent="0.25">
      <c r="A2732" s="362"/>
      <c r="B2732" s="611">
        <v>44239</v>
      </c>
      <c r="C2732" s="362" t="s">
        <v>82</v>
      </c>
      <c r="D2732" s="562">
        <v>157281065</v>
      </c>
      <c r="E2732" s="562"/>
      <c r="F2732" s="562">
        <v>157281100</v>
      </c>
      <c r="G2732" s="562">
        <f t="shared" si="54"/>
        <v>-35</v>
      </c>
      <c r="H2732" s="562"/>
      <c r="I2732" s="562"/>
      <c r="J2732" s="562"/>
    </row>
    <row r="2733" spans="1:10" hidden="1" x14ac:dyDescent="0.25">
      <c r="A2733" s="362"/>
      <c r="B2733" s="611">
        <v>44239</v>
      </c>
      <c r="C2733" s="362" t="s">
        <v>80</v>
      </c>
      <c r="D2733" s="562">
        <v>161889538</v>
      </c>
      <c r="E2733" s="562">
        <v>517440</v>
      </c>
      <c r="F2733" s="562">
        <v>162407000</v>
      </c>
      <c r="G2733" s="562">
        <f t="shared" si="54"/>
        <v>-22</v>
      </c>
      <c r="H2733" s="562"/>
      <c r="I2733" s="562"/>
      <c r="J2733" s="562"/>
    </row>
    <row r="2734" spans="1:10" hidden="1" x14ac:dyDescent="0.25">
      <c r="A2734" s="362"/>
      <c r="B2734" s="611">
        <v>44239</v>
      </c>
      <c r="C2734" s="362" t="s">
        <v>83</v>
      </c>
      <c r="D2734" s="562">
        <v>197878250</v>
      </c>
      <c r="E2734" s="562">
        <v>3974850</v>
      </c>
      <c r="F2734" s="562">
        <v>201853100</v>
      </c>
      <c r="G2734" s="562">
        <f t="shared" si="54"/>
        <v>0</v>
      </c>
      <c r="H2734" s="562"/>
      <c r="I2734" s="562"/>
      <c r="J2734" s="562"/>
    </row>
    <row r="2735" spans="1:10" hidden="1" x14ac:dyDescent="0.25">
      <c r="A2735" s="362"/>
      <c r="B2735" s="611">
        <v>44239</v>
      </c>
      <c r="C2735" s="362" t="s">
        <v>78</v>
      </c>
      <c r="D2735" s="562">
        <v>79163747</v>
      </c>
      <c r="E2735" s="562">
        <v>1586053</v>
      </c>
      <c r="F2735" s="562">
        <v>80749800</v>
      </c>
      <c r="G2735" s="562">
        <f t="shared" si="54"/>
        <v>0</v>
      </c>
      <c r="H2735" s="562"/>
      <c r="I2735" s="562"/>
      <c r="J2735" s="562"/>
    </row>
    <row r="2736" spans="1:10" hidden="1" x14ac:dyDescent="0.25">
      <c r="A2736" s="362"/>
      <c r="B2736" s="611">
        <v>44239</v>
      </c>
      <c r="C2736" s="362" t="s">
        <v>141</v>
      </c>
      <c r="D2736" s="562">
        <v>60380647</v>
      </c>
      <c r="E2736" s="562">
        <v>266197</v>
      </c>
      <c r="F2736" s="562">
        <v>60646900</v>
      </c>
      <c r="G2736" s="562">
        <f t="shared" si="54"/>
        <v>-56</v>
      </c>
      <c r="H2736" s="562"/>
      <c r="I2736" s="562"/>
      <c r="J2736" s="562"/>
    </row>
    <row r="2737" spans="1:10" hidden="1" x14ac:dyDescent="0.25">
      <c r="A2737" s="362"/>
      <c r="B2737" s="611">
        <v>44239</v>
      </c>
      <c r="C2737" s="362" t="s">
        <v>89</v>
      </c>
      <c r="D2737" s="562">
        <v>131891144</v>
      </c>
      <c r="E2737" s="562">
        <v>8314856</v>
      </c>
      <c r="F2737" s="562">
        <v>140206000</v>
      </c>
      <c r="G2737" s="562">
        <f t="shared" si="54"/>
        <v>0</v>
      </c>
      <c r="H2737" s="562"/>
      <c r="I2737" s="562"/>
      <c r="J2737" s="562"/>
    </row>
    <row r="2738" spans="1:10" hidden="1" x14ac:dyDescent="0.25">
      <c r="A2738" s="362"/>
      <c r="B2738" s="611">
        <v>44239</v>
      </c>
      <c r="C2738" s="362" t="s">
        <v>81</v>
      </c>
      <c r="D2738" s="562">
        <v>51180688</v>
      </c>
      <c r="E2738" s="562">
        <v>15109458</v>
      </c>
      <c r="F2738" s="562">
        <v>66290200</v>
      </c>
      <c r="G2738" s="562">
        <f t="shared" si="54"/>
        <v>-54</v>
      </c>
      <c r="H2738" s="562"/>
      <c r="I2738" s="562"/>
      <c r="J2738" s="562"/>
    </row>
    <row r="2739" spans="1:10" hidden="1" x14ac:dyDescent="0.25">
      <c r="A2739" s="362"/>
      <c r="B2739" s="611">
        <v>44239</v>
      </c>
      <c r="C2739" s="362" t="s">
        <v>84</v>
      </c>
      <c r="D2739" s="562">
        <v>237538408</v>
      </c>
      <c r="E2739" s="562">
        <v>10847396</v>
      </c>
      <c r="F2739" s="562">
        <v>248386500</v>
      </c>
      <c r="G2739" s="562">
        <f t="shared" si="54"/>
        <v>-696</v>
      </c>
      <c r="H2739" s="562"/>
      <c r="I2739" s="562"/>
      <c r="J2739" s="562"/>
    </row>
    <row r="2740" spans="1:10" hidden="1" x14ac:dyDescent="0.25">
      <c r="A2740" s="362"/>
      <c r="B2740" s="611">
        <v>44239</v>
      </c>
      <c r="C2740" s="362" t="s">
        <v>4751</v>
      </c>
      <c r="D2740" s="562">
        <v>155608178</v>
      </c>
      <c r="E2740" s="562">
        <v>9023322</v>
      </c>
      <c r="F2740" s="562">
        <v>164631500</v>
      </c>
      <c r="G2740" s="562">
        <f t="shared" si="54"/>
        <v>0</v>
      </c>
      <c r="H2740" s="562"/>
      <c r="I2740" s="562"/>
      <c r="J2740" s="562"/>
    </row>
    <row r="2741" spans="1:10" hidden="1" x14ac:dyDescent="0.25">
      <c r="A2741" s="362"/>
      <c r="B2741" s="611">
        <v>44239</v>
      </c>
      <c r="C2741" s="362" t="s">
        <v>166</v>
      </c>
      <c r="D2741" s="562">
        <v>69305174</v>
      </c>
      <c r="E2741" s="562"/>
      <c r="F2741" s="562">
        <v>69305200</v>
      </c>
      <c r="G2741" s="562">
        <f t="shared" si="54"/>
        <v>-26</v>
      </c>
      <c r="H2741" s="562"/>
      <c r="I2741" s="562"/>
      <c r="J2741" s="562"/>
    </row>
    <row r="2742" spans="1:10" hidden="1" x14ac:dyDescent="0.25">
      <c r="A2742" s="362"/>
      <c r="B2742" s="611">
        <v>44239</v>
      </c>
      <c r="C2742" s="362" t="s">
        <v>3435</v>
      </c>
      <c r="D2742" s="562">
        <v>117560699</v>
      </c>
      <c r="E2742" s="562"/>
      <c r="F2742" s="562">
        <v>117560700</v>
      </c>
      <c r="G2742" s="562">
        <f t="shared" si="54"/>
        <v>-1</v>
      </c>
      <c r="H2742" s="562"/>
      <c r="I2742" s="562"/>
      <c r="J2742" s="562"/>
    </row>
    <row r="2743" spans="1:10" hidden="1" x14ac:dyDescent="0.25">
      <c r="A2743" s="362"/>
      <c r="B2743" s="611">
        <v>44239</v>
      </c>
      <c r="C2743" s="370" t="s">
        <v>85</v>
      </c>
      <c r="D2743" s="562">
        <v>23278800</v>
      </c>
      <c r="E2743" s="562"/>
      <c r="F2743" s="562">
        <v>23278800</v>
      </c>
      <c r="G2743" s="562">
        <f t="shared" si="54"/>
        <v>0</v>
      </c>
      <c r="H2743" s="562"/>
      <c r="I2743" s="562"/>
      <c r="J2743" s="562"/>
    </row>
    <row r="2744" spans="1:10" hidden="1" x14ac:dyDescent="0.25">
      <c r="A2744" s="532"/>
      <c r="B2744" s="532"/>
      <c r="C2744" s="532"/>
      <c r="D2744" s="564">
        <f t="shared" ref="D2744:G2744" si="55">SUM(D2729:D2743)</f>
        <v>1784117330</v>
      </c>
      <c r="E2744" s="564">
        <f t="shared" si="55"/>
        <v>161967051</v>
      </c>
      <c r="F2744" s="564">
        <f t="shared" si="55"/>
        <v>1946085100</v>
      </c>
      <c r="G2744" s="564">
        <f t="shared" si="55"/>
        <v>-719</v>
      </c>
      <c r="H2744" s="564"/>
      <c r="I2744" s="564"/>
      <c r="J2744" s="564"/>
    </row>
    <row r="2745" spans="1:10" hidden="1" x14ac:dyDescent="0.25">
      <c r="A2745" s="362"/>
      <c r="B2745" s="611">
        <v>44240</v>
      </c>
      <c r="C2745" s="362" t="s">
        <v>86</v>
      </c>
      <c r="D2745" s="562">
        <v>35453557</v>
      </c>
      <c r="E2745" s="562">
        <v>6891328</v>
      </c>
      <c r="F2745" s="562">
        <v>42344800</v>
      </c>
      <c r="G2745" s="562">
        <f>D2745+E2745-F2745</f>
        <v>85</v>
      </c>
      <c r="H2745" s="562"/>
      <c r="I2745" s="562"/>
      <c r="J2745" s="562"/>
    </row>
    <row r="2746" spans="1:10" hidden="1" x14ac:dyDescent="0.25">
      <c r="A2746" s="362"/>
      <c r="B2746" s="611">
        <v>44240</v>
      </c>
      <c r="C2746" s="362" t="s">
        <v>87</v>
      </c>
      <c r="D2746" s="562">
        <v>85911041</v>
      </c>
      <c r="E2746" s="562">
        <v>162571298</v>
      </c>
      <c r="F2746" s="562">
        <v>248481500</v>
      </c>
      <c r="G2746" s="562">
        <f t="shared" ref="G2746:G2759" si="56">D2746+E2746-F2746</f>
        <v>839</v>
      </c>
      <c r="H2746" s="562"/>
      <c r="I2746" s="562"/>
      <c r="J2746" s="562"/>
    </row>
    <row r="2747" spans="1:10" hidden="1" x14ac:dyDescent="0.25">
      <c r="A2747" s="362"/>
      <c r="B2747" s="611">
        <v>44240</v>
      </c>
      <c r="C2747" s="362" t="s">
        <v>88</v>
      </c>
      <c r="D2747" s="562">
        <v>115731352</v>
      </c>
      <c r="E2747" s="562">
        <v>17834310</v>
      </c>
      <c r="F2747" s="562">
        <v>133565700</v>
      </c>
      <c r="G2747" s="562">
        <f t="shared" si="56"/>
        <v>-38</v>
      </c>
      <c r="H2747" s="562"/>
      <c r="I2747" s="562"/>
      <c r="J2747" s="562"/>
    </row>
    <row r="2748" spans="1:10" hidden="1" x14ac:dyDescent="0.25">
      <c r="A2748" s="362"/>
      <c r="B2748" s="611">
        <v>44240</v>
      </c>
      <c r="C2748" s="362" t="s">
        <v>82</v>
      </c>
      <c r="D2748" s="562">
        <v>61464187</v>
      </c>
      <c r="E2748" s="562">
        <v>15273686</v>
      </c>
      <c r="F2748" s="562">
        <v>76737900</v>
      </c>
      <c r="G2748" s="562">
        <f t="shared" si="56"/>
        <v>-27</v>
      </c>
      <c r="H2748" s="562"/>
      <c r="I2748" s="562"/>
      <c r="J2748" s="562"/>
    </row>
    <row r="2749" spans="1:10" hidden="1" x14ac:dyDescent="0.25">
      <c r="A2749" s="362"/>
      <c r="B2749" s="611">
        <v>44240</v>
      </c>
      <c r="C2749" s="362" t="s">
        <v>80</v>
      </c>
      <c r="D2749" s="562">
        <v>222400239</v>
      </c>
      <c r="E2749" s="562">
        <v>10663761</v>
      </c>
      <c r="F2749" s="562">
        <v>233064000</v>
      </c>
      <c r="G2749" s="562">
        <f t="shared" si="56"/>
        <v>0</v>
      </c>
      <c r="H2749" s="562"/>
      <c r="I2749" s="562"/>
      <c r="J2749" s="562"/>
    </row>
    <row r="2750" spans="1:10" hidden="1" x14ac:dyDescent="0.25">
      <c r="A2750" s="362"/>
      <c r="B2750" s="611">
        <v>44240</v>
      </c>
      <c r="C2750" s="362" t="s">
        <v>83</v>
      </c>
      <c r="D2750" s="562">
        <v>243227301</v>
      </c>
      <c r="E2750" s="562">
        <v>214168599</v>
      </c>
      <c r="F2750" s="562">
        <v>457395900</v>
      </c>
      <c r="G2750" s="562">
        <f t="shared" si="56"/>
        <v>0</v>
      </c>
      <c r="H2750" s="562"/>
      <c r="I2750" s="562"/>
      <c r="J2750" s="562"/>
    </row>
    <row r="2751" spans="1:10" hidden="1" x14ac:dyDescent="0.25">
      <c r="A2751" s="362"/>
      <c r="B2751" s="611">
        <v>44240</v>
      </c>
      <c r="C2751" s="362" t="s">
        <v>78</v>
      </c>
      <c r="D2751" s="562">
        <v>123797129</v>
      </c>
      <c r="E2751" s="562">
        <v>7393671</v>
      </c>
      <c r="F2751" s="562">
        <v>131190800</v>
      </c>
      <c r="G2751" s="562">
        <f t="shared" si="56"/>
        <v>0</v>
      </c>
      <c r="H2751" s="562"/>
      <c r="I2751" s="562"/>
      <c r="J2751" s="562"/>
    </row>
    <row r="2752" spans="1:10" hidden="1" x14ac:dyDescent="0.25">
      <c r="A2752" s="362"/>
      <c r="B2752" s="611">
        <v>44240</v>
      </c>
      <c r="C2752" s="362" t="s">
        <v>141</v>
      </c>
      <c r="D2752" s="562">
        <v>40865833</v>
      </c>
      <c r="E2752" s="562">
        <v>1703338</v>
      </c>
      <c r="F2752" s="562">
        <v>42569200</v>
      </c>
      <c r="G2752" s="562">
        <f t="shared" si="56"/>
        <v>-29</v>
      </c>
      <c r="H2752" s="562"/>
      <c r="I2752" s="562"/>
      <c r="J2752" s="562"/>
    </row>
    <row r="2753" spans="1:10" hidden="1" x14ac:dyDescent="0.25">
      <c r="A2753" s="362"/>
      <c r="B2753" s="611">
        <v>44240</v>
      </c>
      <c r="C2753" s="362" t="s">
        <v>89</v>
      </c>
      <c r="D2753" s="562">
        <v>94588425</v>
      </c>
      <c r="E2753" s="562">
        <v>50313975</v>
      </c>
      <c r="F2753" s="562">
        <v>144902400</v>
      </c>
      <c r="G2753" s="562">
        <f t="shared" si="56"/>
        <v>0</v>
      </c>
      <c r="H2753" s="562"/>
      <c r="I2753" s="562"/>
      <c r="J2753" s="562"/>
    </row>
    <row r="2754" spans="1:10" hidden="1" x14ac:dyDescent="0.25">
      <c r="A2754" s="362"/>
      <c r="B2754" s="611">
        <v>44240</v>
      </c>
      <c r="C2754" s="362" t="s">
        <v>81</v>
      </c>
      <c r="D2754" s="562">
        <v>143397650</v>
      </c>
      <c r="E2754" s="562">
        <v>15784802</v>
      </c>
      <c r="F2754" s="562">
        <f>111405748+47776704</f>
        <v>159182452</v>
      </c>
      <c r="G2754" s="562">
        <f t="shared" si="56"/>
        <v>0</v>
      </c>
      <c r="H2754" s="562"/>
      <c r="I2754" s="562"/>
      <c r="J2754" s="562"/>
    </row>
    <row r="2755" spans="1:10" hidden="1" x14ac:dyDescent="0.25">
      <c r="A2755" s="362"/>
      <c r="B2755" s="611">
        <v>44240</v>
      </c>
      <c r="C2755" s="362" t="s">
        <v>84</v>
      </c>
      <c r="D2755" s="562">
        <v>297234020</v>
      </c>
      <c r="E2755" s="562">
        <v>9076609</v>
      </c>
      <c r="F2755" s="562">
        <v>306310700</v>
      </c>
      <c r="G2755" s="562">
        <f t="shared" si="56"/>
        <v>-71</v>
      </c>
      <c r="H2755" s="562"/>
      <c r="I2755" s="562"/>
      <c r="J2755" s="562"/>
    </row>
    <row r="2756" spans="1:10" hidden="1" x14ac:dyDescent="0.25">
      <c r="A2756" s="362"/>
      <c r="B2756" s="611">
        <v>44240</v>
      </c>
      <c r="C2756" s="362" t="s">
        <v>4751</v>
      </c>
      <c r="D2756" s="562">
        <v>214067471</v>
      </c>
      <c r="E2756" s="562">
        <v>34366029</v>
      </c>
      <c r="F2756" s="562">
        <v>248433500</v>
      </c>
      <c r="G2756" s="562">
        <f t="shared" si="56"/>
        <v>0</v>
      </c>
      <c r="H2756" s="562"/>
      <c r="I2756" s="562"/>
      <c r="J2756" s="562"/>
    </row>
    <row r="2757" spans="1:10" hidden="1" x14ac:dyDescent="0.25">
      <c r="A2757" s="362"/>
      <c r="B2757" s="611">
        <v>44240</v>
      </c>
      <c r="C2757" s="362" t="s">
        <v>166</v>
      </c>
      <c r="D2757" s="562"/>
      <c r="E2757" s="562"/>
      <c r="F2757" s="562"/>
      <c r="G2757" s="562">
        <f t="shared" si="56"/>
        <v>0</v>
      </c>
      <c r="H2757" s="562"/>
      <c r="I2757" s="562"/>
      <c r="J2757" s="562"/>
    </row>
    <row r="2758" spans="1:10" hidden="1" x14ac:dyDescent="0.25">
      <c r="A2758" s="362"/>
      <c r="B2758" s="611">
        <v>44240</v>
      </c>
      <c r="C2758" s="362" t="s">
        <v>3435</v>
      </c>
      <c r="D2758" s="562"/>
      <c r="E2758" s="562"/>
      <c r="F2758" s="562"/>
      <c r="G2758" s="562">
        <f t="shared" si="56"/>
        <v>0</v>
      </c>
      <c r="H2758" s="562"/>
      <c r="I2758" s="562"/>
      <c r="J2758" s="562"/>
    </row>
    <row r="2759" spans="1:10" hidden="1" x14ac:dyDescent="0.25">
      <c r="A2759" s="362"/>
      <c r="B2759" s="611">
        <v>44240</v>
      </c>
      <c r="C2759" s="370" t="s">
        <v>85</v>
      </c>
      <c r="D2759" s="562">
        <v>14134700</v>
      </c>
      <c r="E2759" s="562"/>
      <c r="F2759" s="562">
        <v>14134700</v>
      </c>
      <c r="G2759" s="562">
        <f t="shared" si="56"/>
        <v>0</v>
      </c>
      <c r="H2759" s="562"/>
      <c r="I2759" s="562"/>
      <c r="J2759" s="562"/>
    </row>
    <row r="2760" spans="1:10" hidden="1" x14ac:dyDescent="0.25">
      <c r="A2760" s="532"/>
      <c r="B2760" s="532"/>
      <c r="C2760" s="532"/>
      <c r="D2760" s="564">
        <f>SUM(D2745:D2759)</f>
        <v>1692272905</v>
      </c>
      <c r="E2760" s="564">
        <f t="shared" ref="E2760:G2760" si="57">SUM(E2745:E2759)</f>
        <v>546041406</v>
      </c>
      <c r="F2760" s="564">
        <f t="shared" si="57"/>
        <v>2238313552</v>
      </c>
      <c r="G2760" s="564">
        <f t="shared" si="57"/>
        <v>759</v>
      </c>
      <c r="H2760" s="564"/>
      <c r="I2760" s="564"/>
      <c r="J2760" s="564"/>
    </row>
    <row r="2761" spans="1:10" hidden="1" x14ac:dyDescent="0.25">
      <c r="A2761" s="362"/>
      <c r="B2761" s="611">
        <v>44242</v>
      </c>
      <c r="C2761" s="362" t="s">
        <v>86</v>
      </c>
      <c r="D2761" s="562">
        <v>41977907</v>
      </c>
      <c r="E2761" s="562">
        <v>58426360</v>
      </c>
      <c r="F2761" s="562">
        <v>100402300</v>
      </c>
      <c r="G2761" s="562">
        <f>D2761+E2761-F2761</f>
        <v>1967</v>
      </c>
      <c r="H2761" s="562"/>
      <c r="I2761" s="562"/>
      <c r="J2761" s="562"/>
    </row>
    <row r="2762" spans="1:10" hidden="1" x14ac:dyDescent="0.25">
      <c r="A2762" s="362"/>
      <c r="B2762" s="611">
        <v>44242</v>
      </c>
      <c r="C2762" s="362" t="s">
        <v>87</v>
      </c>
      <c r="D2762" s="562">
        <v>91803143</v>
      </c>
      <c r="E2762" s="562">
        <v>115409736</v>
      </c>
      <c r="F2762" s="562">
        <v>207213000</v>
      </c>
      <c r="G2762" s="562">
        <f t="shared" ref="G2762:G2775" si="58">D2762+E2762-F2762</f>
        <v>-121</v>
      </c>
      <c r="H2762" s="562"/>
      <c r="I2762" s="562"/>
      <c r="J2762" s="562"/>
    </row>
    <row r="2763" spans="1:10" hidden="1" x14ac:dyDescent="0.25">
      <c r="A2763" s="362"/>
      <c r="B2763" s="611">
        <v>44242</v>
      </c>
      <c r="C2763" s="362" t="s">
        <v>88</v>
      </c>
      <c r="D2763" s="562">
        <v>478498729</v>
      </c>
      <c r="E2763" s="562">
        <v>24559438</v>
      </c>
      <c r="F2763" s="562">
        <v>503058200</v>
      </c>
      <c r="G2763" s="562">
        <f t="shared" si="58"/>
        <v>-33</v>
      </c>
      <c r="H2763" s="562"/>
      <c r="I2763" s="562"/>
      <c r="J2763" s="562"/>
    </row>
    <row r="2764" spans="1:10" hidden="1" x14ac:dyDescent="0.25">
      <c r="A2764" s="362"/>
      <c r="B2764" s="611">
        <v>44242</v>
      </c>
      <c r="C2764" s="362" t="s">
        <v>82</v>
      </c>
      <c r="D2764" s="562">
        <v>51292217</v>
      </c>
      <c r="E2764" s="562">
        <v>1971280</v>
      </c>
      <c r="F2764" s="562">
        <v>53263500</v>
      </c>
      <c r="G2764" s="562">
        <f t="shared" si="58"/>
        <v>-3</v>
      </c>
      <c r="H2764" s="562"/>
      <c r="I2764" s="562"/>
      <c r="J2764" s="562"/>
    </row>
    <row r="2765" spans="1:10" hidden="1" x14ac:dyDescent="0.25">
      <c r="A2765" s="362"/>
      <c r="B2765" s="611">
        <v>44242</v>
      </c>
      <c r="C2765" s="362" t="s">
        <v>80</v>
      </c>
      <c r="D2765" s="562">
        <v>197648014</v>
      </c>
      <c r="E2765" s="562"/>
      <c r="F2765" s="562">
        <v>197648100</v>
      </c>
      <c r="G2765" s="562">
        <f t="shared" si="58"/>
        <v>-86</v>
      </c>
      <c r="H2765" s="562"/>
      <c r="I2765" s="562"/>
      <c r="J2765" s="562"/>
    </row>
    <row r="2766" spans="1:10" hidden="1" x14ac:dyDescent="0.25">
      <c r="A2766" s="362"/>
      <c r="B2766" s="611">
        <v>44242</v>
      </c>
      <c r="C2766" s="362" t="s">
        <v>83</v>
      </c>
      <c r="D2766" s="562">
        <v>292131886</v>
      </c>
      <c r="E2766" s="562">
        <v>199055833</v>
      </c>
      <c r="F2766" s="562">
        <v>491187800</v>
      </c>
      <c r="G2766" s="562">
        <f t="shared" si="58"/>
        <v>-81</v>
      </c>
      <c r="H2766" s="562"/>
      <c r="I2766" s="562"/>
      <c r="J2766" s="562"/>
    </row>
    <row r="2767" spans="1:10" hidden="1" x14ac:dyDescent="0.25">
      <c r="A2767" s="362"/>
      <c r="B2767" s="611">
        <v>44242</v>
      </c>
      <c r="C2767" s="362" t="s">
        <v>78</v>
      </c>
      <c r="D2767" s="562">
        <v>101884490</v>
      </c>
      <c r="E2767" s="562">
        <v>2475810</v>
      </c>
      <c r="F2767" s="562">
        <v>104360300</v>
      </c>
      <c r="G2767" s="562">
        <f t="shared" si="58"/>
        <v>0</v>
      </c>
      <c r="H2767" s="562"/>
      <c r="I2767" s="562"/>
      <c r="J2767" s="562"/>
    </row>
    <row r="2768" spans="1:10" hidden="1" x14ac:dyDescent="0.25">
      <c r="A2768" s="362"/>
      <c r="B2768" s="611">
        <v>44242</v>
      </c>
      <c r="C2768" s="362" t="s">
        <v>141</v>
      </c>
      <c r="D2768" s="562">
        <v>55544180</v>
      </c>
      <c r="E2768" s="562">
        <v>4519855</v>
      </c>
      <c r="F2768" s="562">
        <v>60064100</v>
      </c>
      <c r="G2768" s="562">
        <f t="shared" si="58"/>
        <v>-65</v>
      </c>
      <c r="H2768" s="562"/>
      <c r="I2768" s="562"/>
      <c r="J2768" s="562"/>
    </row>
    <row r="2769" spans="1:10" hidden="1" x14ac:dyDescent="0.25">
      <c r="A2769" s="362"/>
      <c r="B2769" s="611">
        <v>44242</v>
      </c>
      <c r="C2769" s="362" t="s">
        <v>89</v>
      </c>
      <c r="D2769" s="562">
        <v>108790879</v>
      </c>
      <c r="E2769" s="562">
        <v>26810721</v>
      </c>
      <c r="F2769" s="562">
        <v>135601600</v>
      </c>
      <c r="G2769" s="562">
        <f t="shared" si="58"/>
        <v>0</v>
      </c>
      <c r="H2769" s="562"/>
      <c r="I2769" s="562"/>
      <c r="J2769" s="562"/>
    </row>
    <row r="2770" spans="1:10" hidden="1" x14ac:dyDescent="0.25">
      <c r="A2770" s="362"/>
      <c r="B2770" s="611">
        <v>44242</v>
      </c>
      <c r="C2770" s="362" t="s">
        <v>81</v>
      </c>
      <c r="D2770" s="562">
        <v>65935056</v>
      </c>
      <c r="E2770" s="562">
        <v>10629085</v>
      </c>
      <c r="F2770" s="562">
        <v>76564200</v>
      </c>
      <c r="G2770" s="562">
        <f t="shared" si="58"/>
        <v>-59</v>
      </c>
      <c r="H2770" s="562"/>
      <c r="I2770" s="562"/>
      <c r="J2770" s="562"/>
    </row>
    <row r="2771" spans="1:10" hidden="1" x14ac:dyDescent="0.25">
      <c r="A2771" s="362"/>
      <c r="B2771" s="611">
        <v>44242</v>
      </c>
      <c r="C2771" s="362" t="s">
        <v>84</v>
      </c>
      <c r="D2771" s="562">
        <v>192034519</v>
      </c>
      <c r="E2771" s="562">
        <v>14776529</v>
      </c>
      <c r="F2771" s="562">
        <v>206811600</v>
      </c>
      <c r="G2771" s="562">
        <f t="shared" si="58"/>
        <v>-552</v>
      </c>
      <c r="H2771" s="562"/>
      <c r="I2771" s="562"/>
      <c r="J2771" s="562"/>
    </row>
    <row r="2772" spans="1:10" hidden="1" x14ac:dyDescent="0.25">
      <c r="A2772" s="362"/>
      <c r="B2772" s="611">
        <v>44242</v>
      </c>
      <c r="C2772" s="362" t="s">
        <v>4751</v>
      </c>
      <c r="D2772" s="562">
        <v>237509262</v>
      </c>
      <c r="E2772" s="562">
        <v>11437838</v>
      </c>
      <c r="F2772" s="562">
        <v>248947100</v>
      </c>
      <c r="G2772" s="562">
        <f t="shared" si="58"/>
        <v>0</v>
      </c>
      <c r="H2772" s="562"/>
      <c r="I2772" s="562"/>
      <c r="J2772" s="562"/>
    </row>
    <row r="2773" spans="1:10" hidden="1" x14ac:dyDescent="0.25">
      <c r="A2773" s="362"/>
      <c r="B2773" s="611">
        <v>44242</v>
      </c>
      <c r="C2773" s="362" t="s">
        <v>166</v>
      </c>
      <c r="D2773" s="562">
        <v>98031701</v>
      </c>
      <c r="E2773" s="562"/>
      <c r="F2773" s="562">
        <v>98031700</v>
      </c>
      <c r="G2773" s="562">
        <f t="shared" si="58"/>
        <v>1</v>
      </c>
      <c r="H2773" s="562"/>
      <c r="I2773" s="562"/>
      <c r="J2773" s="562"/>
    </row>
    <row r="2774" spans="1:10" hidden="1" x14ac:dyDescent="0.25">
      <c r="A2774" s="362"/>
      <c r="B2774" s="611">
        <v>44242</v>
      </c>
      <c r="C2774" s="362" t="s">
        <v>3435</v>
      </c>
      <c r="D2774" s="562">
        <v>62270675</v>
      </c>
      <c r="E2774" s="562"/>
      <c r="F2774" s="562">
        <v>62270700</v>
      </c>
      <c r="G2774" s="562">
        <f t="shared" si="58"/>
        <v>-25</v>
      </c>
      <c r="H2774" s="562"/>
      <c r="I2774" s="562"/>
      <c r="J2774" s="562"/>
    </row>
    <row r="2775" spans="1:10" hidden="1" x14ac:dyDescent="0.25">
      <c r="A2775" s="362"/>
      <c r="B2775" s="611">
        <v>44242</v>
      </c>
      <c r="C2775" s="370" t="s">
        <v>85</v>
      </c>
      <c r="D2775" s="562">
        <v>45270000</v>
      </c>
      <c r="E2775" s="562"/>
      <c r="F2775" s="562">
        <v>45270000</v>
      </c>
      <c r="G2775" s="562">
        <f t="shared" si="58"/>
        <v>0</v>
      </c>
      <c r="H2775" s="562"/>
      <c r="I2775" s="562"/>
      <c r="J2775" s="562"/>
    </row>
    <row r="2776" spans="1:10" hidden="1" x14ac:dyDescent="0.25">
      <c r="A2776" s="532"/>
      <c r="B2776" s="532"/>
      <c r="C2776" s="532"/>
      <c r="D2776" s="564">
        <f>SUM(D2761:D2775)</f>
        <v>2120622658</v>
      </c>
      <c r="E2776" s="564">
        <f t="shared" ref="E2776:G2776" si="59">SUM(E2761:E2775)</f>
        <v>470072485</v>
      </c>
      <c r="F2776" s="564">
        <f t="shared" si="59"/>
        <v>2590694200</v>
      </c>
      <c r="G2776" s="564">
        <f t="shared" si="59"/>
        <v>943</v>
      </c>
      <c r="H2776" s="564"/>
      <c r="I2776" s="564"/>
      <c r="J2776" s="564"/>
    </row>
    <row r="2777" spans="1:10" hidden="1" x14ac:dyDescent="0.25">
      <c r="A2777" s="362"/>
      <c r="B2777" s="611">
        <v>44243</v>
      </c>
      <c r="C2777" s="362" t="s">
        <v>86</v>
      </c>
      <c r="D2777" s="562">
        <v>39616538</v>
      </c>
      <c r="E2777" s="562">
        <v>29872996</v>
      </c>
      <c r="F2777" s="562">
        <v>69489500</v>
      </c>
      <c r="G2777" s="562">
        <f>D2777+E2777-F2777</f>
        <v>34</v>
      </c>
      <c r="H2777" s="562"/>
      <c r="I2777" s="562"/>
      <c r="J2777" s="562"/>
    </row>
    <row r="2778" spans="1:10" hidden="1" x14ac:dyDescent="0.25">
      <c r="A2778" s="362"/>
      <c r="B2778" s="611">
        <v>44243</v>
      </c>
      <c r="C2778" s="362" t="s">
        <v>87</v>
      </c>
      <c r="D2778" s="562">
        <v>171616843</v>
      </c>
      <c r="E2778" s="562">
        <v>97261814</v>
      </c>
      <c r="F2778" s="562">
        <v>268878700</v>
      </c>
      <c r="G2778" s="562">
        <f t="shared" ref="G2778:G2791" si="60">D2778+E2778-F2778</f>
        <v>-43</v>
      </c>
      <c r="H2778" s="562"/>
      <c r="I2778" s="562"/>
      <c r="J2778" s="562"/>
    </row>
    <row r="2779" spans="1:10" hidden="1" x14ac:dyDescent="0.25">
      <c r="A2779" s="362"/>
      <c r="B2779" s="611">
        <v>44243</v>
      </c>
      <c r="C2779" s="362" t="s">
        <v>88</v>
      </c>
      <c r="D2779" s="562">
        <v>232119634</v>
      </c>
      <c r="E2779" s="562">
        <v>5224645</v>
      </c>
      <c r="F2779" s="562">
        <v>237344300</v>
      </c>
      <c r="G2779" s="562">
        <f t="shared" si="60"/>
        <v>-21</v>
      </c>
      <c r="H2779" s="562"/>
      <c r="I2779" s="562"/>
      <c r="J2779" s="562"/>
    </row>
    <row r="2780" spans="1:10" hidden="1" x14ac:dyDescent="0.25">
      <c r="A2780" s="362"/>
      <c r="B2780" s="611">
        <v>44243</v>
      </c>
      <c r="C2780" s="362" t="s">
        <v>82</v>
      </c>
      <c r="D2780" s="562">
        <v>203065084</v>
      </c>
      <c r="E2780" s="562">
        <v>4481670</v>
      </c>
      <c r="F2780" s="562">
        <v>207546800</v>
      </c>
      <c r="G2780" s="562">
        <f t="shared" si="60"/>
        <v>-46</v>
      </c>
      <c r="H2780" s="562"/>
      <c r="I2780" s="562"/>
      <c r="J2780" s="562"/>
    </row>
    <row r="2781" spans="1:10" hidden="1" x14ac:dyDescent="0.25">
      <c r="A2781" s="362"/>
      <c r="B2781" s="611">
        <v>44243</v>
      </c>
      <c r="C2781" s="362" t="s">
        <v>80</v>
      </c>
      <c r="D2781" s="562">
        <v>319876012</v>
      </c>
      <c r="E2781" s="562">
        <v>29385180</v>
      </c>
      <c r="F2781" s="562">
        <v>349261200</v>
      </c>
      <c r="G2781" s="562">
        <f t="shared" si="60"/>
        <v>-8</v>
      </c>
      <c r="H2781" s="562"/>
      <c r="I2781" s="562"/>
      <c r="J2781" s="562"/>
    </row>
    <row r="2782" spans="1:10" hidden="1" x14ac:dyDescent="0.25">
      <c r="A2782" s="362"/>
      <c r="B2782" s="611">
        <v>44243</v>
      </c>
      <c r="C2782" s="362" t="s">
        <v>83</v>
      </c>
      <c r="D2782" s="562">
        <v>182330390</v>
      </c>
      <c r="E2782" s="562">
        <v>11442912</v>
      </c>
      <c r="F2782" s="562">
        <v>193773300</v>
      </c>
      <c r="G2782" s="562">
        <f t="shared" si="60"/>
        <v>2</v>
      </c>
      <c r="H2782" s="562"/>
      <c r="I2782" s="562"/>
      <c r="J2782" s="562"/>
    </row>
    <row r="2783" spans="1:10" hidden="1" x14ac:dyDescent="0.25">
      <c r="A2783" s="362"/>
      <c r="B2783" s="611">
        <v>44243</v>
      </c>
      <c r="C2783" s="362" t="s">
        <v>78</v>
      </c>
      <c r="D2783" s="562">
        <v>52340537</v>
      </c>
      <c r="E2783" s="562">
        <v>6299363</v>
      </c>
      <c r="F2783" s="562">
        <v>58639900</v>
      </c>
      <c r="G2783" s="562">
        <f t="shared" si="60"/>
        <v>0</v>
      </c>
      <c r="H2783" s="562"/>
      <c r="I2783" s="562"/>
      <c r="J2783" s="562"/>
    </row>
    <row r="2784" spans="1:10" hidden="1" x14ac:dyDescent="0.25">
      <c r="A2784" s="362"/>
      <c r="B2784" s="611">
        <v>44243</v>
      </c>
      <c r="C2784" s="362" t="s">
        <v>141</v>
      </c>
      <c r="D2784" s="562">
        <v>38395434</v>
      </c>
      <c r="E2784" s="562">
        <v>173631</v>
      </c>
      <c r="F2784" s="562">
        <v>38569100</v>
      </c>
      <c r="G2784" s="562">
        <f t="shared" si="60"/>
        <v>-35</v>
      </c>
      <c r="H2784" s="562"/>
      <c r="I2784" s="562"/>
      <c r="J2784" s="562"/>
    </row>
    <row r="2785" spans="1:10" hidden="1" x14ac:dyDescent="0.25">
      <c r="A2785" s="362"/>
      <c r="B2785" s="611">
        <v>44243</v>
      </c>
      <c r="C2785" s="362" t="s">
        <v>89</v>
      </c>
      <c r="D2785" s="562">
        <v>75468892</v>
      </c>
      <c r="E2785" s="562">
        <v>40357508</v>
      </c>
      <c r="F2785" s="562">
        <v>115826400</v>
      </c>
      <c r="G2785" s="562">
        <f t="shared" si="60"/>
        <v>0</v>
      </c>
      <c r="H2785" s="562"/>
      <c r="I2785" s="562"/>
      <c r="J2785" s="562"/>
    </row>
    <row r="2786" spans="1:10" hidden="1" x14ac:dyDescent="0.25">
      <c r="A2786" s="362"/>
      <c r="B2786" s="611">
        <v>44243</v>
      </c>
      <c r="C2786" s="362" t="s">
        <v>81</v>
      </c>
      <c r="D2786" s="562">
        <v>66692343</v>
      </c>
      <c r="E2786" s="562">
        <v>10064576</v>
      </c>
      <c r="F2786" s="562">
        <v>76757000</v>
      </c>
      <c r="G2786" s="562">
        <f t="shared" si="60"/>
        <v>-81</v>
      </c>
      <c r="H2786" s="562"/>
      <c r="I2786" s="562"/>
      <c r="J2786" s="562"/>
    </row>
    <row r="2787" spans="1:10" hidden="1" x14ac:dyDescent="0.25">
      <c r="A2787" s="362"/>
      <c r="B2787" s="611">
        <v>44243</v>
      </c>
      <c r="C2787" s="362" t="s">
        <v>84</v>
      </c>
      <c r="D2787" s="562">
        <v>322441714</v>
      </c>
      <c r="E2787" s="562">
        <v>12780055</v>
      </c>
      <c r="F2787" s="562">
        <v>335221800</v>
      </c>
      <c r="G2787" s="562">
        <f t="shared" si="60"/>
        <v>-31</v>
      </c>
      <c r="H2787" s="562"/>
      <c r="I2787" s="562"/>
      <c r="J2787" s="562"/>
    </row>
    <row r="2788" spans="1:10" hidden="1" x14ac:dyDescent="0.25">
      <c r="A2788" s="362"/>
      <c r="B2788" s="611">
        <v>44243</v>
      </c>
      <c r="C2788" s="362" t="s">
        <v>4751</v>
      </c>
      <c r="D2788" s="562">
        <v>253151677</v>
      </c>
      <c r="E2788" s="562">
        <v>9086823</v>
      </c>
      <c r="F2788" s="562">
        <v>262238500</v>
      </c>
      <c r="G2788" s="562">
        <f t="shared" si="60"/>
        <v>0</v>
      </c>
      <c r="H2788" s="562"/>
      <c r="I2788" s="562"/>
      <c r="J2788" s="562"/>
    </row>
    <row r="2789" spans="1:10" hidden="1" x14ac:dyDescent="0.25">
      <c r="A2789" s="362"/>
      <c r="B2789" s="611">
        <v>44243</v>
      </c>
      <c r="C2789" s="362" t="s">
        <v>166</v>
      </c>
      <c r="D2789" s="562">
        <v>68133570</v>
      </c>
      <c r="E2789" s="562"/>
      <c r="F2789" s="562">
        <v>68133600</v>
      </c>
      <c r="G2789" s="562">
        <f t="shared" si="60"/>
        <v>-30</v>
      </c>
      <c r="H2789" s="562"/>
      <c r="I2789" s="562"/>
      <c r="J2789" s="562"/>
    </row>
    <row r="2790" spans="1:10" hidden="1" x14ac:dyDescent="0.25">
      <c r="A2790" s="362"/>
      <c r="B2790" s="611">
        <v>44243</v>
      </c>
      <c r="C2790" s="362" t="s">
        <v>3435</v>
      </c>
      <c r="D2790" s="562">
        <v>27405002</v>
      </c>
      <c r="E2790" s="562"/>
      <c r="F2790" s="562">
        <v>27405100</v>
      </c>
      <c r="G2790" s="562">
        <f t="shared" si="60"/>
        <v>-98</v>
      </c>
      <c r="H2790" s="562"/>
      <c r="I2790" s="562"/>
      <c r="J2790" s="562"/>
    </row>
    <row r="2791" spans="1:10" hidden="1" x14ac:dyDescent="0.25">
      <c r="A2791" s="362"/>
      <c r="B2791" s="611">
        <v>44243</v>
      </c>
      <c r="C2791" s="370" t="s">
        <v>85</v>
      </c>
      <c r="D2791" s="562">
        <v>26239300</v>
      </c>
      <c r="E2791" s="562"/>
      <c r="F2791" s="562">
        <v>26239300</v>
      </c>
      <c r="G2791" s="562">
        <f t="shared" si="60"/>
        <v>0</v>
      </c>
      <c r="H2791" s="562"/>
      <c r="I2791" s="562"/>
      <c r="J2791" s="562"/>
    </row>
    <row r="2792" spans="1:10" hidden="1" x14ac:dyDescent="0.25">
      <c r="A2792" s="532"/>
      <c r="B2792" s="532"/>
      <c r="C2792" s="532"/>
      <c r="D2792" s="564">
        <f>SUM(D2777:D2791)</f>
        <v>2078892970</v>
      </c>
      <c r="E2792" s="564">
        <f t="shared" ref="E2792:G2792" si="61">SUM(E2777:E2791)</f>
        <v>256431173</v>
      </c>
      <c r="F2792" s="564">
        <f t="shared" si="61"/>
        <v>2335324500</v>
      </c>
      <c r="G2792" s="564">
        <f t="shared" si="61"/>
        <v>-357</v>
      </c>
      <c r="H2792" s="564"/>
      <c r="I2792" s="564"/>
      <c r="J2792" s="564"/>
    </row>
    <row r="2793" spans="1:10" hidden="1" x14ac:dyDescent="0.25">
      <c r="A2793" s="362"/>
      <c r="B2793" s="611">
        <v>44244</v>
      </c>
      <c r="C2793" s="362" t="s">
        <v>86</v>
      </c>
      <c r="D2793" s="562">
        <v>56746927</v>
      </c>
      <c r="E2793" s="562">
        <v>57966510</v>
      </c>
      <c r="F2793" s="562">
        <v>114714600</v>
      </c>
      <c r="G2793" s="562">
        <f>D2793+E2793-F2793</f>
        <v>-1163</v>
      </c>
      <c r="H2793" s="562"/>
      <c r="I2793" s="562"/>
      <c r="J2793" s="562"/>
    </row>
    <row r="2794" spans="1:10" hidden="1" x14ac:dyDescent="0.25">
      <c r="A2794" s="362"/>
      <c r="B2794" s="611">
        <v>44244</v>
      </c>
      <c r="C2794" s="362" t="s">
        <v>87</v>
      </c>
      <c r="D2794" s="562">
        <v>108211873</v>
      </c>
      <c r="E2794" s="562">
        <v>67428259</v>
      </c>
      <c r="F2794" s="562">
        <v>175640200</v>
      </c>
      <c r="G2794" s="562">
        <f t="shared" ref="G2794:G2807" si="62">D2794+E2794-F2794</f>
        <v>-68</v>
      </c>
      <c r="H2794" s="562"/>
      <c r="I2794" s="562"/>
      <c r="J2794" s="562"/>
    </row>
    <row r="2795" spans="1:10" hidden="1" x14ac:dyDescent="0.25">
      <c r="A2795" s="362"/>
      <c r="B2795" s="611">
        <v>44244</v>
      </c>
      <c r="C2795" s="362" t="s">
        <v>88</v>
      </c>
      <c r="D2795" s="562">
        <v>229247121</v>
      </c>
      <c r="E2795" s="562">
        <v>9117225</v>
      </c>
      <c r="F2795" s="562">
        <v>238364400</v>
      </c>
      <c r="G2795" s="562">
        <f t="shared" si="62"/>
        <v>-54</v>
      </c>
      <c r="H2795" s="562"/>
      <c r="I2795" s="562"/>
      <c r="J2795" s="562"/>
    </row>
    <row r="2796" spans="1:10" hidden="1" x14ac:dyDescent="0.25">
      <c r="A2796" s="362"/>
      <c r="B2796" s="611">
        <v>44244</v>
      </c>
      <c r="C2796" s="362" t="s">
        <v>82</v>
      </c>
      <c r="D2796" s="562">
        <v>88095869</v>
      </c>
      <c r="E2796" s="562">
        <v>3867000</v>
      </c>
      <c r="F2796" s="562">
        <v>91963000</v>
      </c>
      <c r="G2796" s="562">
        <f t="shared" si="62"/>
        <v>-131</v>
      </c>
      <c r="H2796" s="562"/>
      <c r="I2796" s="562"/>
      <c r="J2796" s="562"/>
    </row>
    <row r="2797" spans="1:10" hidden="1" x14ac:dyDescent="0.25">
      <c r="A2797" s="362"/>
      <c r="B2797" s="611">
        <v>44244</v>
      </c>
      <c r="C2797" s="362" t="s">
        <v>80</v>
      </c>
      <c r="D2797" s="562">
        <v>301456677</v>
      </c>
      <c r="E2797" s="562">
        <v>258720</v>
      </c>
      <c r="F2797" s="562">
        <v>301675400</v>
      </c>
      <c r="G2797" s="562">
        <f t="shared" si="62"/>
        <v>39997</v>
      </c>
      <c r="H2797" s="562"/>
      <c r="I2797" s="562"/>
      <c r="J2797" s="562"/>
    </row>
    <row r="2798" spans="1:10" hidden="1" x14ac:dyDescent="0.25">
      <c r="A2798" s="362"/>
      <c r="B2798" s="611">
        <v>44244</v>
      </c>
      <c r="C2798" s="362" t="s">
        <v>83</v>
      </c>
      <c r="D2798" s="562">
        <v>131809566</v>
      </c>
      <c r="E2798" s="562">
        <v>115586523</v>
      </c>
      <c r="F2798" s="562">
        <v>247396100</v>
      </c>
      <c r="G2798" s="562">
        <f t="shared" si="62"/>
        <v>-11</v>
      </c>
      <c r="H2798" s="562"/>
      <c r="I2798" s="562"/>
      <c r="J2798" s="562"/>
    </row>
    <row r="2799" spans="1:10" hidden="1" x14ac:dyDescent="0.25">
      <c r="A2799" s="362"/>
      <c r="B2799" s="611">
        <v>44244</v>
      </c>
      <c r="C2799" s="362" t="s">
        <v>78</v>
      </c>
      <c r="D2799" s="562">
        <v>78445912</v>
      </c>
      <c r="E2799" s="562">
        <v>1922788</v>
      </c>
      <c r="F2799" s="562">
        <v>80368700</v>
      </c>
      <c r="G2799" s="562">
        <f t="shared" si="62"/>
        <v>0</v>
      </c>
      <c r="H2799" s="562"/>
      <c r="I2799" s="562"/>
      <c r="J2799" s="562"/>
    </row>
    <row r="2800" spans="1:10" hidden="1" x14ac:dyDescent="0.25">
      <c r="A2800" s="362"/>
      <c r="B2800" s="611">
        <v>44244</v>
      </c>
      <c r="C2800" s="362" t="s">
        <v>141</v>
      </c>
      <c r="D2800" s="562">
        <v>63556478</v>
      </c>
      <c r="E2800" s="562">
        <v>1484400</v>
      </c>
      <c r="F2800" s="562">
        <v>65040900</v>
      </c>
      <c r="G2800" s="562">
        <f t="shared" si="62"/>
        <v>-22</v>
      </c>
      <c r="H2800" s="562"/>
      <c r="I2800" s="562"/>
      <c r="J2800" s="562"/>
    </row>
    <row r="2801" spans="1:10" hidden="1" x14ac:dyDescent="0.25">
      <c r="A2801" s="362"/>
      <c r="B2801" s="611">
        <v>44244</v>
      </c>
      <c r="C2801" s="362" t="s">
        <v>89</v>
      </c>
      <c r="D2801" s="562">
        <v>112531935</v>
      </c>
      <c r="E2801" s="562">
        <v>123455765</v>
      </c>
      <c r="F2801" s="562">
        <v>235987700</v>
      </c>
      <c r="G2801" s="562">
        <f t="shared" si="62"/>
        <v>0</v>
      </c>
      <c r="H2801" s="562"/>
      <c r="I2801" s="562"/>
      <c r="J2801" s="562"/>
    </row>
    <row r="2802" spans="1:10" hidden="1" x14ac:dyDescent="0.25">
      <c r="A2802" s="362"/>
      <c r="B2802" s="611">
        <v>44244</v>
      </c>
      <c r="C2802" s="362" t="s">
        <v>81</v>
      </c>
      <c r="D2802" s="562">
        <v>50098492</v>
      </c>
      <c r="E2802" s="562">
        <v>6664208</v>
      </c>
      <c r="F2802" s="562">
        <v>56762700</v>
      </c>
      <c r="G2802" s="562">
        <f t="shared" si="62"/>
        <v>0</v>
      </c>
      <c r="H2802" s="562"/>
      <c r="I2802" s="562"/>
      <c r="J2802" s="562"/>
    </row>
    <row r="2803" spans="1:10" hidden="1" x14ac:dyDescent="0.25">
      <c r="A2803" s="362"/>
      <c r="B2803" s="611">
        <v>44244</v>
      </c>
      <c r="C2803" s="362" t="s">
        <v>84</v>
      </c>
      <c r="D2803" s="562">
        <v>340681883</v>
      </c>
      <c r="E2803" s="562">
        <v>12587349</v>
      </c>
      <c r="F2803" s="562">
        <v>353269200</v>
      </c>
      <c r="G2803" s="562">
        <f t="shared" si="62"/>
        <v>32</v>
      </c>
      <c r="H2803" s="562"/>
      <c r="I2803" s="562"/>
      <c r="J2803" s="562"/>
    </row>
    <row r="2804" spans="1:10" hidden="1" x14ac:dyDescent="0.25">
      <c r="A2804" s="362"/>
      <c r="B2804" s="611">
        <v>44244</v>
      </c>
      <c r="C2804" s="362" t="s">
        <v>4751</v>
      </c>
      <c r="D2804" s="562">
        <v>134317887</v>
      </c>
      <c r="E2804" s="562">
        <v>13234213</v>
      </c>
      <c r="F2804" s="562">
        <v>147552100</v>
      </c>
      <c r="G2804" s="562">
        <f t="shared" si="62"/>
        <v>0</v>
      </c>
      <c r="H2804" s="562"/>
      <c r="I2804" s="562"/>
      <c r="J2804" s="562"/>
    </row>
    <row r="2805" spans="1:10" hidden="1" x14ac:dyDescent="0.25">
      <c r="A2805" s="362"/>
      <c r="B2805" s="611">
        <v>44244</v>
      </c>
      <c r="C2805" s="362" t="s">
        <v>166</v>
      </c>
      <c r="D2805" s="562">
        <v>42043976</v>
      </c>
      <c r="E2805" s="562"/>
      <c r="F2805" s="562">
        <v>42044000</v>
      </c>
      <c r="G2805" s="562">
        <f t="shared" si="62"/>
        <v>-24</v>
      </c>
      <c r="H2805" s="562"/>
      <c r="I2805" s="562"/>
      <c r="J2805" s="562"/>
    </row>
    <row r="2806" spans="1:10" hidden="1" x14ac:dyDescent="0.25">
      <c r="A2806" s="362"/>
      <c r="B2806" s="611">
        <v>44244</v>
      </c>
      <c r="C2806" s="362" t="s">
        <v>3435</v>
      </c>
      <c r="D2806" s="562">
        <v>204946684</v>
      </c>
      <c r="E2806" s="562"/>
      <c r="F2806" s="562">
        <v>204946700</v>
      </c>
      <c r="G2806" s="562">
        <f t="shared" si="62"/>
        <v>-16</v>
      </c>
      <c r="H2806" s="562"/>
      <c r="I2806" s="562"/>
      <c r="J2806" s="562"/>
    </row>
    <row r="2807" spans="1:10" hidden="1" x14ac:dyDescent="0.25">
      <c r="A2807" s="362"/>
      <c r="B2807" s="611">
        <v>44244</v>
      </c>
      <c r="C2807" s="370" t="s">
        <v>85</v>
      </c>
      <c r="D2807" s="562">
        <v>29591900</v>
      </c>
      <c r="E2807" s="562"/>
      <c r="F2807" s="562">
        <v>29591900</v>
      </c>
      <c r="G2807" s="562">
        <f t="shared" si="62"/>
        <v>0</v>
      </c>
      <c r="H2807" s="562"/>
      <c r="I2807" s="562"/>
      <c r="J2807" s="562"/>
    </row>
    <row r="2808" spans="1:10" hidden="1" x14ac:dyDescent="0.25">
      <c r="A2808" s="532"/>
      <c r="B2808" s="532"/>
      <c r="C2808" s="532"/>
      <c r="D2808" s="564">
        <f>SUM(D2793:D2807)</f>
        <v>1971783180</v>
      </c>
      <c r="E2808" s="564">
        <f t="shared" ref="E2808:G2808" si="63">SUM(E2793:E2807)</f>
        <v>413572960</v>
      </c>
      <c r="F2808" s="564">
        <f t="shared" si="63"/>
        <v>2385317600</v>
      </c>
      <c r="G2808" s="564">
        <f t="shared" si="63"/>
        <v>38540</v>
      </c>
      <c r="H2808" s="564"/>
      <c r="I2808" s="564"/>
      <c r="J2808" s="564"/>
    </row>
    <row r="2809" spans="1:10" hidden="1" x14ac:dyDescent="0.25">
      <c r="A2809" s="362"/>
      <c r="B2809" s="611">
        <v>44245</v>
      </c>
      <c r="C2809" s="362" t="s">
        <v>86</v>
      </c>
      <c r="D2809" s="562">
        <v>83452243</v>
      </c>
      <c r="E2809" s="562">
        <v>83292114</v>
      </c>
      <c r="F2809" s="562">
        <v>166744400</v>
      </c>
      <c r="G2809" s="562">
        <f>D2809+E2809-F2809</f>
        <v>-43</v>
      </c>
      <c r="H2809" s="562"/>
      <c r="I2809" s="562"/>
      <c r="J2809" s="562"/>
    </row>
    <row r="2810" spans="1:10" hidden="1" x14ac:dyDescent="0.25">
      <c r="A2810" s="362"/>
      <c r="B2810" s="611">
        <v>44245</v>
      </c>
      <c r="C2810" s="362" t="s">
        <v>87</v>
      </c>
      <c r="D2810" s="562">
        <v>53539764</v>
      </c>
      <c r="E2810" s="562">
        <v>155380144</v>
      </c>
      <c r="F2810" s="562">
        <v>208919500</v>
      </c>
      <c r="G2810" s="562">
        <f t="shared" ref="G2810:G2823" si="64">D2810+E2810-F2810</f>
        <v>408</v>
      </c>
      <c r="H2810" s="562"/>
      <c r="I2810" s="562"/>
      <c r="J2810" s="562"/>
    </row>
    <row r="2811" spans="1:10" hidden="1" x14ac:dyDescent="0.25">
      <c r="A2811" s="362"/>
      <c r="B2811" s="611">
        <v>44245</v>
      </c>
      <c r="C2811" s="362" t="s">
        <v>88</v>
      </c>
      <c r="D2811" s="562">
        <v>184576366</v>
      </c>
      <c r="E2811" s="562">
        <v>71055194</v>
      </c>
      <c r="F2811" s="562">
        <v>255631600</v>
      </c>
      <c r="G2811" s="562">
        <f t="shared" si="64"/>
        <v>-40</v>
      </c>
      <c r="H2811" s="562"/>
      <c r="I2811" s="562"/>
      <c r="J2811" s="562"/>
    </row>
    <row r="2812" spans="1:10" hidden="1" x14ac:dyDescent="0.25">
      <c r="A2812" s="362"/>
      <c r="B2812" s="611">
        <v>44245</v>
      </c>
      <c r="C2812" s="362" t="s">
        <v>82</v>
      </c>
      <c r="D2812" s="562">
        <v>75755713</v>
      </c>
      <c r="E2812" s="562">
        <v>5868738</v>
      </c>
      <c r="F2812" s="562">
        <v>81624500</v>
      </c>
      <c r="G2812" s="562">
        <f t="shared" si="64"/>
        <v>-49</v>
      </c>
      <c r="H2812" s="562"/>
      <c r="I2812" s="562"/>
      <c r="J2812" s="562"/>
    </row>
    <row r="2813" spans="1:10" hidden="1" x14ac:dyDescent="0.25">
      <c r="A2813" s="362"/>
      <c r="B2813" s="611">
        <v>44245</v>
      </c>
      <c r="C2813" s="362" t="s">
        <v>80</v>
      </c>
      <c r="D2813" s="562">
        <v>354252800</v>
      </c>
      <c r="E2813" s="562">
        <v>40507800</v>
      </c>
      <c r="F2813" s="562">
        <v>394760600</v>
      </c>
      <c r="G2813" s="562">
        <f t="shared" si="64"/>
        <v>0</v>
      </c>
      <c r="H2813" s="562"/>
      <c r="I2813" s="562"/>
      <c r="J2813" s="562"/>
    </row>
    <row r="2814" spans="1:10" hidden="1" x14ac:dyDescent="0.25">
      <c r="A2814" s="362"/>
      <c r="B2814" s="611">
        <v>44245</v>
      </c>
      <c r="C2814" s="362" t="s">
        <v>83</v>
      </c>
      <c r="D2814" s="562">
        <v>119222378</v>
      </c>
      <c r="E2814" s="562">
        <v>43642622</v>
      </c>
      <c r="F2814" s="562">
        <v>162865000</v>
      </c>
      <c r="G2814" s="562">
        <f t="shared" si="64"/>
        <v>0</v>
      </c>
      <c r="H2814" s="562"/>
      <c r="I2814" s="562"/>
      <c r="J2814" s="562"/>
    </row>
    <row r="2815" spans="1:10" hidden="1" x14ac:dyDescent="0.25">
      <c r="A2815" s="362"/>
      <c r="B2815" s="611">
        <v>44245</v>
      </c>
      <c r="C2815" s="362" t="s">
        <v>78</v>
      </c>
      <c r="D2815" s="562">
        <v>102328078</v>
      </c>
      <c r="E2815" s="562">
        <v>4784922</v>
      </c>
      <c r="F2815" s="562">
        <v>107113000</v>
      </c>
      <c r="G2815" s="562">
        <f t="shared" si="64"/>
        <v>0</v>
      </c>
      <c r="H2815" s="562"/>
      <c r="I2815" s="562"/>
      <c r="J2815" s="562"/>
    </row>
    <row r="2816" spans="1:10" hidden="1" x14ac:dyDescent="0.25">
      <c r="A2816" s="362"/>
      <c r="B2816" s="611">
        <v>44245</v>
      </c>
      <c r="C2816" s="362" t="s">
        <v>141</v>
      </c>
      <c r="D2816" s="562">
        <v>55390657</v>
      </c>
      <c r="E2816" s="562">
        <v>2594954</v>
      </c>
      <c r="F2816" s="562">
        <v>57985700</v>
      </c>
      <c r="G2816" s="562">
        <f t="shared" si="64"/>
        <v>-89</v>
      </c>
      <c r="H2816" s="562"/>
      <c r="I2816" s="562"/>
      <c r="J2816" s="562"/>
    </row>
    <row r="2817" spans="1:10" hidden="1" x14ac:dyDescent="0.25">
      <c r="A2817" s="362"/>
      <c r="B2817" s="611">
        <v>44245</v>
      </c>
      <c r="C2817" s="362" t="s">
        <v>89</v>
      </c>
      <c r="D2817" s="562">
        <v>112395656</v>
      </c>
      <c r="E2817" s="562">
        <v>12817444</v>
      </c>
      <c r="F2817" s="562">
        <v>125213100</v>
      </c>
      <c r="G2817" s="562">
        <f t="shared" si="64"/>
        <v>0</v>
      </c>
      <c r="H2817" s="562"/>
      <c r="I2817" s="562"/>
      <c r="J2817" s="562"/>
    </row>
    <row r="2818" spans="1:10" hidden="1" x14ac:dyDescent="0.25">
      <c r="A2818" s="362"/>
      <c r="B2818" s="611">
        <v>44245</v>
      </c>
      <c r="C2818" s="362" t="s">
        <v>81</v>
      </c>
      <c r="D2818" s="562">
        <v>80013420</v>
      </c>
      <c r="E2818" s="562">
        <v>17775525</v>
      </c>
      <c r="F2818" s="562">
        <v>97789000</v>
      </c>
      <c r="G2818" s="562">
        <f t="shared" si="64"/>
        <v>-55</v>
      </c>
      <c r="H2818" s="562"/>
      <c r="I2818" s="562"/>
      <c r="J2818" s="562"/>
    </row>
    <row r="2819" spans="1:10" hidden="1" x14ac:dyDescent="0.25">
      <c r="A2819" s="362"/>
      <c r="B2819" s="611">
        <v>44245</v>
      </c>
      <c r="C2819" s="362" t="s">
        <v>84</v>
      </c>
      <c r="D2819" s="562">
        <v>116510722</v>
      </c>
      <c r="E2819" s="562">
        <v>13433605</v>
      </c>
      <c r="F2819" s="562">
        <v>129944300</v>
      </c>
      <c r="G2819" s="562">
        <f t="shared" si="64"/>
        <v>27</v>
      </c>
      <c r="H2819" s="562"/>
      <c r="I2819" s="562"/>
      <c r="J2819" s="562"/>
    </row>
    <row r="2820" spans="1:10" hidden="1" x14ac:dyDescent="0.25">
      <c r="A2820" s="362"/>
      <c r="B2820" s="611">
        <v>44245</v>
      </c>
      <c r="C2820" s="362" t="s">
        <v>4751</v>
      </c>
      <c r="D2820" s="562">
        <v>244326521</v>
      </c>
      <c r="E2820" s="562">
        <v>10662379</v>
      </c>
      <c r="F2820" s="562">
        <v>254988900</v>
      </c>
      <c r="G2820" s="562">
        <f t="shared" si="64"/>
        <v>0</v>
      </c>
      <c r="H2820" s="562"/>
      <c r="I2820" s="562"/>
      <c r="J2820" s="562"/>
    </row>
    <row r="2821" spans="1:10" hidden="1" x14ac:dyDescent="0.25">
      <c r="A2821" s="362"/>
      <c r="B2821" s="611">
        <v>44245</v>
      </c>
      <c r="C2821" s="362" t="s">
        <v>166</v>
      </c>
      <c r="D2821" s="562">
        <v>71282681</v>
      </c>
      <c r="E2821" s="562"/>
      <c r="F2821" s="562">
        <v>71282700</v>
      </c>
      <c r="G2821" s="562">
        <f t="shared" si="64"/>
        <v>-19</v>
      </c>
      <c r="H2821" s="562"/>
      <c r="I2821" s="562"/>
      <c r="J2821" s="562"/>
    </row>
    <row r="2822" spans="1:10" hidden="1" x14ac:dyDescent="0.25">
      <c r="A2822" s="362"/>
      <c r="B2822" s="611">
        <v>44245</v>
      </c>
      <c r="C2822" s="362" t="s">
        <v>3435</v>
      </c>
      <c r="D2822" s="562">
        <v>93297725</v>
      </c>
      <c r="E2822" s="562"/>
      <c r="F2822" s="562">
        <v>93297800</v>
      </c>
      <c r="G2822" s="562">
        <f t="shared" si="64"/>
        <v>-75</v>
      </c>
      <c r="H2822" s="562"/>
      <c r="I2822" s="562"/>
      <c r="J2822" s="562"/>
    </row>
    <row r="2823" spans="1:10" hidden="1" x14ac:dyDescent="0.25">
      <c r="A2823" s="362"/>
      <c r="B2823" s="611">
        <v>44245</v>
      </c>
      <c r="C2823" s="370" t="s">
        <v>85</v>
      </c>
      <c r="D2823" s="562">
        <v>16514700</v>
      </c>
      <c r="E2823" s="562"/>
      <c r="F2823" s="562">
        <v>16514700</v>
      </c>
      <c r="G2823" s="562">
        <f t="shared" si="64"/>
        <v>0</v>
      </c>
      <c r="H2823" s="562"/>
      <c r="I2823" s="562"/>
      <c r="J2823" s="562"/>
    </row>
    <row r="2824" spans="1:10" hidden="1" x14ac:dyDescent="0.25">
      <c r="A2824" s="532"/>
      <c r="B2824" s="532"/>
      <c r="C2824" s="532"/>
      <c r="D2824" s="564">
        <f>SUM(D2809:D2823)</f>
        <v>1762859424</v>
      </c>
      <c r="E2824" s="564">
        <f t="shared" ref="E2824:G2824" si="65">SUM(E2809:E2823)</f>
        <v>461815441</v>
      </c>
      <c r="F2824" s="564">
        <f t="shared" si="65"/>
        <v>2224674800</v>
      </c>
      <c r="G2824" s="564">
        <f t="shared" si="65"/>
        <v>65</v>
      </c>
      <c r="H2824" s="564"/>
      <c r="I2824" s="564"/>
      <c r="J2824" s="564"/>
    </row>
    <row r="2825" spans="1:10" hidden="1" x14ac:dyDescent="0.25">
      <c r="A2825" s="362"/>
      <c r="B2825" s="611">
        <v>44246</v>
      </c>
      <c r="C2825" s="362" t="s">
        <v>86</v>
      </c>
      <c r="D2825" s="562">
        <v>26956625</v>
      </c>
      <c r="E2825" s="562">
        <v>29556520</v>
      </c>
      <c r="F2825" s="562">
        <v>56513200</v>
      </c>
      <c r="G2825" s="562">
        <f>D2825+E2825-F2825</f>
        <v>-55</v>
      </c>
      <c r="H2825" s="562"/>
      <c r="I2825" s="562"/>
      <c r="J2825" s="562"/>
    </row>
    <row r="2826" spans="1:10" hidden="1" x14ac:dyDescent="0.25">
      <c r="A2826" s="362"/>
      <c r="B2826" s="611">
        <v>44246</v>
      </c>
      <c r="C2826" s="362" t="s">
        <v>87</v>
      </c>
      <c r="D2826" s="562">
        <v>69485500</v>
      </c>
      <c r="E2826" s="562">
        <v>78605542</v>
      </c>
      <c r="F2826" s="562">
        <v>148091100</v>
      </c>
      <c r="G2826" s="562">
        <f t="shared" ref="G2826:G2839" si="66">D2826+E2826-F2826</f>
        <v>-58</v>
      </c>
      <c r="H2826" s="562"/>
      <c r="I2826" s="562"/>
      <c r="J2826" s="562"/>
    </row>
    <row r="2827" spans="1:10" hidden="1" x14ac:dyDescent="0.25">
      <c r="A2827" s="362"/>
      <c r="B2827" s="611">
        <v>44246</v>
      </c>
      <c r="C2827" s="362" t="s">
        <v>88</v>
      </c>
      <c r="D2827" s="562">
        <v>106288353</v>
      </c>
      <c r="E2827" s="562">
        <v>54104760</v>
      </c>
      <c r="F2827" s="562">
        <v>160394000</v>
      </c>
      <c r="G2827" s="562">
        <f t="shared" si="66"/>
        <v>-887</v>
      </c>
      <c r="H2827" s="562"/>
      <c r="I2827" s="562"/>
      <c r="J2827" s="562"/>
    </row>
    <row r="2828" spans="1:10" hidden="1" x14ac:dyDescent="0.25">
      <c r="A2828" s="362"/>
      <c r="B2828" s="611">
        <v>44246</v>
      </c>
      <c r="C2828" s="362" t="s">
        <v>82</v>
      </c>
      <c r="D2828" s="562">
        <v>98189349</v>
      </c>
      <c r="E2828" s="562">
        <v>162951</v>
      </c>
      <c r="F2828" s="562">
        <v>98352300</v>
      </c>
      <c r="G2828" s="562">
        <f t="shared" si="66"/>
        <v>0</v>
      </c>
      <c r="H2828" s="562"/>
      <c r="I2828" s="562"/>
      <c r="J2828" s="562"/>
    </row>
    <row r="2829" spans="1:10" hidden="1" x14ac:dyDescent="0.25">
      <c r="A2829" s="362"/>
      <c r="B2829" s="611">
        <v>44246</v>
      </c>
      <c r="C2829" s="362" t="s">
        <v>80</v>
      </c>
      <c r="D2829" s="562">
        <v>176829200</v>
      </c>
      <c r="E2829" s="562"/>
      <c r="F2829" s="562">
        <v>176829200</v>
      </c>
      <c r="G2829" s="562">
        <f t="shared" si="66"/>
        <v>0</v>
      </c>
      <c r="H2829" s="562"/>
      <c r="I2829" s="562"/>
      <c r="J2829" s="562"/>
    </row>
    <row r="2830" spans="1:10" hidden="1" x14ac:dyDescent="0.25">
      <c r="A2830" s="362"/>
      <c r="B2830" s="611">
        <v>44246</v>
      </c>
      <c r="C2830" s="362" t="s">
        <v>83</v>
      </c>
      <c r="D2830" s="562">
        <v>178293133</v>
      </c>
      <c r="E2830" s="562">
        <v>5341707</v>
      </c>
      <c r="F2830" s="562">
        <v>183634900</v>
      </c>
      <c r="G2830" s="562">
        <f t="shared" si="66"/>
        <v>-60</v>
      </c>
      <c r="H2830" s="562"/>
      <c r="I2830" s="562"/>
      <c r="J2830" s="562"/>
    </row>
    <row r="2831" spans="1:10" hidden="1" x14ac:dyDescent="0.25">
      <c r="A2831" s="362"/>
      <c r="B2831" s="611">
        <v>44246</v>
      </c>
      <c r="C2831" s="362" t="s">
        <v>78</v>
      </c>
      <c r="D2831" s="562">
        <v>119515536</v>
      </c>
      <c r="E2831" s="562">
        <v>2532164</v>
      </c>
      <c r="F2831" s="562">
        <v>122047700</v>
      </c>
      <c r="G2831" s="562">
        <f t="shared" si="66"/>
        <v>0</v>
      </c>
      <c r="H2831" s="562"/>
      <c r="I2831" s="562"/>
      <c r="J2831" s="562"/>
    </row>
    <row r="2832" spans="1:10" hidden="1" x14ac:dyDescent="0.25">
      <c r="A2832" s="362"/>
      <c r="B2832" s="611">
        <v>44246</v>
      </c>
      <c r="C2832" s="362" t="s">
        <v>141</v>
      </c>
      <c r="D2832" s="562">
        <v>68996045</v>
      </c>
      <c r="E2832" s="562">
        <v>1205682</v>
      </c>
      <c r="F2832" s="562">
        <v>70201900</v>
      </c>
      <c r="G2832" s="562">
        <f t="shared" si="66"/>
        <v>-173</v>
      </c>
      <c r="H2832" s="562"/>
      <c r="I2832" s="562"/>
      <c r="J2832" s="562"/>
    </row>
    <row r="2833" spans="1:10" hidden="1" x14ac:dyDescent="0.25">
      <c r="A2833" s="362"/>
      <c r="B2833" s="611">
        <v>44246</v>
      </c>
      <c r="C2833" s="362" t="s">
        <v>89</v>
      </c>
      <c r="D2833" s="562">
        <v>131669476</v>
      </c>
      <c r="E2833" s="562">
        <v>165139424</v>
      </c>
      <c r="F2833" s="562">
        <v>296808900</v>
      </c>
      <c r="G2833" s="562">
        <f t="shared" si="66"/>
        <v>0</v>
      </c>
      <c r="H2833" s="562"/>
      <c r="I2833" s="562"/>
      <c r="J2833" s="562"/>
    </row>
    <row r="2834" spans="1:10" hidden="1" x14ac:dyDescent="0.25">
      <c r="A2834" s="362"/>
      <c r="B2834" s="611">
        <v>44246</v>
      </c>
      <c r="C2834" s="362" t="s">
        <v>81</v>
      </c>
      <c r="D2834" s="562">
        <v>85119668</v>
      </c>
      <c r="E2834" s="562">
        <v>17238300</v>
      </c>
      <c r="F2834" s="562">
        <v>102358000</v>
      </c>
      <c r="G2834" s="562">
        <f t="shared" si="66"/>
        <v>-32</v>
      </c>
      <c r="H2834" s="562"/>
      <c r="I2834" s="562"/>
      <c r="J2834" s="562"/>
    </row>
    <row r="2835" spans="1:10" hidden="1" x14ac:dyDescent="0.25">
      <c r="A2835" s="362"/>
      <c r="B2835" s="611">
        <v>44246</v>
      </c>
      <c r="C2835" s="362" t="s">
        <v>84</v>
      </c>
      <c r="D2835" s="562">
        <v>158789402</v>
      </c>
      <c r="E2835" s="562">
        <v>8632860</v>
      </c>
      <c r="F2835" s="562">
        <v>167422400</v>
      </c>
      <c r="G2835" s="562">
        <f t="shared" si="66"/>
        <v>-138</v>
      </c>
      <c r="H2835" s="562"/>
      <c r="I2835" s="562"/>
      <c r="J2835" s="562"/>
    </row>
    <row r="2836" spans="1:10" hidden="1" x14ac:dyDescent="0.25">
      <c r="A2836" s="362"/>
      <c r="B2836" s="611">
        <v>44246</v>
      </c>
      <c r="C2836" s="362" t="s">
        <v>4751</v>
      </c>
      <c r="D2836" s="562">
        <v>204444370</v>
      </c>
      <c r="E2836" s="562">
        <v>7748030</v>
      </c>
      <c r="F2836" s="562">
        <v>212192400</v>
      </c>
      <c r="G2836" s="562">
        <f t="shared" si="66"/>
        <v>0</v>
      </c>
      <c r="H2836" s="562"/>
      <c r="I2836" s="562"/>
      <c r="J2836" s="562"/>
    </row>
    <row r="2837" spans="1:10" hidden="1" x14ac:dyDescent="0.25">
      <c r="A2837" s="362"/>
      <c r="B2837" s="611">
        <v>44246</v>
      </c>
      <c r="C2837" s="362" t="s">
        <v>166</v>
      </c>
      <c r="D2837" s="562">
        <v>28087716</v>
      </c>
      <c r="E2837" s="562"/>
      <c r="F2837" s="562">
        <v>28087700</v>
      </c>
      <c r="G2837" s="562">
        <f t="shared" si="66"/>
        <v>16</v>
      </c>
      <c r="H2837" s="562"/>
      <c r="I2837" s="562"/>
      <c r="J2837" s="562"/>
    </row>
    <row r="2838" spans="1:10" hidden="1" x14ac:dyDescent="0.25">
      <c r="A2838" s="362"/>
      <c r="B2838" s="611">
        <v>44246</v>
      </c>
      <c r="C2838" s="362" t="s">
        <v>3435</v>
      </c>
      <c r="D2838" s="562">
        <v>34497434</v>
      </c>
      <c r="E2838" s="562"/>
      <c r="F2838" s="562">
        <v>34497500</v>
      </c>
      <c r="G2838" s="562">
        <f t="shared" si="66"/>
        <v>-66</v>
      </c>
      <c r="H2838" s="562"/>
      <c r="I2838" s="562"/>
      <c r="J2838" s="562"/>
    </row>
    <row r="2839" spans="1:10" hidden="1" x14ac:dyDescent="0.25">
      <c r="A2839" s="362"/>
      <c r="B2839" s="611">
        <v>44246</v>
      </c>
      <c r="C2839" s="370" t="s">
        <v>85</v>
      </c>
      <c r="D2839" s="562">
        <v>16797700</v>
      </c>
      <c r="E2839" s="562"/>
      <c r="F2839" s="562">
        <v>16797700</v>
      </c>
      <c r="G2839" s="562">
        <f t="shared" si="66"/>
        <v>0</v>
      </c>
      <c r="H2839" s="562"/>
      <c r="I2839" s="562"/>
      <c r="J2839" s="562"/>
    </row>
    <row r="2840" spans="1:10" hidden="1" x14ac:dyDescent="0.25">
      <c r="A2840" s="532"/>
      <c r="B2840" s="532"/>
      <c r="C2840" s="532"/>
      <c r="D2840" s="564">
        <f>SUM(D2825:D2839)</f>
        <v>1503959507</v>
      </c>
      <c r="E2840" s="564">
        <f t="shared" ref="E2840:G2840" si="67">SUM(E2825:E2839)</f>
        <v>370267940</v>
      </c>
      <c r="F2840" s="564">
        <f t="shared" si="67"/>
        <v>1874228900</v>
      </c>
      <c r="G2840" s="564">
        <f t="shared" si="67"/>
        <v>-1453</v>
      </c>
      <c r="H2840" s="564"/>
      <c r="I2840" s="564"/>
      <c r="J2840" s="564"/>
    </row>
    <row r="2841" spans="1:10" hidden="1" x14ac:dyDescent="0.25">
      <c r="A2841" s="362"/>
      <c r="B2841" s="611">
        <v>44247</v>
      </c>
      <c r="C2841" s="362" t="s">
        <v>86</v>
      </c>
      <c r="D2841" s="562">
        <v>56290279</v>
      </c>
      <c r="E2841" s="562">
        <v>27992468</v>
      </c>
      <c r="F2841" s="562">
        <v>84282800</v>
      </c>
      <c r="G2841" s="562">
        <f>D2841+E2841-F2841</f>
        <v>-53</v>
      </c>
      <c r="H2841" s="562"/>
      <c r="I2841" s="562"/>
      <c r="J2841" s="562"/>
    </row>
    <row r="2842" spans="1:10" hidden="1" x14ac:dyDescent="0.25">
      <c r="A2842" s="362"/>
      <c r="B2842" s="611">
        <v>44247</v>
      </c>
      <c r="C2842" s="362" t="s">
        <v>87</v>
      </c>
      <c r="D2842" s="562">
        <v>75980568</v>
      </c>
      <c r="E2842" s="562">
        <v>106506108</v>
      </c>
      <c r="F2842" s="562">
        <v>182486800</v>
      </c>
      <c r="G2842" s="562">
        <f t="shared" ref="G2842:G2855" si="68">D2842+E2842-F2842</f>
        <v>-124</v>
      </c>
      <c r="H2842" s="562"/>
      <c r="I2842" s="562"/>
      <c r="J2842" s="562"/>
    </row>
    <row r="2843" spans="1:10" hidden="1" x14ac:dyDescent="0.25">
      <c r="A2843" s="362"/>
      <c r="B2843" s="611">
        <v>44247</v>
      </c>
      <c r="C2843" s="362" t="s">
        <v>88</v>
      </c>
      <c r="D2843" s="562">
        <v>132871037</v>
      </c>
      <c r="E2843" s="562">
        <v>28878814</v>
      </c>
      <c r="F2843" s="562">
        <v>161749900</v>
      </c>
      <c r="G2843" s="562">
        <f t="shared" si="68"/>
        <v>-49</v>
      </c>
      <c r="H2843" s="562"/>
      <c r="I2843" s="562"/>
      <c r="J2843" s="562"/>
    </row>
    <row r="2844" spans="1:10" hidden="1" x14ac:dyDescent="0.25">
      <c r="A2844" s="362"/>
      <c r="B2844" s="611">
        <v>44247</v>
      </c>
      <c r="C2844" s="362" t="s">
        <v>82</v>
      </c>
      <c r="D2844" s="562">
        <v>91948003</v>
      </c>
      <c r="E2844" s="562">
        <v>13279643</v>
      </c>
      <c r="F2844" s="562">
        <v>105227700</v>
      </c>
      <c r="G2844" s="562">
        <f t="shared" si="68"/>
        <v>-54</v>
      </c>
      <c r="H2844" s="562"/>
      <c r="I2844" s="562"/>
      <c r="J2844" s="562"/>
    </row>
    <row r="2845" spans="1:10" hidden="1" x14ac:dyDescent="0.25">
      <c r="A2845" s="362"/>
      <c r="B2845" s="611">
        <v>44247</v>
      </c>
      <c r="C2845" s="362" t="s">
        <v>80</v>
      </c>
      <c r="D2845" s="562">
        <v>192439636</v>
      </c>
      <c r="E2845" s="562"/>
      <c r="F2845" s="562">
        <v>192412100</v>
      </c>
      <c r="G2845" s="562">
        <f t="shared" si="68"/>
        <v>27536</v>
      </c>
      <c r="H2845" s="562"/>
      <c r="I2845" s="562"/>
      <c r="J2845" s="562"/>
    </row>
    <row r="2846" spans="1:10" hidden="1" x14ac:dyDescent="0.25">
      <c r="A2846" s="362"/>
      <c r="B2846" s="611">
        <v>44247</v>
      </c>
      <c r="C2846" s="362" t="s">
        <v>83</v>
      </c>
      <c r="D2846" s="562">
        <v>130921037</v>
      </c>
      <c r="E2846" s="562">
        <v>203161333</v>
      </c>
      <c r="F2846" s="562">
        <v>334082400</v>
      </c>
      <c r="G2846" s="562">
        <f t="shared" si="68"/>
        <v>-30</v>
      </c>
      <c r="H2846" s="562"/>
      <c r="I2846" s="562"/>
      <c r="J2846" s="562"/>
    </row>
    <row r="2847" spans="1:10" hidden="1" x14ac:dyDescent="0.25">
      <c r="A2847" s="362"/>
      <c r="B2847" s="611">
        <v>44247</v>
      </c>
      <c r="C2847" s="362" t="s">
        <v>78</v>
      </c>
      <c r="D2847" s="562">
        <v>109449263</v>
      </c>
      <c r="E2847" s="562">
        <v>6246637</v>
      </c>
      <c r="F2847" s="562">
        <v>115695900</v>
      </c>
      <c r="G2847" s="562">
        <f t="shared" si="68"/>
        <v>0</v>
      </c>
      <c r="H2847" s="562"/>
      <c r="I2847" s="562"/>
      <c r="J2847" s="562"/>
    </row>
    <row r="2848" spans="1:10" hidden="1" x14ac:dyDescent="0.25">
      <c r="A2848" s="362"/>
      <c r="B2848" s="611">
        <v>44247</v>
      </c>
      <c r="C2848" s="362" t="s">
        <v>141</v>
      </c>
      <c r="D2848" s="562">
        <v>21221793</v>
      </c>
      <c r="E2848" s="562"/>
      <c r="F2848" s="562">
        <v>21223800</v>
      </c>
      <c r="G2848" s="562">
        <f t="shared" si="68"/>
        <v>-2007</v>
      </c>
      <c r="H2848" s="562"/>
      <c r="I2848" s="562"/>
      <c r="J2848" s="562"/>
    </row>
    <row r="2849" spans="1:10" hidden="1" x14ac:dyDescent="0.25">
      <c r="A2849" s="362"/>
      <c r="B2849" s="611">
        <v>44247</v>
      </c>
      <c r="C2849" s="362" t="s">
        <v>89</v>
      </c>
      <c r="D2849" s="562">
        <v>75361428</v>
      </c>
      <c r="E2849" s="562">
        <v>30309872</v>
      </c>
      <c r="F2849" s="562">
        <v>105671300</v>
      </c>
      <c r="G2849" s="562">
        <f t="shared" si="68"/>
        <v>0</v>
      </c>
      <c r="H2849" s="562"/>
      <c r="I2849" s="562"/>
      <c r="J2849" s="562"/>
    </row>
    <row r="2850" spans="1:10" hidden="1" x14ac:dyDescent="0.25">
      <c r="A2850" s="362"/>
      <c r="B2850" s="611">
        <v>44247</v>
      </c>
      <c r="C2850" s="362" t="s">
        <v>81</v>
      </c>
      <c r="D2850" s="562">
        <v>71896381</v>
      </c>
      <c r="E2850" s="562">
        <v>15105177</v>
      </c>
      <c r="F2850" s="562">
        <v>87001600</v>
      </c>
      <c r="G2850" s="562">
        <f t="shared" si="68"/>
        <v>-42</v>
      </c>
      <c r="H2850" s="562"/>
      <c r="I2850" s="562"/>
      <c r="J2850" s="562"/>
    </row>
    <row r="2851" spans="1:10" hidden="1" x14ac:dyDescent="0.25">
      <c r="A2851" s="362"/>
      <c r="B2851" s="611">
        <v>44247</v>
      </c>
      <c r="C2851" s="362" t="s">
        <v>84</v>
      </c>
      <c r="D2851" s="562">
        <v>173930991</v>
      </c>
      <c r="E2851" s="562">
        <v>4891125</v>
      </c>
      <c r="F2851" s="562">
        <v>178822200</v>
      </c>
      <c r="G2851" s="562">
        <f t="shared" si="68"/>
        <v>-84</v>
      </c>
      <c r="H2851" s="562"/>
      <c r="I2851" s="562"/>
      <c r="J2851" s="562"/>
    </row>
    <row r="2852" spans="1:10" hidden="1" x14ac:dyDescent="0.25">
      <c r="A2852" s="362"/>
      <c r="B2852" s="611">
        <v>44247</v>
      </c>
      <c r="C2852" s="362" t="s">
        <v>4751</v>
      </c>
      <c r="D2852" s="562">
        <v>178210246</v>
      </c>
      <c r="E2852" s="562">
        <v>8717154</v>
      </c>
      <c r="F2852" s="562">
        <v>186927400</v>
      </c>
      <c r="G2852" s="562">
        <f t="shared" si="68"/>
        <v>0</v>
      </c>
      <c r="H2852" s="562"/>
      <c r="I2852" s="562"/>
      <c r="J2852" s="562"/>
    </row>
    <row r="2853" spans="1:10" hidden="1" x14ac:dyDescent="0.25">
      <c r="A2853" s="362"/>
      <c r="B2853" s="611">
        <v>44247</v>
      </c>
      <c r="C2853" s="362" t="s">
        <v>166</v>
      </c>
      <c r="D2853" s="562"/>
      <c r="E2853" s="562"/>
      <c r="F2853" s="562"/>
      <c r="G2853" s="562">
        <f t="shared" si="68"/>
        <v>0</v>
      </c>
      <c r="H2853" s="562"/>
      <c r="I2853" s="562"/>
      <c r="J2853" s="562"/>
    </row>
    <row r="2854" spans="1:10" hidden="1" x14ac:dyDescent="0.25">
      <c r="A2854" s="362"/>
      <c r="B2854" s="611">
        <v>44247</v>
      </c>
      <c r="C2854" s="362" t="s">
        <v>3435</v>
      </c>
      <c r="D2854" s="562"/>
      <c r="E2854" s="562"/>
      <c r="F2854" s="562"/>
      <c r="G2854" s="562">
        <f t="shared" si="68"/>
        <v>0</v>
      </c>
      <c r="H2854" s="562"/>
      <c r="I2854" s="562"/>
      <c r="J2854" s="562"/>
    </row>
    <row r="2855" spans="1:10" hidden="1" x14ac:dyDescent="0.25">
      <c r="A2855" s="362"/>
      <c r="B2855" s="611">
        <v>44247</v>
      </c>
      <c r="C2855" s="370" t="s">
        <v>85</v>
      </c>
      <c r="D2855" s="562">
        <v>26352800</v>
      </c>
      <c r="E2855" s="562"/>
      <c r="F2855" s="562">
        <v>26352800</v>
      </c>
      <c r="G2855" s="562">
        <f t="shared" si="68"/>
        <v>0</v>
      </c>
      <c r="H2855" s="562"/>
      <c r="I2855" s="562"/>
      <c r="J2855" s="562"/>
    </row>
    <row r="2856" spans="1:10" hidden="1" x14ac:dyDescent="0.25">
      <c r="A2856" s="532"/>
      <c r="B2856" s="532"/>
      <c r="C2856" s="532"/>
      <c r="D2856" s="564">
        <f>SUM(D2841:D2855)</f>
        <v>1336873462</v>
      </c>
      <c r="E2856" s="564">
        <f t="shared" ref="E2856:G2856" si="69">SUM(E2841:E2855)</f>
        <v>445088331</v>
      </c>
      <c r="F2856" s="564">
        <f t="shared" si="69"/>
        <v>1781936700</v>
      </c>
      <c r="G2856" s="564">
        <f t="shared" si="69"/>
        <v>25093</v>
      </c>
      <c r="H2856" s="564"/>
      <c r="I2856" s="564"/>
      <c r="J2856" s="564"/>
    </row>
    <row r="2857" spans="1:10" hidden="1" x14ac:dyDescent="0.25">
      <c r="A2857" s="362"/>
      <c r="B2857" s="611">
        <v>44249</v>
      </c>
      <c r="C2857" s="362" t="s">
        <v>86</v>
      </c>
      <c r="D2857" s="562">
        <v>62214342</v>
      </c>
      <c r="E2857" s="562">
        <v>19695952</v>
      </c>
      <c r="F2857" s="562">
        <v>91910200</v>
      </c>
      <c r="G2857" s="562">
        <f>D2857+E2857-F2857</f>
        <v>-9999906</v>
      </c>
      <c r="H2857" s="562"/>
      <c r="I2857" s="562"/>
      <c r="J2857" s="562"/>
    </row>
    <row r="2858" spans="1:10" hidden="1" x14ac:dyDescent="0.25">
      <c r="A2858" s="362"/>
      <c r="B2858" s="611">
        <v>44249</v>
      </c>
      <c r="C2858" s="362" t="s">
        <v>87</v>
      </c>
      <c r="D2858" s="562">
        <v>88870335</v>
      </c>
      <c r="E2858" s="562">
        <v>13872793</v>
      </c>
      <c r="F2858" s="562">
        <v>102743200</v>
      </c>
      <c r="G2858" s="562">
        <f t="shared" ref="G2858:G2871" si="70">D2858+E2858-F2858</f>
        <v>-72</v>
      </c>
      <c r="H2858" s="562"/>
      <c r="I2858" s="562"/>
      <c r="J2858" s="562"/>
    </row>
    <row r="2859" spans="1:10" hidden="1" x14ac:dyDescent="0.25">
      <c r="A2859" s="362"/>
      <c r="B2859" s="611">
        <v>44249</v>
      </c>
      <c r="C2859" s="362" t="s">
        <v>88</v>
      </c>
      <c r="D2859" s="562">
        <v>180994351</v>
      </c>
      <c r="E2859" s="562">
        <v>5816509</v>
      </c>
      <c r="F2859" s="562">
        <v>186810900</v>
      </c>
      <c r="G2859" s="562">
        <f t="shared" si="70"/>
        <v>-40</v>
      </c>
      <c r="H2859" s="562"/>
      <c r="I2859" s="562"/>
      <c r="J2859" s="562"/>
    </row>
    <row r="2860" spans="1:10" hidden="1" x14ac:dyDescent="0.25">
      <c r="A2860" s="362"/>
      <c r="B2860" s="611">
        <v>44249</v>
      </c>
      <c r="C2860" s="362" t="s">
        <v>82</v>
      </c>
      <c r="D2860" s="562">
        <v>53074324</v>
      </c>
      <c r="E2860" s="562"/>
      <c r="F2860" s="562">
        <v>53074400</v>
      </c>
      <c r="G2860" s="562">
        <f t="shared" si="70"/>
        <v>-76</v>
      </c>
      <c r="H2860" s="562"/>
      <c r="I2860" s="562"/>
      <c r="J2860" s="562"/>
    </row>
    <row r="2861" spans="1:10" hidden="1" x14ac:dyDescent="0.25">
      <c r="A2861" s="362"/>
      <c r="B2861" s="611">
        <v>44249</v>
      </c>
      <c r="C2861" s="362" t="s">
        <v>80</v>
      </c>
      <c r="D2861" s="562">
        <v>238657900</v>
      </c>
      <c r="E2861" s="562"/>
      <c r="F2861" s="562">
        <v>238657900</v>
      </c>
      <c r="G2861" s="562">
        <f t="shared" si="70"/>
        <v>0</v>
      </c>
      <c r="H2861" s="562"/>
      <c r="I2861" s="562"/>
      <c r="J2861" s="562"/>
    </row>
    <row r="2862" spans="1:10" hidden="1" x14ac:dyDescent="0.25">
      <c r="A2862" s="362"/>
      <c r="B2862" s="611">
        <v>44249</v>
      </c>
      <c r="C2862" s="362" t="s">
        <v>83</v>
      </c>
      <c r="D2862" s="562">
        <v>183651961</v>
      </c>
      <c r="E2862" s="562">
        <v>7883418</v>
      </c>
      <c r="F2862" s="562">
        <v>191535400</v>
      </c>
      <c r="G2862" s="562">
        <f t="shared" si="70"/>
        <v>-21</v>
      </c>
      <c r="H2862" s="562"/>
      <c r="I2862" s="562"/>
      <c r="J2862" s="562"/>
    </row>
    <row r="2863" spans="1:10" hidden="1" x14ac:dyDescent="0.25">
      <c r="A2863" s="362"/>
      <c r="B2863" s="611">
        <v>44249</v>
      </c>
      <c r="C2863" s="362" t="s">
        <v>78</v>
      </c>
      <c r="D2863" s="562">
        <v>54349257</v>
      </c>
      <c r="E2863" s="562">
        <v>3542443</v>
      </c>
      <c r="F2863" s="562">
        <v>57891700</v>
      </c>
      <c r="G2863" s="562">
        <f t="shared" si="70"/>
        <v>0</v>
      </c>
      <c r="H2863" s="562"/>
      <c r="I2863" s="562"/>
      <c r="J2863" s="562"/>
    </row>
    <row r="2864" spans="1:10" hidden="1" x14ac:dyDescent="0.25">
      <c r="A2864" s="362"/>
      <c r="B2864" s="611">
        <v>44249</v>
      </c>
      <c r="C2864" s="362" t="s">
        <v>141</v>
      </c>
      <c r="D2864" s="562">
        <v>33845330</v>
      </c>
      <c r="E2864" s="562">
        <v>2715286</v>
      </c>
      <c r="F2864" s="562">
        <v>36560700</v>
      </c>
      <c r="G2864" s="562">
        <f t="shared" si="70"/>
        <v>-84</v>
      </c>
      <c r="H2864" s="562"/>
      <c r="I2864" s="562"/>
      <c r="J2864" s="562"/>
    </row>
    <row r="2865" spans="1:10" hidden="1" x14ac:dyDescent="0.25">
      <c r="A2865" s="362"/>
      <c r="B2865" s="611">
        <v>44249</v>
      </c>
      <c r="C2865" s="362" t="s">
        <v>89</v>
      </c>
      <c r="D2865" s="562">
        <v>93787983</v>
      </c>
      <c r="E2865" s="562">
        <v>14745217</v>
      </c>
      <c r="F2865" s="562">
        <v>108533200</v>
      </c>
      <c r="G2865" s="562">
        <f t="shared" si="70"/>
        <v>0</v>
      </c>
      <c r="H2865" s="562"/>
      <c r="I2865" s="562"/>
      <c r="J2865" s="562"/>
    </row>
    <row r="2866" spans="1:10" hidden="1" x14ac:dyDescent="0.25">
      <c r="A2866" s="362"/>
      <c r="B2866" s="611">
        <v>44249</v>
      </c>
      <c r="C2866" s="362" t="s">
        <v>81</v>
      </c>
      <c r="D2866" s="562">
        <v>90125846</v>
      </c>
      <c r="E2866" s="562">
        <v>18623397</v>
      </c>
      <c r="F2866" s="562">
        <v>108749300</v>
      </c>
      <c r="G2866" s="562">
        <f t="shared" si="70"/>
        <v>-57</v>
      </c>
      <c r="H2866" s="562"/>
      <c r="I2866" s="562"/>
      <c r="J2866" s="562"/>
    </row>
    <row r="2867" spans="1:10" hidden="1" x14ac:dyDescent="0.25">
      <c r="A2867" s="362"/>
      <c r="B2867" s="611">
        <v>44249</v>
      </c>
      <c r="C2867" s="362" t="s">
        <v>84</v>
      </c>
      <c r="D2867" s="562">
        <v>226641223</v>
      </c>
      <c r="E2867" s="562">
        <v>8318349</v>
      </c>
      <c r="F2867" s="562">
        <v>234959600</v>
      </c>
      <c r="G2867" s="562">
        <f t="shared" si="70"/>
        <v>-28</v>
      </c>
      <c r="H2867" s="562"/>
      <c r="I2867" s="562"/>
      <c r="J2867" s="562"/>
    </row>
    <row r="2868" spans="1:10" hidden="1" x14ac:dyDescent="0.25">
      <c r="A2868" s="362"/>
      <c r="B2868" s="611">
        <v>44249</v>
      </c>
      <c r="C2868" s="362" t="s">
        <v>4751</v>
      </c>
      <c r="D2868" s="562">
        <v>206686098</v>
      </c>
      <c r="E2868" s="562">
        <v>18525102</v>
      </c>
      <c r="F2868" s="562">
        <v>225211200</v>
      </c>
      <c r="G2868" s="562">
        <f t="shared" si="70"/>
        <v>0</v>
      </c>
      <c r="H2868" s="562"/>
      <c r="I2868" s="562"/>
      <c r="J2868" s="562"/>
    </row>
    <row r="2869" spans="1:10" hidden="1" x14ac:dyDescent="0.25">
      <c r="A2869" s="362"/>
      <c r="B2869" s="611">
        <v>44249</v>
      </c>
      <c r="C2869" s="362" t="s">
        <v>166</v>
      </c>
      <c r="D2869" s="562">
        <v>49755445</v>
      </c>
      <c r="E2869" s="562"/>
      <c r="F2869" s="562">
        <v>49755500</v>
      </c>
      <c r="G2869" s="562">
        <f t="shared" si="70"/>
        <v>-55</v>
      </c>
      <c r="H2869" s="562"/>
      <c r="I2869" s="562"/>
      <c r="J2869" s="562"/>
    </row>
    <row r="2870" spans="1:10" hidden="1" x14ac:dyDescent="0.25">
      <c r="A2870" s="362"/>
      <c r="B2870" s="611">
        <v>44249</v>
      </c>
      <c r="C2870" s="362" t="s">
        <v>3435</v>
      </c>
      <c r="D2870" s="562">
        <v>25362953</v>
      </c>
      <c r="E2870" s="562"/>
      <c r="F2870" s="562">
        <v>25363000</v>
      </c>
      <c r="G2870" s="562">
        <f t="shared" si="70"/>
        <v>-47</v>
      </c>
      <c r="H2870" s="562"/>
      <c r="I2870" s="562"/>
      <c r="J2870" s="562"/>
    </row>
    <row r="2871" spans="1:10" hidden="1" x14ac:dyDescent="0.25">
      <c r="A2871" s="362"/>
      <c r="B2871" s="611">
        <v>44249</v>
      </c>
      <c r="C2871" s="370" t="s">
        <v>85</v>
      </c>
      <c r="D2871" s="562">
        <v>38061100</v>
      </c>
      <c r="E2871" s="562"/>
      <c r="F2871" s="562">
        <v>38061100</v>
      </c>
      <c r="G2871" s="562">
        <f t="shared" si="70"/>
        <v>0</v>
      </c>
      <c r="H2871" s="562"/>
      <c r="I2871" s="562"/>
      <c r="J2871" s="562"/>
    </row>
    <row r="2872" spans="1:10" hidden="1" x14ac:dyDescent="0.25">
      <c r="A2872" s="532"/>
      <c r="B2872" s="532"/>
      <c r="C2872" s="532"/>
      <c r="D2872" s="564">
        <f>SUM(D2857:D2871)</f>
        <v>1626078448</v>
      </c>
      <c r="E2872" s="564">
        <f t="shared" ref="E2872:G2872" si="71">SUM(E2857:E2871)</f>
        <v>113738466</v>
      </c>
      <c r="F2872" s="564">
        <f t="shared" si="71"/>
        <v>1749817300</v>
      </c>
      <c r="G2872" s="564">
        <f t="shared" si="71"/>
        <v>-10000386</v>
      </c>
      <c r="H2872" s="564"/>
      <c r="I2872" s="564"/>
      <c r="J2872" s="564"/>
    </row>
    <row r="2873" spans="1:10" hidden="1" x14ac:dyDescent="0.25">
      <c r="A2873" s="362"/>
      <c r="B2873" s="611">
        <v>44250</v>
      </c>
      <c r="C2873" s="362" t="s">
        <v>86</v>
      </c>
      <c r="D2873" s="562">
        <v>96890143</v>
      </c>
      <c r="E2873" s="562">
        <v>20510389</v>
      </c>
      <c r="F2873" s="562">
        <v>117400300</v>
      </c>
      <c r="G2873" s="562">
        <f>D2873+E2873-F2873</f>
        <v>232</v>
      </c>
      <c r="H2873" s="562"/>
      <c r="I2873" s="562"/>
      <c r="J2873" s="562"/>
    </row>
    <row r="2874" spans="1:10" hidden="1" x14ac:dyDescent="0.25">
      <c r="A2874" s="362"/>
      <c r="B2874" s="611">
        <v>44250</v>
      </c>
      <c r="C2874" s="362" t="s">
        <v>87</v>
      </c>
      <c r="D2874" s="562">
        <v>74066501</v>
      </c>
      <c r="E2874" s="562">
        <v>100086014</v>
      </c>
      <c r="F2874" s="562">
        <v>174152500</v>
      </c>
      <c r="G2874" s="562">
        <f t="shared" ref="G2874:G2887" si="72">D2874+E2874-F2874</f>
        <v>15</v>
      </c>
      <c r="H2874" s="562"/>
      <c r="I2874" s="562"/>
      <c r="J2874" s="562"/>
    </row>
    <row r="2875" spans="1:10" hidden="1" x14ac:dyDescent="0.25">
      <c r="A2875" s="362"/>
      <c r="B2875" s="611">
        <v>44250</v>
      </c>
      <c r="C2875" s="362" t="s">
        <v>88</v>
      </c>
      <c r="D2875" s="562">
        <v>165055605</v>
      </c>
      <c r="E2875" s="562">
        <v>86462595</v>
      </c>
      <c r="F2875" s="562">
        <v>251518300</v>
      </c>
      <c r="G2875" s="562">
        <f t="shared" si="72"/>
        <v>-100</v>
      </c>
      <c r="H2875" s="562"/>
      <c r="I2875" s="562"/>
      <c r="J2875" s="562"/>
    </row>
    <row r="2876" spans="1:10" hidden="1" x14ac:dyDescent="0.25">
      <c r="A2876" s="362"/>
      <c r="B2876" s="611">
        <v>44250</v>
      </c>
      <c r="C2876" s="362" t="s">
        <v>82</v>
      </c>
      <c r="D2876" s="562">
        <v>60851831</v>
      </c>
      <c r="E2876" s="562">
        <v>8336197</v>
      </c>
      <c r="F2876" s="562">
        <v>69188100</v>
      </c>
      <c r="G2876" s="562">
        <f t="shared" si="72"/>
        <v>-72</v>
      </c>
      <c r="H2876" s="562"/>
      <c r="I2876" s="562"/>
      <c r="J2876" s="562"/>
    </row>
    <row r="2877" spans="1:10" hidden="1" x14ac:dyDescent="0.25">
      <c r="A2877" s="362"/>
      <c r="B2877" s="611">
        <v>44250</v>
      </c>
      <c r="C2877" s="362" t="s">
        <v>80</v>
      </c>
      <c r="D2877" s="562">
        <v>322037100</v>
      </c>
      <c r="E2877" s="562">
        <v>33625000</v>
      </c>
      <c r="F2877" s="562">
        <v>355662100</v>
      </c>
      <c r="G2877" s="562">
        <f t="shared" si="72"/>
        <v>0</v>
      </c>
      <c r="H2877" s="562"/>
      <c r="I2877" s="562"/>
      <c r="J2877" s="562"/>
    </row>
    <row r="2878" spans="1:10" hidden="1" x14ac:dyDescent="0.25">
      <c r="A2878" s="362"/>
      <c r="B2878" s="611">
        <v>44250</v>
      </c>
      <c r="C2878" s="362" t="s">
        <v>83</v>
      </c>
      <c r="D2878" s="562">
        <v>249005280</v>
      </c>
      <c r="E2878" s="562">
        <v>40741007</v>
      </c>
      <c r="F2878" s="562">
        <v>289746300</v>
      </c>
      <c r="G2878" s="562">
        <f t="shared" si="72"/>
        <v>-13</v>
      </c>
      <c r="H2878" s="562"/>
      <c r="I2878" s="562"/>
      <c r="J2878" s="562"/>
    </row>
    <row r="2879" spans="1:10" hidden="1" x14ac:dyDescent="0.25">
      <c r="A2879" s="362"/>
      <c r="B2879" s="611">
        <v>44250</v>
      </c>
      <c r="C2879" s="362" t="s">
        <v>78</v>
      </c>
      <c r="D2879" s="562">
        <v>67978636</v>
      </c>
      <c r="E2879" s="562">
        <v>5766664</v>
      </c>
      <c r="F2879" s="562">
        <v>73745300</v>
      </c>
      <c r="G2879" s="562">
        <f t="shared" si="72"/>
        <v>0</v>
      </c>
      <c r="H2879" s="562"/>
      <c r="I2879" s="562"/>
      <c r="J2879" s="562"/>
    </row>
    <row r="2880" spans="1:10" hidden="1" x14ac:dyDescent="0.25">
      <c r="A2880" s="362"/>
      <c r="B2880" s="611">
        <v>44250</v>
      </c>
      <c r="C2880" s="362" t="s">
        <v>141</v>
      </c>
      <c r="D2880" s="562">
        <v>87779790</v>
      </c>
      <c r="E2880" s="562">
        <v>3639405</v>
      </c>
      <c r="F2880" s="562">
        <v>91419200</v>
      </c>
      <c r="G2880" s="562">
        <f t="shared" si="72"/>
        <v>-5</v>
      </c>
      <c r="H2880" s="562"/>
      <c r="I2880" s="562"/>
      <c r="J2880" s="562"/>
    </row>
    <row r="2881" spans="1:10" hidden="1" x14ac:dyDescent="0.25">
      <c r="A2881" s="362"/>
      <c r="B2881" s="611">
        <v>44250</v>
      </c>
      <c r="C2881" s="362" t="s">
        <v>89</v>
      </c>
      <c r="D2881" s="562">
        <v>143744926</v>
      </c>
      <c r="E2881" s="562">
        <v>46773774</v>
      </c>
      <c r="F2881" s="562">
        <v>190518700</v>
      </c>
      <c r="G2881" s="562">
        <f t="shared" si="72"/>
        <v>0</v>
      </c>
      <c r="H2881" s="562"/>
      <c r="I2881" s="562"/>
      <c r="J2881" s="562"/>
    </row>
    <row r="2882" spans="1:10" hidden="1" x14ac:dyDescent="0.25">
      <c r="A2882" s="362"/>
      <c r="B2882" s="611">
        <v>44250</v>
      </c>
      <c r="C2882" s="362" t="s">
        <v>81</v>
      </c>
      <c r="D2882" s="562">
        <v>88742931</v>
      </c>
      <c r="E2882" s="562">
        <v>5659824</v>
      </c>
      <c r="F2882" s="562">
        <v>94402800</v>
      </c>
      <c r="G2882" s="562">
        <f t="shared" si="72"/>
        <v>-45</v>
      </c>
      <c r="H2882" s="562"/>
      <c r="I2882" s="562"/>
      <c r="J2882" s="562"/>
    </row>
    <row r="2883" spans="1:10" hidden="1" x14ac:dyDescent="0.25">
      <c r="A2883" s="362"/>
      <c r="B2883" s="611">
        <v>44250</v>
      </c>
      <c r="C2883" s="362" t="s">
        <v>84</v>
      </c>
      <c r="D2883" s="562">
        <v>193128644</v>
      </c>
      <c r="E2883" s="562">
        <v>14020043</v>
      </c>
      <c r="F2883" s="562">
        <v>207148800</v>
      </c>
      <c r="G2883" s="562">
        <f t="shared" si="72"/>
        <v>-113</v>
      </c>
      <c r="H2883" s="562"/>
      <c r="I2883" s="562"/>
      <c r="J2883" s="562"/>
    </row>
    <row r="2884" spans="1:10" hidden="1" x14ac:dyDescent="0.25">
      <c r="A2884" s="362"/>
      <c r="B2884" s="611">
        <v>44250</v>
      </c>
      <c r="C2884" s="362" t="s">
        <v>4751</v>
      </c>
      <c r="D2884" s="562">
        <v>205724791</v>
      </c>
      <c r="E2884" s="562">
        <v>15848209</v>
      </c>
      <c r="F2884" s="562">
        <v>221573000</v>
      </c>
      <c r="G2884" s="562">
        <f t="shared" si="72"/>
        <v>0</v>
      </c>
      <c r="H2884" s="562"/>
      <c r="I2884" s="562"/>
      <c r="J2884" s="562"/>
    </row>
    <row r="2885" spans="1:10" hidden="1" x14ac:dyDescent="0.25">
      <c r="A2885" s="362"/>
      <c r="B2885" s="611">
        <v>44250</v>
      </c>
      <c r="C2885" s="362" t="s">
        <v>166</v>
      </c>
      <c r="D2885" s="562">
        <v>73069864</v>
      </c>
      <c r="E2885" s="562">
        <v>11596000</v>
      </c>
      <c r="F2885" s="562">
        <v>73069900</v>
      </c>
      <c r="G2885" s="562">
        <f t="shared" si="72"/>
        <v>11595964</v>
      </c>
      <c r="H2885" s="562"/>
      <c r="I2885" s="562"/>
      <c r="J2885" s="562"/>
    </row>
    <row r="2886" spans="1:10" hidden="1" x14ac:dyDescent="0.25">
      <c r="A2886" s="362"/>
      <c r="B2886" s="611">
        <v>44250</v>
      </c>
      <c r="C2886" s="362" t="s">
        <v>3435</v>
      </c>
      <c r="D2886" s="562">
        <v>45126669</v>
      </c>
      <c r="E2886" s="562"/>
      <c r="F2886" s="562">
        <v>45126700</v>
      </c>
      <c r="G2886" s="562">
        <f t="shared" si="72"/>
        <v>-31</v>
      </c>
      <c r="H2886" s="562"/>
      <c r="I2886" s="562"/>
      <c r="J2886" s="562"/>
    </row>
    <row r="2887" spans="1:10" hidden="1" x14ac:dyDescent="0.25">
      <c r="A2887" s="362"/>
      <c r="B2887" s="611">
        <v>44250</v>
      </c>
      <c r="C2887" s="370" t="s">
        <v>85</v>
      </c>
      <c r="D2887" s="562">
        <v>31924200</v>
      </c>
      <c r="E2887" s="562"/>
      <c r="F2887" s="562">
        <v>31924200</v>
      </c>
      <c r="G2887" s="562">
        <f t="shared" si="72"/>
        <v>0</v>
      </c>
      <c r="H2887" s="562"/>
      <c r="I2887" s="562"/>
      <c r="J2887" s="562"/>
    </row>
    <row r="2888" spans="1:10" hidden="1" x14ac:dyDescent="0.25">
      <c r="A2888" s="532"/>
      <c r="B2888" s="532"/>
      <c r="C2888" s="532"/>
      <c r="D2888" s="564">
        <f>SUM(D2873:D2887)</f>
        <v>1905126911</v>
      </c>
      <c r="E2888" s="564">
        <f t="shared" ref="E2888:G2888" si="73">SUM(E2873:E2887)</f>
        <v>393065121</v>
      </c>
      <c r="F2888" s="564">
        <f t="shared" si="73"/>
        <v>2286596200</v>
      </c>
      <c r="G2888" s="564">
        <f t="shared" si="73"/>
        <v>11595832</v>
      </c>
      <c r="H2888" s="564"/>
      <c r="I2888" s="564"/>
      <c r="J2888" s="564"/>
    </row>
    <row r="2889" spans="1:10" hidden="1" x14ac:dyDescent="0.25">
      <c r="A2889" s="362"/>
      <c r="B2889" s="611">
        <v>44251</v>
      </c>
      <c r="C2889" s="362" t="s">
        <v>86</v>
      </c>
      <c r="D2889" s="562">
        <v>116338490</v>
      </c>
      <c r="E2889" s="562">
        <v>20050240</v>
      </c>
      <c r="F2889" s="562">
        <v>136388700</v>
      </c>
      <c r="G2889" s="562">
        <f>D2889+E2889-F2889</f>
        <v>30</v>
      </c>
      <c r="H2889" s="562"/>
      <c r="I2889" s="562"/>
      <c r="J2889" s="562"/>
    </row>
    <row r="2890" spans="1:10" hidden="1" x14ac:dyDescent="0.25">
      <c r="A2890" s="362"/>
      <c r="B2890" s="611">
        <v>44251</v>
      </c>
      <c r="C2890" s="362" t="s">
        <v>87</v>
      </c>
      <c r="D2890" s="562">
        <v>83860303</v>
      </c>
      <c r="E2890" s="562">
        <v>111083823</v>
      </c>
      <c r="F2890" s="562">
        <v>194944200</v>
      </c>
      <c r="G2890" s="562">
        <f t="shared" ref="G2890:G2903" si="74">D2890+E2890-F2890</f>
        <v>-74</v>
      </c>
      <c r="H2890" s="562"/>
      <c r="I2890" s="562"/>
      <c r="J2890" s="562"/>
    </row>
    <row r="2891" spans="1:10" hidden="1" x14ac:dyDescent="0.25">
      <c r="A2891" s="362"/>
      <c r="B2891" s="611">
        <v>44251</v>
      </c>
      <c r="C2891" s="362" t="s">
        <v>88</v>
      </c>
      <c r="D2891" s="562">
        <v>137173047</v>
      </c>
      <c r="E2891" s="562">
        <v>5761704</v>
      </c>
      <c r="F2891" s="562">
        <v>142934800</v>
      </c>
      <c r="G2891" s="562">
        <f t="shared" si="74"/>
        <v>-49</v>
      </c>
      <c r="H2891" s="562"/>
      <c r="I2891" s="562"/>
      <c r="J2891" s="562"/>
    </row>
    <row r="2892" spans="1:10" hidden="1" x14ac:dyDescent="0.25">
      <c r="A2892" s="362"/>
      <c r="B2892" s="611">
        <v>44251</v>
      </c>
      <c r="C2892" s="362" t="s">
        <v>82</v>
      </c>
      <c r="D2892" s="562">
        <v>78464994</v>
      </c>
      <c r="E2892" s="562">
        <v>5439405</v>
      </c>
      <c r="F2892" s="562">
        <v>83904500</v>
      </c>
      <c r="G2892" s="562">
        <f t="shared" si="74"/>
        <v>-101</v>
      </c>
      <c r="H2892" s="562"/>
      <c r="I2892" s="562"/>
      <c r="J2892" s="562"/>
    </row>
    <row r="2893" spans="1:10" hidden="1" x14ac:dyDescent="0.25">
      <c r="A2893" s="362"/>
      <c r="B2893" s="611">
        <v>44251</v>
      </c>
      <c r="C2893" s="362" t="s">
        <v>80</v>
      </c>
      <c r="D2893" s="562">
        <v>308875165</v>
      </c>
      <c r="E2893" s="562"/>
      <c r="F2893" s="562">
        <v>308925600</v>
      </c>
      <c r="G2893" s="562">
        <f t="shared" si="74"/>
        <v>-50435</v>
      </c>
      <c r="H2893" s="562"/>
      <c r="I2893" s="562"/>
      <c r="J2893" s="562"/>
    </row>
    <row r="2894" spans="1:10" hidden="1" x14ac:dyDescent="0.25">
      <c r="A2894" s="362"/>
      <c r="B2894" s="611">
        <v>44251</v>
      </c>
      <c r="C2894" s="362" t="s">
        <v>83</v>
      </c>
      <c r="D2894" s="562">
        <v>224674235</v>
      </c>
      <c r="E2894" s="562">
        <v>50781565</v>
      </c>
      <c r="F2894" s="562">
        <v>275455800</v>
      </c>
      <c r="G2894" s="562">
        <f t="shared" si="74"/>
        <v>0</v>
      </c>
      <c r="H2894" s="562"/>
      <c r="I2894" s="562"/>
      <c r="J2894" s="562"/>
    </row>
    <row r="2895" spans="1:10" hidden="1" x14ac:dyDescent="0.25">
      <c r="A2895" s="362"/>
      <c r="B2895" s="611">
        <v>44251</v>
      </c>
      <c r="C2895" s="362" t="s">
        <v>78</v>
      </c>
      <c r="D2895" s="562">
        <v>70324468</v>
      </c>
      <c r="E2895" s="562">
        <v>6822232</v>
      </c>
      <c r="F2895" s="562">
        <v>77146700</v>
      </c>
      <c r="G2895" s="562">
        <f t="shared" si="74"/>
        <v>0</v>
      </c>
      <c r="H2895" s="562"/>
      <c r="I2895" s="562"/>
      <c r="J2895" s="562"/>
    </row>
    <row r="2896" spans="1:10" hidden="1" x14ac:dyDescent="0.25">
      <c r="A2896" s="362"/>
      <c r="B2896" s="611">
        <v>44251</v>
      </c>
      <c r="C2896" s="362" t="s">
        <v>141</v>
      </c>
      <c r="D2896" s="562">
        <v>48658688</v>
      </c>
      <c r="E2896" s="562">
        <v>305197</v>
      </c>
      <c r="F2896" s="562">
        <v>48963900</v>
      </c>
      <c r="G2896" s="562">
        <f t="shared" si="74"/>
        <v>-15</v>
      </c>
      <c r="H2896" s="562"/>
      <c r="I2896" s="562"/>
      <c r="J2896" s="562"/>
    </row>
    <row r="2897" spans="1:10" hidden="1" x14ac:dyDescent="0.25">
      <c r="A2897" s="362"/>
      <c r="B2897" s="611">
        <v>44251</v>
      </c>
      <c r="C2897" s="362" t="s">
        <v>89</v>
      </c>
      <c r="D2897" s="562">
        <v>160562575</v>
      </c>
      <c r="E2897" s="562">
        <v>14074925</v>
      </c>
      <c r="F2897" s="562">
        <v>174637500</v>
      </c>
      <c r="G2897" s="562">
        <f t="shared" si="74"/>
        <v>0</v>
      </c>
      <c r="H2897" s="562"/>
      <c r="I2897" s="562"/>
      <c r="J2897" s="562"/>
    </row>
    <row r="2898" spans="1:10" hidden="1" x14ac:dyDescent="0.25">
      <c r="A2898" s="362"/>
      <c r="B2898" s="611">
        <v>44251</v>
      </c>
      <c r="C2898" s="362" t="s">
        <v>81</v>
      </c>
      <c r="D2898" s="562">
        <v>79025611</v>
      </c>
      <c r="E2898" s="562">
        <v>17222063</v>
      </c>
      <c r="F2898" s="562">
        <v>96247800</v>
      </c>
      <c r="G2898" s="562">
        <f t="shared" si="74"/>
        <v>-126</v>
      </c>
      <c r="H2898" s="562"/>
      <c r="I2898" s="562"/>
      <c r="J2898" s="562"/>
    </row>
    <row r="2899" spans="1:10" hidden="1" x14ac:dyDescent="0.25">
      <c r="A2899" s="362"/>
      <c r="B2899" s="611">
        <v>44251</v>
      </c>
      <c r="C2899" s="362" t="s">
        <v>84</v>
      </c>
      <c r="D2899" s="562">
        <v>300660290</v>
      </c>
      <c r="E2899" s="562">
        <v>165572725</v>
      </c>
      <c r="F2899" s="562">
        <v>466233100</v>
      </c>
      <c r="G2899" s="562">
        <f t="shared" si="74"/>
        <v>-85</v>
      </c>
      <c r="H2899" s="562"/>
      <c r="I2899" s="562"/>
      <c r="J2899" s="562"/>
    </row>
    <row r="2900" spans="1:10" hidden="1" x14ac:dyDescent="0.25">
      <c r="A2900" s="362"/>
      <c r="B2900" s="611">
        <v>44251</v>
      </c>
      <c r="C2900" s="362" t="s">
        <v>4751</v>
      </c>
      <c r="D2900" s="562">
        <v>206283642</v>
      </c>
      <c r="E2900" s="562">
        <v>11643458</v>
      </c>
      <c r="F2900" s="562">
        <v>217927100</v>
      </c>
      <c r="G2900" s="562">
        <f t="shared" si="74"/>
        <v>0</v>
      </c>
      <c r="H2900" s="562"/>
      <c r="I2900" s="562"/>
      <c r="J2900" s="562"/>
    </row>
    <row r="2901" spans="1:10" hidden="1" x14ac:dyDescent="0.25">
      <c r="A2901" s="362"/>
      <c r="B2901" s="611">
        <v>44251</v>
      </c>
      <c r="C2901" s="362" t="s">
        <v>166</v>
      </c>
      <c r="D2901" s="562">
        <v>76454385</v>
      </c>
      <c r="E2901" s="562"/>
      <c r="F2901" s="562">
        <v>76454400</v>
      </c>
      <c r="G2901" s="562">
        <f t="shared" si="74"/>
        <v>-15</v>
      </c>
      <c r="H2901" s="562"/>
      <c r="I2901" s="562"/>
      <c r="J2901" s="562"/>
    </row>
    <row r="2902" spans="1:10" hidden="1" x14ac:dyDescent="0.25">
      <c r="A2902" s="362"/>
      <c r="B2902" s="611">
        <v>44251</v>
      </c>
      <c r="C2902" s="362" t="s">
        <v>3435</v>
      </c>
      <c r="D2902" s="562">
        <v>83005125</v>
      </c>
      <c r="E2902" s="562"/>
      <c r="F2902" s="562">
        <v>83005200</v>
      </c>
      <c r="G2902" s="562">
        <f t="shared" si="74"/>
        <v>-75</v>
      </c>
      <c r="H2902" s="562"/>
      <c r="I2902" s="562"/>
      <c r="J2902" s="562"/>
    </row>
    <row r="2903" spans="1:10" hidden="1" x14ac:dyDescent="0.25">
      <c r="A2903" s="362"/>
      <c r="B2903" s="611">
        <v>44251</v>
      </c>
      <c r="C2903" s="370" t="s">
        <v>85</v>
      </c>
      <c r="D2903" s="562">
        <v>42802100</v>
      </c>
      <c r="E2903" s="562"/>
      <c r="F2903" s="562">
        <v>42802100</v>
      </c>
      <c r="G2903" s="562">
        <f t="shared" si="74"/>
        <v>0</v>
      </c>
      <c r="H2903" s="562"/>
      <c r="I2903" s="562"/>
      <c r="J2903" s="562"/>
    </row>
    <row r="2904" spans="1:10" hidden="1" x14ac:dyDescent="0.25">
      <c r="A2904" s="532"/>
      <c r="B2904" s="532"/>
      <c r="C2904" s="532"/>
      <c r="D2904" s="564">
        <f>SUM(D2889:D2903)</f>
        <v>2017163118</v>
      </c>
      <c r="E2904" s="564">
        <f t="shared" ref="E2904:G2904" si="75">SUM(E2889:E2903)</f>
        <v>408757337</v>
      </c>
      <c r="F2904" s="564">
        <f t="shared" si="75"/>
        <v>2425971400</v>
      </c>
      <c r="G2904" s="564">
        <f t="shared" si="75"/>
        <v>-50945</v>
      </c>
      <c r="H2904" s="564"/>
      <c r="I2904" s="564"/>
      <c r="J2904" s="564"/>
    </row>
    <row r="2905" spans="1:10" hidden="1" x14ac:dyDescent="0.25">
      <c r="A2905" s="362"/>
      <c r="B2905" s="611">
        <v>44252</v>
      </c>
      <c r="C2905" s="362" t="s">
        <v>86</v>
      </c>
      <c r="D2905" s="562">
        <v>126255243</v>
      </c>
      <c r="E2905" s="562">
        <v>237183050</v>
      </c>
      <c r="F2905" s="562">
        <v>363438300</v>
      </c>
      <c r="G2905" s="562">
        <f>D2905+E2905-F2905</f>
        <v>-7</v>
      </c>
      <c r="H2905" s="562"/>
      <c r="I2905" s="562"/>
      <c r="J2905" s="562"/>
    </row>
    <row r="2906" spans="1:10" hidden="1" x14ac:dyDescent="0.25">
      <c r="A2906" s="362"/>
      <c r="B2906" s="611">
        <v>44252</v>
      </c>
      <c r="C2906" s="362" t="s">
        <v>87</v>
      </c>
      <c r="D2906" s="562">
        <v>99014219</v>
      </c>
      <c r="E2906" s="562">
        <v>101892883</v>
      </c>
      <c r="F2906" s="562">
        <v>200907200</v>
      </c>
      <c r="G2906" s="562">
        <f t="shared" ref="G2906:G2919" si="76">D2906+E2906-F2906</f>
        <v>-98</v>
      </c>
      <c r="H2906" s="562"/>
      <c r="I2906" s="562"/>
      <c r="J2906" s="562"/>
    </row>
    <row r="2907" spans="1:10" hidden="1" x14ac:dyDescent="0.25">
      <c r="A2907" s="362"/>
      <c r="B2907" s="611">
        <v>44252</v>
      </c>
      <c r="C2907" s="362" t="s">
        <v>88</v>
      </c>
      <c r="D2907" s="562">
        <v>217225703</v>
      </c>
      <c r="E2907" s="562">
        <v>9461693</v>
      </c>
      <c r="F2907" s="562">
        <v>226686800</v>
      </c>
      <c r="G2907" s="562">
        <f t="shared" si="76"/>
        <v>596</v>
      </c>
      <c r="H2907" s="562"/>
      <c r="I2907" s="562"/>
      <c r="J2907" s="562"/>
    </row>
    <row r="2908" spans="1:10" hidden="1" x14ac:dyDescent="0.25">
      <c r="A2908" s="362"/>
      <c r="B2908" s="611">
        <v>44252</v>
      </c>
      <c r="C2908" s="362" t="s">
        <v>82</v>
      </c>
      <c r="D2908" s="562">
        <v>223062519</v>
      </c>
      <c r="E2908" s="562">
        <v>12638280</v>
      </c>
      <c r="F2908" s="562">
        <v>235700800</v>
      </c>
      <c r="G2908" s="562">
        <f t="shared" si="76"/>
        <v>-1</v>
      </c>
      <c r="H2908" s="562"/>
      <c r="I2908" s="562"/>
      <c r="J2908" s="562"/>
    </row>
    <row r="2909" spans="1:10" hidden="1" x14ac:dyDescent="0.25">
      <c r="A2909" s="362"/>
      <c r="B2909" s="611">
        <v>44252</v>
      </c>
      <c r="C2909" s="362" t="s">
        <v>80</v>
      </c>
      <c r="D2909" s="562">
        <v>211414181</v>
      </c>
      <c r="E2909" s="562"/>
      <c r="F2909" s="562">
        <v>211414200</v>
      </c>
      <c r="G2909" s="562">
        <f t="shared" si="76"/>
        <v>-19</v>
      </c>
      <c r="H2909" s="562"/>
      <c r="I2909" s="562"/>
      <c r="J2909" s="562"/>
    </row>
    <row r="2910" spans="1:10" hidden="1" x14ac:dyDescent="0.25">
      <c r="A2910" s="362"/>
      <c r="B2910" s="611">
        <v>44252</v>
      </c>
      <c r="C2910" s="362" t="s">
        <v>83</v>
      </c>
      <c r="D2910" s="562">
        <v>194743051</v>
      </c>
      <c r="E2910" s="562">
        <v>27052321</v>
      </c>
      <c r="F2910" s="562">
        <v>221795400</v>
      </c>
      <c r="G2910" s="562">
        <f t="shared" si="76"/>
        <v>-28</v>
      </c>
      <c r="H2910" s="562"/>
      <c r="I2910" s="562"/>
      <c r="J2910" s="562"/>
    </row>
    <row r="2911" spans="1:10" hidden="1" x14ac:dyDescent="0.25">
      <c r="A2911" s="362"/>
      <c r="B2911" s="611">
        <v>44252</v>
      </c>
      <c r="C2911" s="362" t="s">
        <v>78</v>
      </c>
      <c r="D2911" s="562">
        <v>95610974</v>
      </c>
      <c r="E2911" s="562">
        <v>789826</v>
      </c>
      <c r="F2911" s="562">
        <v>96400800</v>
      </c>
      <c r="G2911" s="562">
        <f t="shared" si="76"/>
        <v>0</v>
      </c>
      <c r="H2911" s="562"/>
      <c r="I2911" s="562"/>
      <c r="J2911" s="562"/>
    </row>
    <row r="2912" spans="1:10" hidden="1" x14ac:dyDescent="0.25">
      <c r="A2912" s="362"/>
      <c r="B2912" s="611">
        <v>44252</v>
      </c>
      <c r="C2912" s="362" t="s">
        <v>141</v>
      </c>
      <c r="D2912" s="562">
        <v>89353488</v>
      </c>
      <c r="E2912" s="562">
        <v>3603750</v>
      </c>
      <c r="F2912" s="562">
        <v>92957300</v>
      </c>
      <c r="G2912" s="562">
        <f t="shared" si="76"/>
        <v>-62</v>
      </c>
      <c r="H2912" s="562"/>
      <c r="I2912" s="562"/>
      <c r="J2912" s="562"/>
    </row>
    <row r="2913" spans="1:10" hidden="1" x14ac:dyDescent="0.25">
      <c r="A2913" s="362"/>
      <c r="B2913" s="611">
        <v>44252</v>
      </c>
      <c r="C2913" s="362" t="s">
        <v>89</v>
      </c>
      <c r="D2913" s="562">
        <v>172363334</v>
      </c>
      <c r="E2913" s="562">
        <v>12150766</v>
      </c>
      <c r="F2913" s="562">
        <v>184514100</v>
      </c>
      <c r="G2913" s="562">
        <f t="shared" si="76"/>
        <v>0</v>
      </c>
      <c r="H2913" s="562"/>
      <c r="I2913" s="562"/>
      <c r="J2913" s="562"/>
    </row>
    <row r="2914" spans="1:10" hidden="1" x14ac:dyDescent="0.25">
      <c r="A2914" s="362"/>
      <c r="B2914" s="611">
        <v>44252</v>
      </c>
      <c r="C2914" s="362" t="s">
        <v>81</v>
      </c>
      <c r="D2914" s="562">
        <v>53335459</v>
      </c>
      <c r="E2914" s="562">
        <v>17040222</v>
      </c>
      <c r="F2914" s="562">
        <v>70375600</v>
      </c>
      <c r="G2914" s="562">
        <f t="shared" si="76"/>
        <v>81</v>
      </c>
      <c r="H2914" s="562"/>
      <c r="I2914" s="562"/>
      <c r="J2914" s="562"/>
    </row>
    <row r="2915" spans="1:10" hidden="1" x14ac:dyDescent="0.25">
      <c r="A2915" s="362"/>
      <c r="B2915" s="611">
        <v>44252</v>
      </c>
      <c r="C2915" s="362" t="s">
        <v>84</v>
      </c>
      <c r="D2915" s="562">
        <v>283389066</v>
      </c>
      <c r="E2915" s="562">
        <v>24517896</v>
      </c>
      <c r="F2915" s="562">
        <v>307907000</v>
      </c>
      <c r="G2915" s="562">
        <f t="shared" si="76"/>
        <v>-38</v>
      </c>
      <c r="H2915" s="562"/>
      <c r="I2915" s="562"/>
      <c r="J2915" s="562"/>
    </row>
    <row r="2916" spans="1:10" hidden="1" x14ac:dyDescent="0.25">
      <c r="A2916" s="362"/>
      <c r="B2916" s="611">
        <v>44252</v>
      </c>
      <c r="C2916" s="362" t="s">
        <v>4751</v>
      </c>
      <c r="D2916" s="562">
        <v>308319886</v>
      </c>
      <c r="E2916" s="562">
        <v>7266114</v>
      </c>
      <c r="F2916" s="562">
        <v>315586000</v>
      </c>
      <c r="G2916" s="562">
        <f t="shared" si="76"/>
        <v>0</v>
      </c>
      <c r="H2916" s="562"/>
      <c r="I2916" s="562"/>
      <c r="J2916" s="562"/>
    </row>
    <row r="2917" spans="1:10" hidden="1" x14ac:dyDescent="0.25">
      <c r="A2917" s="362"/>
      <c r="B2917" s="611">
        <v>44252</v>
      </c>
      <c r="C2917" s="362" t="s">
        <v>166</v>
      </c>
      <c r="D2917" s="562">
        <v>76358669</v>
      </c>
      <c r="E2917" s="562"/>
      <c r="F2917" s="562">
        <v>76358700</v>
      </c>
      <c r="G2917" s="562">
        <f t="shared" si="76"/>
        <v>-31</v>
      </c>
      <c r="H2917" s="562"/>
      <c r="I2917" s="562"/>
      <c r="J2917" s="562"/>
    </row>
    <row r="2918" spans="1:10" hidden="1" x14ac:dyDescent="0.25">
      <c r="A2918" s="362"/>
      <c r="B2918" s="611">
        <v>44252</v>
      </c>
      <c r="C2918" s="362" t="s">
        <v>3435</v>
      </c>
      <c r="D2918" s="562">
        <v>52044974</v>
      </c>
      <c r="E2918" s="562"/>
      <c r="F2918" s="562">
        <v>52045000</v>
      </c>
      <c r="G2918" s="562">
        <f t="shared" si="76"/>
        <v>-26</v>
      </c>
      <c r="H2918" s="562"/>
      <c r="I2918" s="562"/>
      <c r="J2918" s="562"/>
    </row>
    <row r="2919" spans="1:10" hidden="1" x14ac:dyDescent="0.25">
      <c r="A2919" s="362"/>
      <c r="B2919" s="611">
        <v>44252</v>
      </c>
      <c r="C2919" s="370" t="s">
        <v>85</v>
      </c>
      <c r="D2919" s="562">
        <v>29257700</v>
      </c>
      <c r="E2919" s="562"/>
      <c r="F2919" s="562">
        <v>29257700</v>
      </c>
      <c r="G2919" s="562">
        <f t="shared" si="76"/>
        <v>0</v>
      </c>
      <c r="H2919" s="562"/>
      <c r="I2919" s="562"/>
      <c r="J2919" s="562"/>
    </row>
    <row r="2920" spans="1:10" hidden="1" x14ac:dyDescent="0.25">
      <c r="A2920" s="532"/>
      <c r="B2920" s="532"/>
      <c r="C2920" s="532"/>
      <c r="D2920" s="564">
        <f>SUM(D2905:D2919)</f>
        <v>2231748466</v>
      </c>
      <c r="E2920" s="564">
        <f t="shared" ref="E2920:G2920" si="77">SUM(E2905:E2919)</f>
        <v>453596801</v>
      </c>
      <c r="F2920" s="564">
        <f t="shared" si="77"/>
        <v>2685344900</v>
      </c>
      <c r="G2920" s="564">
        <f t="shared" si="77"/>
        <v>367</v>
      </c>
      <c r="H2920" s="564"/>
      <c r="I2920" s="564"/>
      <c r="J2920" s="564"/>
    </row>
    <row r="2921" spans="1:10" hidden="1" x14ac:dyDescent="0.25">
      <c r="A2921" s="362"/>
      <c r="B2921" s="611">
        <v>44253</v>
      </c>
      <c r="C2921" s="362" t="s">
        <v>86</v>
      </c>
      <c r="D2921" s="562">
        <v>56735313</v>
      </c>
      <c r="E2921" s="562">
        <v>111835360</v>
      </c>
      <c r="F2921" s="562">
        <v>168584400</v>
      </c>
      <c r="G2921" s="562">
        <f>D2921+E2921-F2921</f>
        <v>-13727</v>
      </c>
      <c r="H2921" s="562"/>
      <c r="I2921" s="562"/>
      <c r="J2921" s="562"/>
    </row>
    <row r="2922" spans="1:10" hidden="1" x14ac:dyDescent="0.25">
      <c r="A2922" s="362"/>
      <c r="B2922" s="611">
        <v>44253</v>
      </c>
      <c r="C2922" s="362" t="s">
        <v>87</v>
      </c>
      <c r="D2922" s="562">
        <v>91314181</v>
      </c>
      <c r="E2922" s="562">
        <v>58143494</v>
      </c>
      <c r="F2922" s="562">
        <v>149457700</v>
      </c>
      <c r="G2922" s="562">
        <f t="shared" ref="G2922:G2935" si="78">D2922+E2922-F2922</f>
        <v>-25</v>
      </c>
      <c r="H2922" s="562"/>
      <c r="I2922" s="562"/>
      <c r="J2922" s="562"/>
    </row>
    <row r="2923" spans="1:10" hidden="1" x14ac:dyDescent="0.25">
      <c r="A2923" s="362"/>
      <c r="B2923" s="611">
        <v>44253</v>
      </c>
      <c r="C2923" s="362" t="s">
        <v>88</v>
      </c>
      <c r="D2923" s="562">
        <v>123186789</v>
      </c>
      <c r="E2923" s="562">
        <v>83598295</v>
      </c>
      <c r="F2923" s="562">
        <v>206785100</v>
      </c>
      <c r="G2923" s="562">
        <f t="shared" si="78"/>
        <v>-16</v>
      </c>
      <c r="H2923" s="562"/>
      <c r="I2923" s="562"/>
      <c r="J2923" s="562"/>
    </row>
    <row r="2924" spans="1:10" hidden="1" x14ac:dyDescent="0.25">
      <c r="A2924" s="362"/>
      <c r="B2924" s="611">
        <v>44253</v>
      </c>
      <c r="C2924" s="362" t="s">
        <v>82</v>
      </c>
      <c r="D2924" s="562">
        <v>134230060</v>
      </c>
      <c r="E2924" s="562">
        <v>19920263</v>
      </c>
      <c r="F2924" s="562">
        <v>154150400</v>
      </c>
      <c r="G2924" s="562">
        <f t="shared" si="78"/>
        <v>-77</v>
      </c>
      <c r="H2924" s="562"/>
      <c r="I2924" s="562"/>
      <c r="J2924" s="562"/>
    </row>
    <row r="2925" spans="1:10" hidden="1" x14ac:dyDescent="0.25">
      <c r="A2925" s="362"/>
      <c r="B2925" s="611">
        <v>44253</v>
      </c>
      <c r="C2925" s="362" t="s">
        <v>80</v>
      </c>
      <c r="D2925" s="562">
        <v>264169997</v>
      </c>
      <c r="E2925" s="562">
        <v>1562856</v>
      </c>
      <c r="F2925" s="562">
        <v>265767500</v>
      </c>
      <c r="G2925" s="562">
        <f t="shared" si="78"/>
        <v>-34647</v>
      </c>
      <c r="H2925" s="562"/>
      <c r="I2925" s="562"/>
      <c r="J2925" s="562"/>
    </row>
    <row r="2926" spans="1:10" hidden="1" x14ac:dyDescent="0.25">
      <c r="A2926" s="362"/>
      <c r="B2926" s="611">
        <v>44253</v>
      </c>
      <c r="C2926" s="362" t="s">
        <v>83</v>
      </c>
      <c r="D2926" s="562">
        <v>218924737</v>
      </c>
      <c r="E2926" s="562">
        <v>142893480</v>
      </c>
      <c r="F2926" s="562">
        <v>361818300</v>
      </c>
      <c r="G2926" s="562">
        <f t="shared" si="78"/>
        <v>-83</v>
      </c>
      <c r="H2926" s="562"/>
      <c r="I2926" s="562"/>
      <c r="J2926" s="562"/>
    </row>
    <row r="2927" spans="1:10" hidden="1" x14ac:dyDescent="0.25">
      <c r="A2927" s="362"/>
      <c r="B2927" s="611">
        <v>44253</v>
      </c>
      <c r="C2927" s="362" t="s">
        <v>78</v>
      </c>
      <c r="D2927" s="562">
        <v>178038708</v>
      </c>
      <c r="E2927" s="562">
        <v>9902292</v>
      </c>
      <c r="F2927" s="562">
        <v>187941000</v>
      </c>
      <c r="G2927" s="562">
        <f t="shared" si="78"/>
        <v>0</v>
      </c>
      <c r="H2927" s="562"/>
      <c r="I2927" s="562"/>
      <c r="J2927" s="562"/>
    </row>
    <row r="2928" spans="1:10" hidden="1" x14ac:dyDescent="0.25">
      <c r="A2928" s="362"/>
      <c r="B2928" s="611">
        <v>44253</v>
      </c>
      <c r="C2928" s="362" t="s">
        <v>141</v>
      </c>
      <c r="D2928" s="562">
        <v>57909307</v>
      </c>
      <c r="E2928" s="562">
        <v>5596766</v>
      </c>
      <c r="F2928" s="562">
        <v>63506100</v>
      </c>
      <c r="G2928" s="562">
        <f t="shared" si="78"/>
        <v>-27</v>
      </c>
      <c r="H2928" s="562"/>
      <c r="I2928" s="562"/>
      <c r="J2928" s="562"/>
    </row>
    <row r="2929" spans="1:10" hidden="1" x14ac:dyDescent="0.25">
      <c r="A2929" s="362"/>
      <c r="B2929" s="611">
        <v>44253</v>
      </c>
      <c r="C2929" s="362" t="s">
        <v>89</v>
      </c>
      <c r="D2929" s="562">
        <v>217113167</v>
      </c>
      <c r="E2929" s="562">
        <v>22230433</v>
      </c>
      <c r="F2929" s="562">
        <v>239343600</v>
      </c>
      <c r="G2929" s="562">
        <f t="shared" si="78"/>
        <v>0</v>
      </c>
      <c r="H2929" s="562"/>
      <c r="I2929" s="562"/>
      <c r="J2929" s="562"/>
    </row>
    <row r="2930" spans="1:10" hidden="1" x14ac:dyDescent="0.25">
      <c r="A2930" s="362"/>
      <c r="B2930" s="611">
        <v>44253</v>
      </c>
      <c r="C2930" s="362" t="s">
        <v>81</v>
      </c>
      <c r="D2930" s="562">
        <v>37592233</v>
      </c>
      <c r="E2930" s="562">
        <v>7727950</v>
      </c>
      <c r="F2930" s="562">
        <v>45320200</v>
      </c>
      <c r="G2930" s="562">
        <f t="shared" si="78"/>
        <v>-17</v>
      </c>
      <c r="H2930" s="562"/>
      <c r="I2930" s="562"/>
      <c r="J2930" s="562"/>
    </row>
    <row r="2931" spans="1:10" hidden="1" x14ac:dyDescent="0.25">
      <c r="A2931" s="362"/>
      <c r="B2931" s="611">
        <v>44253</v>
      </c>
      <c r="C2931" s="362" t="s">
        <v>84</v>
      </c>
      <c r="D2931" s="562">
        <v>177629254</v>
      </c>
      <c r="E2931" s="562">
        <v>10182367</v>
      </c>
      <c r="F2931" s="562">
        <v>187811700</v>
      </c>
      <c r="G2931" s="562">
        <f t="shared" si="78"/>
        <v>-79</v>
      </c>
      <c r="H2931" s="562"/>
      <c r="I2931" s="562"/>
      <c r="J2931" s="562"/>
    </row>
    <row r="2932" spans="1:10" hidden="1" x14ac:dyDescent="0.25">
      <c r="A2932" s="362"/>
      <c r="B2932" s="611">
        <v>44253</v>
      </c>
      <c r="C2932" s="362" t="s">
        <v>4751</v>
      </c>
      <c r="D2932" s="562">
        <v>191216268</v>
      </c>
      <c r="E2932" s="562">
        <v>24557432</v>
      </c>
      <c r="F2932" s="562">
        <v>215773700</v>
      </c>
      <c r="G2932" s="562">
        <f t="shared" si="78"/>
        <v>0</v>
      </c>
      <c r="H2932" s="562"/>
      <c r="I2932" s="562"/>
      <c r="J2932" s="562"/>
    </row>
    <row r="2933" spans="1:10" hidden="1" x14ac:dyDescent="0.25">
      <c r="A2933" s="362"/>
      <c r="B2933" s="611">
        <v>44253</v>
      </c>
      <c r="C2933" s="362" t="s">
        <v>166</v>
      </c>
      <c r="D2933" s="562">
        <v>67182745</v>
      </c>
      <c r="E2933" s="562"/>
      <c r="F2933" s="562">
        <v>67182800</v>
      </c>
      <c r="G2933" s="562">
        <f t="shared" si="78"/>
        <v>-55</v>
      </c>
      <c r="H2933" s="562"/>
      <c r="I2933" s="562"/>
      <c r="J2933" s="562"/>
    </row>
    <row r="2934" spans="1:10" hidden="1" x14ac:dyDescent="0.25">
      <c r="A2934" s="362"/>
      <c r="B2934" s="611">
        <v>44253</v>
      </c>
      <c r="C2934" s="362" t="s">
        <v>3435</v>
      </c>
      <c r="D2934" s="562">
        <v>30657529</v>
      </c>
      <c r="E2934" s="562"/>
      <c r="F2934" s="562">
        <v>30657600</v>
      </c>
      <c r="G2934" s="562">
        <f t="shared" si="78"/>
        <v>-71</v>
      </c>
      <c r="H2934" s="562"/>
      <c r="I2934" s="562"/>
      <c r="J2934" s="562"/>
    </row>
    <row r="2935" spans="1:10" hidden="1" x14ac:dyDescent="0.25">
      <c r="A2935" s="362"/>
      <c r="B2935" s="611">
        <v>44253</v>
      </c>
      <c r="C2935" s="370" t="s">
        <v>85</v>
      </c>
      <c r="D2935" s="562">
        <v>22937500</v>
      </c>
      <c r="E2935" s="562"/>
      <c r="F2935" s="562">
        <v>22937500</v>
      </c>
      <c r="G2935" s="562">
        <f t="shared" si="78"/>
        <v>0</v>
      </c>
      <c r="H2935" s="562"/>
      <c r="I2935" s="562"/>
      <c r="J2935" s="562"/>
    </row>
    <row r="2936" spans="1:10" hidden="1" x14ac:dyDescent="0.25">
      <c r="A2936" s="532"/>
      <c r="B2936" s="532"/>
      <c r="C2936" s="532"/>
      <c r="D2936" s="564">
        <f>SUM(D2921:D2935)</f>
        <v>1868837788</v>
      </c>
      <c r="E2936" s="564">
        <f t="shared" ref="E2936:G2936" si="79">SUM(E2921:E2935)</f>
        <v>498150988</v>
      </c>
      <c r="F2936" s="564">
        <f t="shared" si="79"/>
        <v>2367037600</v>
      </c>
      <c r="G2936" s="564">
        <f t="shared" si="79"/>
        <v>-48824</v>
      </c>
      <c r="H2936" s="564"/>
      <c r="I2936" s="564"/>
      <c r="J2936" s="564"/>
    </row>
    <row r="2937" spans="1:10" hidden="1" x14ac:dyDescent="0.25">
      <c r="A2937" s="362"/>
      <c r="B2937" s="611">
        <v>44254</v>
      </c>
      <c r="C2937" s="362" t="s">
        <v>86</v>
      </c>
      <c r="D2937" s="562">
        <v>24743461</v>
      </c>
      <c r="E2937" s="562">
        <v>181947890</v>
      </c>
      <c r="F2937" s="562">
        <v>206691400</v>
      </c>
      <c r="G2937" s="562">
        <f>D2937+E2937-F2937</f>
        <v>-49</v>
      </c>
      <c r="H2937" s="562"/>
      <c r="I2937" s="562"/>
      <c r="J2937" s="562"/>
    </row>
    <row r="2938" spans="1:10" hidden="1" x14ac:dyDescent="0.25">
      <c r="A2938" s="362"/>
      <c r="B2938" s="611">
        <v>44254</v>
      </c>
      <c r="C2938" s="362" t="s">
        <v>87</v>
      </c>
      <c r="D2938" s="562">
        <v>80544399</v>
      </c>
      <c r="E2938" s="562">
        <v>16321884</v>
      </c>
      <c r="F2938" s="562">
        <v>96866300</v>
      </c>
      <c r="G2938" s="562">
        <f t="shared" ref="G2938:G2951" si="80">D2938+E2938-F2938</f>
        <v>-17</v>
      </c>
      <c r="H2938" s="562"/>
      <c r="I2938" s="562"/>
      <c r="J2938" s="562"/>
    </row>
    <row r="2939" spans="1:10" hidden="1" x14ac:dyDescent="0.25">
      <c r="A2939" s="362"/>
      <c r="B2939" s="611">
        <v>44254</v>
      </c>
      <c r="C2939" s="362" t="s">
        <v>88</v>
      </c>
      <c r="D2939" s="562">
        <v>159268912</v>
      </c>
      <c r="E2939" s="562">
        <v>88959778</v>
      </c>
      <c r="F2939" s="562">
        <v>248228700</v>
      </c>
      <c r="G2939" s="562">
        <f t="shared" si="80"/>
        <v>-10</v>
      </c>
      <c r="H2939" s="562"/>
      <c r="I2939" s="562"/>
      <c r="J2939" s="562"/>
    </row>
    <row r="2940" spans="1:10" hidden="1" x14ac:dyDescent="0.25">
      <c r="A2940" s="362"/>
      <c r="B2940" s="611">
        <v>44254</v>
      </c>
      <c r="C2940" s="362" t="s">
        <v>82</v>
      </c>
      <c r="D2940" s="562">
        <v>122888790</v>
      </c>
      <c r="E2940" s="562">
        <v>5749659</v>
      </c>
      <c r="F2940" s="562">
        <v>128638500</v>
      </c>
      <c r="G2940" s="562">
        <f t="shared" si="80"/>
        <v>-51</v>
      </c>
      <c r="H2940" s="562"/>
      <c r="I2940" s="562"/>
      <c r="J2940" s="562"/>
    </row>
    <row r="2941" spans="1:10" hidden="1" x14ac:dyDescent="0.25">
      <c r="A2941" s="362"/>
      <c r="B2941" s="611">
        <v>44254</v>
      </c>
      <c r="C2941" s="362" t="s">
        <v>80</v>
      </c>
      <c r="D2941" s="562">
        <v>170407797</v>
      </c>
      <c r="E2941" s="562">
        <v>40068703</v>
      </c>
      <c r="F2941" s="562">
        <v>210476500</v>
      </c>
      <c r="G2941" s="562">
        <f t="shared" si="80"/>
        <v>0</v>
      </c>
      <c r="H2941" s="562"/>
      <c r="I2941" s="562"/>
      <c r="J2941" s="562"/>
    </row>
    <row r="2942" spans="1:10" hidden="1" x14ac:dyDescent="0.25">
      <c r="A2942" s="362"/>
      <c r="B2942" s="611">
        <v>44254</v>
      </c>
      <c r="C2942" s="362" t="s">
        <v>83</v>
      </c>
      <c r="D2942" s="562">
        <v>185853881</v>
      </c>
      <c r="E2942" s="562">
        <v>85756019</v>
      </c>
      <c r="F2942" s="562">
        <v>271609900</v>
      </c>
      <c r="G2942" s="562">
        <f t="shared" si="80"/>
        <v>0</v>
      </c>
      <c r="H2942" s="562"/>
      <c r="I2942" s="562"/>
      <c r="J2942" s="562"/>
    </row>
    <row r="2943" spans="1:10" hidden="1" x14ac:dyDescent="0.25">
      <c r="A2943" s="362"/>
      <c r="B2943" s="611">
        <v>44254</v>
      </c>
      <c r="C2943" s="362" t="s">
        <v>78</v>
      </c>
      <c r="D2943" s="562">
        <v>91440976</v>
      </c>
      <c r="E2943" s="562">
        <v>23167024</v>
      </c>
      <c r="F2943" s="562">
        <v>114608000</v>
      </c>
      <c r="G2943" s="562">
        <f t="shared" si="80"/>
        <v>0</v>
      </c>
      <c r="H2943" s="562"/>
      <c r="I2943" s="562"/>
      <c r="J2943" s="562"/>
    </row>
    <row r="2944" spans="1:10" hidden="1" x14ac:dyDescent="0.25">
      <c r="A2944" s="362"/>
      <c r="B2944" s="611">
        <v>44254</v>
      </c>
      <c r="C2944" s="362" t="s">
        <v>141</v>
      </c>
      <c r="D2944" s="562">
        <v>38504028</v>
      </c>
      <c r="E2944" s="562">
        <v>3221019</v>
      </c>
      <c r="F2944" s="562">
        <v>41725300</v>
      </c>
      <c r="G2944" s="562">
        <f t="shared" si="80"/>
        <v>-253</v>
      </c>
      <c r="H2944" s="562"/>
      <c r="I2944" s="562"/>
      <c r="J2944" s="562"/>
    </row>
    <row r="2945" spans="1:10" hidden="1" x14ac:dyDescent="0.25">
      <c r="A2945" s="362"/>
      <c r="B2945" s="611">
        <v>44254</v>
      </c>
      <c r="C2945" s="362" t="s">
        <v>89</v>
      </c>
      <c r="D2945" s="562">
        <v>104239159</v>
      </c>
      <c r="E2945" s="562">
        <v>31550141</v>
      </c>
      <c r="F2945" s="562">
        <v>135789300</v>
      </c>
      <c r="G2945" s="562">
        <f t="shared" si="80"/>
        <v>0</v>
      </c>
      <c r="H2945" s="562"/>
      <c r="I2945" s="562"/>
      <c r="J2945" s="562"/>
    </row>
    <row r="2946" spans="1:10" hidden="1" x14ac:dyDescent="0.25">
      <c r="A2946" s="362"/>
      <c r="B2946" s="611">
        <v>44254</v>
      </c>
      <c r="C2946" s="362" t="s">
        <v>81</v>
      </c>
      <c r="D2946" s="562">
        <v>100554218</v>
      </c>
      <c r="E2946" s="562">
        <v>19003789</v>
      </c>
      <c r="F2946" s="562">
        <v>119558000</v>
      </c>
      <c r="G2946" s="562">
        <f t="shared" si="80"/>
        <v>7</v>
      </c>
      <c r="H2946" s="562"/>
      <c r="I2946" s="562"/>
      <c r="J2946" s="562"/>
    </row>
    <row r="2947" spans="1:10" hidden="1" x14ac:dyDescent="0.25">
      <c r="A2947" s="362"/>
      <c r="B2947" s="611">
        <v>44254</v>
      </c>
      <c r="C2947" s="362" t="s">
        <v>84</v>
      </c>
      <c r="D2947" s="562">
        <v>201355844</v>
      </c>
      <c r="E2947" s="562">
        <v>17126392</v>
      </c>
      <c r="F2947" s="562">
        <v>218482600</v>
      </c>
      <c r="G2947" s="562">
        <f t="shared" si="80"/>
        <v>-364</v>
      </c>
      <c r="H2947" s="562"/>
      <c r="I2947" s="562"/>
      <c r="J2947" s="562"/>
    </row>
    <row r="2948" spans="1:10" hidden="1" x14ac:dyDescent="0.25">
      <c r="A2948" s="362"/>
      <c r="B2948" s="611">
        <v>44254</v>
      </c>
      <c r="C2948" s="362" t="s">
        <v>4751</v>
      </c>
      <c r="D2948" s="562">
        <v>246403836</v>
      </c>
      <c r="E2948" s="562">
        <v>15042861</v>
      </c>
      <c r="F2948" s="562">
        <v>261446700</v>
      </c>
      <c r="G2948" s="562">
        <f t="shared" si="80"/>
        <v>-3</v>
      </c>
      <c r="H2948" s="562"/>
      <c r="I2948" s="562"/>
      <c r="J2948" s="562"/>
    </row>
    <row r="2949" spans="1:10" hidden="1" x14ac:dyDescent="0.25">
      <c r="A2949" s="362"/>
      <c r="B2949" s="611">
        <v>44254</v>
      </c>
      <c r="C2949" s="362" t="s">
        <v>166</v>
      </c>
      <c r="D2949" s="562"/>
      <c r="E2949" s="562"/>
      <c r="F2949" s="562"/>
      <c r="G2949" s="562">
        <f t="shared" si="80"/>
        <v>0</v>
      </c>
      <c r="H2949" s="562"/>
      <c r="I2949" s="562"/>
      <c r="J2949" s="562"/>
    </row>
    <row r="2950" spans="1:10" hidden="1" x14ac:dyDescent="0.25">
      <c r="A2950" s="362"/>
      <c r="B2950" s="611">
        <v>44254</v>
      </c>
      <c r="C2950" s="362" t="s">
        <v>3435</v>
      </c>
      <c r="D2950" s="562"/>
      <c r="E2950" s="562"/>
      <c r="F2950" s="562"/>
      <c r="G2950" s="562">
        <f t="shared" si="80"/>
        <v>0</v>
      </c>
      <c r="H2950" s="562"/>
      <c r="I2950" s="562"/>
      <c r="J2950" s="562"/>
    </row>
    <row r="2951" spans="1:10" hidden="1" x14ac:dyDescent="0.25">
      <c r="A2951" s="362"/>
      <c r="B2951" s="611">
        <v>44254</v>
      </c>
      <c r="C2951" s="370" t="s">
        <v>85</v>
      </c>
      <c r="D2951" s="562">
        <v>19692600</v>
      </c>
      <c r="E2951" s="562"/>
      <c r="F2951" s="562">
        <v>19692600</v>
      </c>
      <c r="G2951" s="562">
        <f t="shared" si="80"/>
        <v>0</v>
      </c>
      <c r="H2951" s="562"/>
      <c r="I2951" s="562"/>
      <c r="J2951" s="562"/>
    </row>
    <row r="2952" spans="1:10" hidden="1" x14ac:dyDescent="0.25">
      <c r="A2952" s="532"/>
      <c r="B2952" s="532"/>
      <c r="C2952" s="532"/>
      <c r="D2952" s="564">
        <f>SUM(D2937:D2951)</f>
        <v>1545897901</v>
      </c>
      <c r="E2952" s="564">
        <f t="shared" ref="E2952:G2952" si="81">SUM(E2937:E2951)</f>
        <v>527915159</v>
      </c>
      <c r="F2952" s="564">
        <f t="shared" si="81"/>
        <v>2073813800</v>
      </c>
      <c r="G2952" s="564">
        <f t="shared" si="81"/>
        <v>-740</v>
      </c>
      <c r="H2952" s="564"/>
      <c r="I2952" s="564"/>
      <c r="J2952" s="564"/>
    </row>
    <row r="2953" spans="1:10" s="254" customFormat="1" x14ac:dyDescent="0.25">
      <c r="A2953" s="1602">
        <v>44256</v>
      </c>
      <c r="B2953" s="1603"/>
      <c r="C2953" s="1603"/>
      <c r="D2953" s="1603"/>
      <c r="E2953" s="1603"/>
      <c r="F2953" s="1603"/>
      <c r="G2953" s="1603"/>
      <c r="H2953" s="1603"/>
      <c r="I2953" s="1603"/>
      <c r="J2953" s="1604"/>
    </row>
    <row r="2954" spans="1:10" x14ac:dyDescent="0.25">
      <c r="A2954" s="362"/>
      <c r="B2954" s="611">
        <v>44256</v>
      </c>
      <c r="C2954" s="362" t="s">
        <v>86</v>
      </c>
      <c r="D2954" s="562">
        <v>65099425</v>
      </c>
      <c r="E2954" s="562">
        <v>47584400</v>
      </c>
      <c r="F2954" s="562">
        <v>112683800</v>
      </c>
      <c r="G2954" s="562">
        <f>D2954+E2954-F2954</f>
        <v>25</v>
      </c>
      <c r="H2954" s="562"/>
      <c r="I2954" s="562"/>
      <c r="J2954" s="562"/>
    </row>
    <row r="2955" spans="1:10" x14ac:dyDescent="0.25">
      <c r="A2955" s="362"/>
      <c r="B2955" s="611">
        <v>44256</v>
      </c>
      <c r="C2955" s="362" t="s">
        <v>87</v>
      </c>
      <c r="D2955" s="562">
        <v>127531057</v>
      </c>
      <c r="E2955" s="562">
        <v>10438883</v>
      </c>
      <c r="F2955" s="562">
        <v>137969700</v>
      </c>
      <c r="G2955" s="562">
        <f t="shared" ref="G2955:G2968" si="82">D2955+E2955-F2955</f>
        <v>240</v>
      </c>
      <c r="H2955" s="562"/>
      <c r="I2955" s="562"/>
      <c r="J2955" s="562"/>
    </row>
    <row r="2956" spans="1:10" x14ac:dyDescent="0.25">
      <c r="A2956" s="362"/>
      <c r="B2956" s="611">
        <v>44256</v>
      </c>
      <c r="C2956" s="362" t="s">
        <v>88</v>
      </c>
      <c r="D2956" s="562">
        <v>386950211</v>
      </c>
      <c r="E2956" s="562">
        <v>15478994</v>
      </c>
      <c r="F2956" s="562">
        <v>402429300</v>
      </c>
      <c r="G2956" s="562">
        <f t="shared" si="82"/>
        <v>-95</v>
      </c>
      <c r="H2956" s="562"/>
      <c r="I2956" s="562"/>
      <c r="J2956" s="562"/>
    </row>
    <row r="2957" spans="1:10" x14ac:dyDescent="0.25">
      <c r="A2957" s="362"/>
      <c r="B2957" s="611">
        <v>44256</v>
      </c>
      <c r="C2957" s="362" t="s">
        <v>82</v>
      </c>
      <c r="D2957" s="562">
        <v>67404010</v>
      </c>
      <c r="E2957" s="562">
        <v>1203700</v>
      </c>
      <c r="F2957" s="562">
        <v>68607800</v>
      </c>
      <c r="G2957" s="562">
        <f t="shared" si="82"/>
        <v>-90</v>
      </c>
      <c r="H2957" s="562"/>
      <c r="I2957" s="562"/>
      <c r="J2957" s="562"/>
    </row>
    <row r="2958" spans="1:10" x14ac:dyDescent="0.25">
      <c r="A2958" s="362"/>
      <c r="B2958" s="611">
        <v>44256</v>
      </c>
      <c r="C2958" s="362" t="s">
        <v>80</v>
      </c>
      <c r="D2958" s="562">
        <v>206928312</v>
      </c>
      <c r="E2958" s="562"/>
      <c r="F2958" s="562">
        <v>206928300</v>
      </c>
      <c r="G2958" s="562">
        <f t="shared" si="82"/>
        <v>12</v>
      </c>
      <c r="H2958" s="562"/>
      <c r="I2958" s="562"/>
      <c r="J2958" s="562"/>
    </row>
    <row r="2959" spans="1:10" x14ac:dyDescent="0.25">
      <c r="A2959" s="362"/>
      <c r="B2959" s="611">
        <v>44256</v>
      </c>
      <c r="C2959" s="362" t="s">
        <v>83</v>
      </c>
      <c r="D2959" s="562">
        <v>358141518</v>
      </c>
      <c r="E2959" s="562">
        <v>38920716</v>
      </c>
      <c r="F2959" s="562">
        <v>397062300</v>
      </c>
      <c r="G2959" s="562">
        <f t="shared" si="82"/>
        <v>-66</v>
      </c>
      <c r="H2959" s="562"/>
      <c r="I2959" s="562"/>
      <c r="J2959" s="562"/>
    </row>
    <row r="2960" spans="1:10" x14ac:dyDescent="0.25">
      <c r="A2960" s="362"/>
      <c r="B2960" s="611">
        <v>44256</v>
      </c>
      <c r="C2960" s="362" t="s">
        <v>78</v>
      </c>
      <c r="D2960" s="562">
        <v>151712478</v>
      </c>
      <c r="E2960" s="562">
        <v>816622</v>
      </c>
      <c r="F2960" s="562">
        <v>152529100</v>
      </c>
      <c r="G2960" s="562">
        <f t="shared" si="82"/>
        <v>0</v>
      </c>
      <c r="H2960" s="562"/>
      <c r="I2960" s="562"/>
      <c r="J2960" s="562"/>
    </row>
    <row r="2961" spans="1:10" x14ac:dyDescent="0.25">
      <c r="A2961" s="362"/>
      <c r="B2961" s="611">
        <v>44256</v>
      </c>
      <c r="C2961" s="362" t="s">
        <v>141</v>
      </c>
      <c r="D2961" s="562">
        <v>75985294</v>
      </c>
      <c r="E2961" s="562">
        <v>1943026</v>
      </c>
      <c r="F2961" s="562">
        <v>77928400</v>
      </c>
      <c r="G2961" s="562">
        <f t="shared" si="82"/>
        <v>-80</v>
      </c>
      <c r="H2961" s="562"/>
      <c r="I2961" s="562"/>
      <c r="J2961" s="562"/>
    </row>
    <row r="2962" spans="1:10" x14ac:dyDescent="0.25">
      <c r="A2962" s="362"/>
      <c r="B2962" s="611">
        <v>44256</v>
      </c>
      <c r="C2962" s="362" t="s">
        <v>89</v>
      </c>
      <c r="D2962" s="562">
        <v>212854928</v>
      </c>
      <c r="E2962" s="562">
        <v>31580372</v>
      </c>
      <c r="F2962" s="562">
        <v>244435300</v>
      </c>
      <c r="G2962" s="562">
        <f t="shared" si="82"/>
        <v>0</v>
      </c>
      <c r="H2962" s="562"/>
      <c r="I2962" s="562"/>
      <c r="J2962" s="562"/>
    </row>
    <row r="2963" spans="1:10" x14ac:dyDescent="0.25">
      <c r="A2963" s="362"/>
      <c r="B2963" s="611">
        <v>44256</v>
      </c>
      <c r="C2963" s="362" t="s">
        <v>81</v>
      </c>
      <c r="D2963" s="562">
        <v>94841894</v>
      </c>
      <c r="E2963" s="562">
        <v>10614903</v>
      </c>
      <c r="F2963" s="562">
        <v>105456800</v>
      </c>
      <c r="G2963" s="562">
        <f t="shared" si="82"/>
        <v>-3</v>
      </c>
      <c r="H2963" s="562"/>
      <c r="I2963" s="562"/>
      <c r="J2963" s="562"/>
    </row>
    <row r="2964" spans="1:10" x14ac:dyDescent="0.25">
      <c r="A2964" s="362"/>
      <c r="B2964" s="611">
        <v>44256</v>
      </c>
      <c r="C2964" s="362" t="s">
        <v>84</v>
      </c>
      <c r="D2964" s="562">
        <v>192196932</v>
      </c>
      <c r="E2964" s="562">
        <v>12120098</v>
      </c>
      <c r="F2964" s="562">
        <v>204317000</v>
      </c>
      <c r="G2964" s="562">
        <f t="shared" si="82"/>
        <v>30</v>
      </c>
      <c r="H2964" s="562"/>
      <c r="I2964" s="562"/>
      <c r="J2964" s="562"/>
    </row>
    <row r="2965" spans="1:10" x14ac:dyDescent="0.25">
      <c r="A2965" s="362"/>
      <c r="B2965" s="611">
        <v>44256</v>
      </c>
      <c r="C2965" s="362" t="s">
        <v>4751</v>
      </c>
      <c r="D2965" s="562">
        <v>222072624</v>
      </c>
      <c r="E2965" s="562">
        <v>8869576</v>
      </c>
      <c r="F2965" s="562">
        <v>230942200</v>
      </c>
      <c r="G2965" s="562">
        <f t="shared" si="82"/>
        <v>0</v>
      </c>
      <c r="H2965" s="562"/>
      <c r="I2965" s="562"/>
      <c r="J2965" s="562"/>
    </row>
    <row r="2966" spans="1:10" x14ac:dyDescent="0.25">
      <c r="A2966" s="362"/>
      <c r="B2966" s="611">
        <v>44256</v>
      </c>
      <c r="C2966" s="362" t="s">
        <v>166</v>
      </c>
      <c r="D2966" s="562">
        <v>78036520</v>
      </c>
      <c r="E2966" s="562"/>
      <c r="F2966" s="562">
        <v>78036500</v>
      </c>
      <c r="G2966" s="562">
        <f t="shared" si="82"/>
        <v>20</v>
      </c>
      <c r="H2966" s="562"/>
      <c r="I2966" s="562"/>
      <c r="J2966" s="562"/>
    </row>
    <row r="2967" spans="1:10" x14ac:dyDescent="0.25">
      <c r="A2967" s="362"/>
      <c r="B2967" s="611">
        <v>44256</v>
      </c>
      <c r="C2967" s="362" t="s">
        <v>3435</v>
      </c>
      <c r="D2967" s="562">
        <v>45203709</v>
      </c>
      <c r="E2967" s="562"/>
      <c r="F2967" s="562">
        <v>45203800</v>
      </c>
      <c r="G2967" s="562">
        <f t="shared" si="82"/>
        <v>-91</v>
      </c>
      <c r="H2967" s="562"/>
      <c r="I2967" s="562"/>
      <c r="J2967" s="562"/>
    </row>
    <row r="2968" spans="1:10" x14ac:dyDescent="0.25">
      <c r="A2968" s="362"/>
      <c r="B2968" s="611">
        <v>44256</v>
      </c>
      <c r="C2968" s="370" t="s">
        <v>85</v>
      </c>
      <c r="D2968" s="562">
        <v>46978000</v>
      </c>
      <c r="E2968" s="562"/>
      <c r="F2968" s="562">
        <v>46978000</v>
      </c>
      <c r="G2968" s="562">
        <f t="shared" si="82"/>
        <v>0</v>
      </c>
      <c r="H2968" s="562"/>
      <c r="I2968" s="562"/>
      <c r="J2968" s="562"/>
    </row>
    <row r="2969" spans="1:10" x14ac:dyDescent="0.25">
      <c r="A2969" s="532"/>
      <c r="B2969" s="532"/>
      <c r="C2969" s="532"/>
      <c r="D2969" s="564">
        <f>SUM(D2954:D2968)</f>
        <v>2331936912</v>
      </c>
      <c r="E2969" s="564">
        <f t="shared" ref="E2969:G2969" si="83">SUM(E2954:E2968)</f>
        <v>179571290</v>
      </c>
      <c r="F2969" s="564">
        <f t="shared" si="83"/>
        <v>2511508300</v>
      </c>
      <c r="G2969" s="564">
        <f t="shared" si="83"/>
        <v>-98</v>
      </c>
      <c r="H2969" s="564"/>
      <c r="I2969" s="564"/>
      <c r="J2969" s="564"/>
    </row>
    <row r="2970" spans="1:10" x14ac:dyDescent="0.25">
      <c r="A2970" s="362"/>
      <c r="B2970" s="611">
        <v>44257</v>
      </c>
      <c r="C2970" s="362" t="s">
        <v>86</v>
      </c>
      <c r="D2970" s="562">
        <v>48944947</v>
      </c>
      <c r="E2970" s="562">
        <v>42965021</v>
      </c>
      <c r="F2970" s="562">
        <v>91910000</v>
      </c>
      <c r="G2970" s="562">
        <f>D2970+E2970-F2970</f>
        <v>-32</v>
      </c>
      <c r="H2970" s="562"/>
      <c r="I2970" s="562"/>
      <c r="J2970" s="562"/>
    </row>
    <row r="2971" spans="1:10" x14ac:dyDescent="0.25">
      <c r="A2971" s="362"/>
      <c r="B2971" s="611">
        <v>44257</v>
      </c>
      <c r="C2971" s="362" t="s">
        <v>87</v>
      </c>
      <c r="D2971" s="562">
        <v>134337562</v>
      </c>
      <c r="E2971" s="562">
        <v>13938343</v>
      </c>
      <c r="F2971" s="562">
        <v>148276000</v>
      </c>
      <c r="G2971" s="562">
        <f t="shared" ref="G2971:G2984" si="84">D2971+E2971-F2971</f>
        <v>-95</v>
      </c>
      <c r="H2971" s="562"/>
      <c r="I2971" s="562"/>
      <c r="J2971" s="562"/>
    </row>
    <row r="2972" spans="1:10" x14ac:dyDescent="0.25">
      <c r="A2972" s="362"/>
      <c r="B2972" s="611">
        <v>44257</v>
      </c>
      <c r="C2972" s="362" t="s">
        <v>88</v>
      </c>
      <c r="D2972" s="562">
        <v>132711172</v>
      </c>
      <c r="E2972" s="562">
        <v>6398285</v>
      </c>
      <c r="F2972" s="562">
        <v>139109500</v>
      </c>
      <c r="G2972" s="562">
        <f t="shared" si="84"/>
        <v>-43</v>
      </c>
      <c r="H2972" s="562"/>
      <c r="I2972" s="562"/>
      <c r="J2972" s="562"/>
    </row>
    <row r="2973" spans="1:10" x14ac:dyDescent="0.25">
      <c r="A2973" s="362"/>
      <c r="B2973" s="611">
        <v>44257</v>
      </c>
      <c r="C2973" s="362" t="s">
        <v>82</v>
      </c>
      <c r="D2973" s="562">
        <v>62915275</v>
      </c>
      <c r="E2973" s="562">
        <v>3933225</v>
      </c>
      <c r="F2973" s="562">
        <v>66848600</v>
      </c>
      <c r="G2973" s="562">
        <f t="shared" si="84"/>
        <v>-100</v>
      </c>
      <c r="H2973" s="562"/>
      <c r="I2973" s="562"/>
      <c r="J2973" s="562"/>
    </row>
    <row r="2974" spans="1:10" x14ac:dyDescent="0.25">
      <c r="A2974" s="362"/>
      <c r="B2974" s="611">
        <v>44257</v>
      </c>
      <c r="C2974" s="362" t="s">
        <v>80</v>
      </c>
      <c r="D2974" s="562">
        <v>263833793</v>
      </c>
      <c r="E2974" s="562"/>
      <c r="F2974" s="562">
        <v>263834700</v>
      </c>
      <c r="G2974" s="562">
        <f t="shared" si="84"/>
        <v>-907</v>
      </c>
      <c r="H2974" s="562"/>
      <c r="I2974" s="562"/>
      <c r="J2974" s="562"/>
    </row>
    <row r="2975" spans="1:10" x14ac:dyDescent="0.25">
      <c r="A2975" s="362"/>
      <c r="B2975" s="611">
        <v>44257</v>
      </c>
      <c r="C2975" s="362" t="s">
        <v>83</v>
      </c>
      <c r="D2975" s="562">
        <v>266634116</v>
      </c>
      <c r="E2975" s="562">
        <v>63788322</v>
      </c>
      <c r="F2975" s="562">
        <v>279683100</v>
      </c>
      <c r="G2975" s="562">
        <f t="shared" si="84"/>
        <v>50739338</v>
      </c>
      <c r="H2975" s="562"/>
      <c r="I2975" s="562"/>
      <c r="J2975" s="562"/>
    </row>
    <row r="2976" spans="1:10" x14ac:dyDescent="0.25">
      <c r="A2976" s="362"/>
      <c r="B2976" s="611">
        <v>44257</v>
      </c>
      <c r="C2976" s="362" t="s">
        <v>78</v>
      </c>
      <c r="D2976" s="562">
        <v>72864076</v>
      </c>
      <c r="E2976" s="562">
        <v>3288924</v>
      </c>
      <c r="F2976" s="562">
        <v>76153000</v>
      </c>
      <c r="G2976" s="562">
        <f t="shared" si="84"/>
        <v>0</v>
      </c>
      <c r="H2976" s="562"/>
      <c r="I2976" s="562"/>
      <c r="J2976" s="562"/>
    </row>
    <row r="2977" spans="1:10" x14ac:dyDescent="0.25">
      <c r="A2977" s="362"/>
      <c r="B2977" s="611">
        <v>44257</v>
      </c>
      <c r="C2977" s="362" t="s">
        <v>141</v>
      </c>
      <c r="D2977" s="562">
        <v>51347519</v>
      </c>
      <c r="E2977" s="562">
        <v>567200</v>
      </c>
      <c r="F2977" s="562">
        <v>51914800</v>
      </c>
      <c r="G2977" s="562">
        <f t="shared" si="84"/>
        <v>-81</v>
      </c>
      <c r="H2977" s="562"/>
      <c r="I2977" s="562"/>
      <c r="J2977" s="562"/>
    </row>
    <row r="2978" spans="1:10" x14ac:dyDescent="0.25">
      <c r="A2978" s="362"/>
      <c r="B2978" s="611">
        <v>44257</v>
      </c>
      <c r="C2978" s="362" t="s">
        <v>89</v>
      </c>
      <c r="D2978" s="562">
        <v>115120105</v>
      </c>
      <c r="E2978" s="562">
        <v>19465095</v>
      </c>
      <c r="F2978" s="562">
        <v>134585200</v>
      </c>
      <c r="G2978" s="562">
        <f t="shared" si="84"/>
        <v>0</v>
      </c>
      <c r="H2978" s="562"/>
      <c r="I2978" s="562"/>
      <c r="J2978" s="562"/>
    </row>
    <row r="2979" spans="1:10" x14ac:dyDescent="0.25">
      <c r="A2979" s="362"/>
      <c r="B2979" s="611">
        <v>44257</v>
      </c>
      <c r="C2979" s="362" t="s">
        <v>81</v>
      </c>
      <c r="D2979" s="562">
        <v>54944531</v>
      </c>
      <c r="E2979" s="562">
        <v>9889202</v>
      </c>
      <c r="F2979" s="562">
        <v>64833800</v>
      </c>
      <c r="G2979" s="562">
        <f t="shared" si="84"/>
        <v>-67</v>
      </c>
      <c r="H2979" s="562"/>
      <c r="I2979" s="562"/>
      <c r="J2979" s="562"/>
    </row>
    <row r="2980" spans="1:10" x14ac:dyDescent="0.25">
      <c r="A2980" s="362"/>
      <c r="B2980" s="611">
        <v>44257</v>
      </c>
      <c r="C2980" s="362" t="s">
        <v>84</v>
      </c>
      <c r="D2980" s="562">
        <v>186701459</v>
      </c>
      <c r="E2980" s="562">
        <v>17364309</v>
      </c>
      <c r="F2980" s="562">
        <v>204065700</v>
      </c>
      <c r="G2980" s="562">
        <f t="shared" si="84"/>
        <v>68</v>
      </c>
      <c r="H2980" s="562"/>
      <c r="I2980" s="562"/>
      <c r="J2980" s="562"/>
    </row>
    <row r="2981" spans="1:10" x14ac:dyDescent="0.25">
      <c r="A2981" s="362"/>
      <c r="B2981" s="611">
        <v>44257</v>
      </c>
      <c r="C2981" s="362" t="s">
        <v>4751</v>
      </c>
      <c r="D2981" s="562">
        <v>223948206</v>
      </c>
      <c r="E2981" s="562">
        <v>5127294</v>
      </c>
      <c r="F2981" s="562">
        <v>229075600</v>
      </c>
      <c r="G2981" s="562">
        <f t="shared" si="84"/>
        <v>-100</v>
      </c>
      <c r="H2981" s="562"/>
      <c r="I2981" s="562"/>
      <c r="J2981" s="562"/>
    </row>
    <row r="2982" spans="1:10" x14ac:dyDescent="0.25">
      <c r="A2982" s="362"/>
      <c r="B2982" s="611">
        <v>44257</v>
      </c>
      <c r="C2982" s="362" t="s">
        <v>166</v>
      </c>
      <c r="D2982" s="562">
        <v>107864867</v>
      </c>
      <c r="E2982" s="562"/>
      <c r="F2982" s="562">
        <v>107864900</v>
      </c>
      <c r="G2982" s="562">
        <f t="shared" si="84"/>
        <v>-33</v>
      </c>
      <c r="H2982" s="562"/>
      <c r="I2982" s="562"/>
      <c r="J2982" s="562"/>
    </row>
    <row r="2983" spans="1:10" x14ac:dyDescent="0.25">
      <c r="A2983" s="362"/>
      <c r="B2983" s="611">
        <v>44257</v>
      </c>
      <c r="C2983" s="362" t="s">
        <v>3435</v>
      </c>
      <c r="D2983" s="562">
        <v>34396229</v>
      </c>
      <c r="E2983" s="562"/>
      <c r="F2983" s="562">
        <v>34396300</v>
      </c>
      <c r="G2983" s="562">
        <f t="shared" si="84"/>
        <v>-71</v>
      </c>
      <c r="H2983" s="562"/>
      <c r="I2983" s="562"/>
      <c r="J2983" s="562"/>
    </row>
    <row r="2984" spans="1:10" x14ac:dyDescent="0.25">
      <c r="A2984" s="362"/>
      <c r="B2984" s="611">
        <v>44257</v>
      </c>
      <c r="C2984" s="370" t="s">
        <v>85</v>
      </c>
      <c r="D2984" s="562">
        <v>32330700</v>
      </c>
      <c r="E2984" s="562"/>
      <c r="F2984" s="562">
        <v>32330700</v>
      </c>
      <c r="G2984" s="562">
        <f t="shared" si="84"/>
        <v>0</v>
      </c>
      <c r="H2984" s="562"/>
      <c r="I2984" s="562"/>
      <c r="J2984" s="562"/>
    </row>
    <row r="2985" spans="1:10" x14ac:dyDescent="0.25">
      <c r="A2985" s="532"/>
      <c r="B2985" s="532"/>
      <c r="C2985" s="532"/>
      <c r="D2985" s="564">
        <f>SUM(D2970:D2984)</f>
        <v>1788894557</v>
      </c>
      <c r="E2985" s="564">
        <f t="shared" ref="E2985:G2985" si="85">SUM(E2970:E2984)</f>
        <v>186725220</v>
      </c>
      <c r="F2985" s="564">
        <f t="shared" si="85"/>
        <v>1924881900</v>
      </c>
      <c r="G2985" s="564">
        <f t="shared" si="85"/>
        <v>50737877</v>
      </c>
      <c r="H2985" s="564"/>
      <c r="I2985" s="564"/>
      <c r="J2985" s="564"/>
    </row>
    <row r="2986" spans="1:10" x14ac:dyDescent="0.25">
      <c r="A2986" s="362"/>
      <c r="B2986" s="611">
        <v>44258</v>
      </c>
      <c r="C2986" s="362" t="s">
        <v>86</v>
      </c>
      <c r="D2986" s="562">
        <v>103448545</v>
      </c>
      <c r="E2986" s="562">
        <v>29408612</v>
      </c>
      <c r="F2986" s="562">
        <v>132857200</v>
      </c>
      <c r="G2986" s="562">
        <f>D2986+E2986-F2986</f>
        <v>-43</v>
      </c>
      <c r="H2986" s="562"/>
      <c r="I2986" s="562"/>
      <c r="J2986" s="562"/>
    </row>
    <row r="2987" spans="1:10" x14ac:dyDescent="0.25">
      <c r="A2987" s="362"/>
      <c r="B2987" s="611">
        <v>44258</v>
      </c>
      <c r="C2987" s="362" t="s">
        <v>87</v>
      </c>
      <c r="D2987" s="562">
        <v>126422965</v>
      </c>
      <c r="E2987" s="562">
        <v>84394492</v>
      </c>
      <c r="F2987" s="562">
        <v>210817500</v>
      </c>
      <c r="G2987" s="562">
        <f t="shared" ref="G2987:G3000" si="86">D2987+E2987-F2987</f>
        <v>-43</v>
      </c>
      <c r="H2987" s="562"/>
      <c r="I2987" s="562"/>
      <c r="J2987" s="562"/>
    </row>
    <row r="2988" spans="1:10" x14ac:dyDescent="0.25">
      <c r="A2988" s="362"/>
      <c r="B2988" s="611">
        <v>44258</v>
      </c>
      <c r="C2988" s="362" t="s">
        <v>88</v>
      </c>
      <c r="D2988" s="562">
        <v>373593999</v>
      </c>
      <c r="E2988" s="562">
        <v>35404275</v>
      </c>
      <c r="F2988" s="562">
        <v>409008300</v>
      </c>
      <c r="G2988" s="562">
        <f t="shared" si="86"/>
        <v>-10026</v>
      </c>
      <c r="H2988" s="562"/>
      <c r="I2988" s="562"/>
      <c r="J2988" s="562"/>
    </row>
    <row r="2989" spans="1:10" x14ac:dyDescent="0.25">
      <c r="A2989" s="362"/>
      <c r="B2989" s="611">
        <v>44258</v>
      </c>
      <c r="C2989" s="362" t="s">
        <v>82</v>
      </c>
      <c r="D2989" s="562">
        <v>79614993</v>
      </c>
      <c r="E2989" s="562">
        <v>1856800</v>
      </c>
      <c r="F2989" s="562">
        <v>81471800</v>
      </c>
      <c r="G2989" s="562">
        <f t="shared" si="86"/>
        <v>-7</v>
      </c>
      <c r="H2989" s="562"/>
      <c r="I2989" s="562"/>
      <c r="J2989" s="562"/>
    </row>
    <row r="2990" spans="1:10" x14ac:dyDescent="0.25">
      <c r="A2990" s="362"/>
      <c r="B2990" s="611">
        <v>44258</v>
      </c>
      <c r="C2990" s="362" t="s">
        <v>80</v>
      </c>
      <c r="D2990" s="562">
        <v>332266234</v>
      </c>
      <c r="E2990" s="562"/>
      <c r="F2990" s="562">
        <v>332221000</v>
      </c>
      <c r="G2990" s="562">
        <f t="shared" si="86"/>
        <v>45234</v>
      </c>
      <c r="H2990" s="562"/>
      <c r="I2990" s="562"/>
      <c r="J2990" s="562"/>
    </row>
    <row r="2991" spans="1:10" x14ac:dyDescent="0.25">
      <c r="A2991" s="362"/>
      <c r="B2991" s="611">
        <v>44258</v>
      </c>
      <c r="C2991" s="362" t="s">
        <v>83</v>
      </c>
      <c r="D2991" s="562">
        <v>107923126</v>
      </c>
      <c r="E2991" s="562">
        <v>41353767</v>
      </c>
      <c r="F2991" s="562">
        <v>149276900</v>
      </c>
      <c r="G2991" s="562">
        <f t="shared" si="86"/>
        <v>-7</v>
      </c>
      <c r="H2991" s="562"/>
      <c r="I2991" s="562"/>
      <c r="J2991" s="562"/>
    </row>
    <row r="2992" spans="1:10" x14ac:dyDescent="0.25">
      <c r="A2992" s="362"/>
      <c r="B2992" s="611">
        <v>44258</v>
      </c>
      <c r="C2992" s="362" t="s">
        <v>78</v>
      </c>
      <c r="D2992" s="562">
        <v>78953482</v>
      </c>
      <c r="E2992" s="562">
        <v>1269718</v>
      </c>
      <c r="F2992" s="562">
        <v>80223200</v>
      </c>
      <c r="G2992" s="562">
        <f t="shared" si="86"/>
        <v>0</v>
      </c>
      <c r="H2992" s="562"/>
      <c r="I2992" s="562"/>
      <c r="J2992" s="562"/>
    </row>
    <row r="2993" spans="1:10" x14ac:dyDescent="0.25">
      <c r="A2993" s="362"/>
      <c r="B2993" s="611">
        <v>44258</v>
      </c>
      <c r="C2993" s="362" t="s">
        <v>141</v>
      </c>
      <c r="D2993" s="562">
        <v>99428863</v>
      </c>
      <c r="E2993" s="562">
        <v>1104809</v>
      </c>
      <c r="F2993" s="562">
        <v>100533700</v>
      </c>
      <c r="G2993" s="562">
        <f t="shared" si="86"/>
        <v>-28</v>
      </c>
      <c r="H2993" s="562"/>
      <c r="I2993" s="562"/>
      <c r="J2993" s="562"/>
    </row>
    <row r="2994" spans="1:10" x14ac:dyDescent="0.25">
      <c r="A2994" s="362"/>
      <c r="B2994" s="611">
        <v>44258</v>
      </c>
      <c r="C2994" s="362" t="s">
        <v>89</v>
      </c>
      <c r="D2994" s="562">
        <v>129057333</v>
      </c>
      <c r="E2994" s="562">
        <v>29351367</v>
      </c>
      <c r="F2994" s="562">
        <v>158408700</v>
      </c>
      <c r="G2994" s="562">
        <f t="shared" si="86"/>
        <v>0</v>
      </c>
      <c r="H2994" s="562"/>
      <c r="I2994" s="562"/>
      <c r="J2994" s="562"/>
    </row>
    <row r="2995" spans="1:10" x14ac:dyDescent="0.25">
      <c r="A2995" s="362"/>
      <c r="B2995" s="611">
        <v>44258</v>
      </c>
      <c r="C2995" s="362" t="s">
        <v>81</v>
      </c>
      <c r="D2995" s="562">
        <v>63292027</v>
      </c>
      <c r="E2995" s="562">
        <v>8723114</v>
      </c>
      <c r="F2995" s="562">
        <v>72015200</v>
      </c>
      <c r="G2995" s="562">
        <f t="shared" si="86"/>
        <v>-59</v>
      </c>
      <c r="H2995" s="562"/>
      <c r="I2995" s="562"/>
      <c r="J2995" s="562"/>
    </row>
    <row r="2996" spans="1:10" x14ac:dyDescent="0.25">
      <c r="A2996" s="362"/>
      <c r="B2996" s="611">
        <v>44258</v>
      </c>
      <c r="C2996" s="362" t="s">
        <v>84</v>
      </c>
      <c r="D2996" s="562">
        <v>274882406</v>
      </c>
      <c r="E2996" s="562">
        <v>9202660</v>
      </c>
      <c r="F2996" s="562">
        <v>284085100</v>
      </c>
      <c r="G2996" s="562">
        <f t="shared" si="86"/>
        <v>-34</v>
      </c>
      <c r="H2996" s="562"/>
      <c r="I2996" s="562"/>
      <c r="J2996" s="562"/>
    </row>
    <row r="2997" spans="1:10" x14ac:dyDescent="0.25">
      <c r="A2997" s="362"/>
      <c r="B2997" s="611">
        <v>44258</v>
      </c>
      <c r="C2997" s="362" t="s">
        <v>4751</v>
      </c>
      <c r="D2997" s="562">
        <v>145363087</v>
      </c>
      <c r="E2997" s="562">
        <v>6370213</v>
      </c>
      <c r="F2997" s="562">
        <v>151733300</v>
      </c>
      <c r="G2997" s="562">
        <f t="shared" si="86"/>
        <v>0</v>
      </c>
      <c r="H2997" s="562"/>
      <c r="I2997" s="562"/>
      <c r="J2997" s="562"/>
    </row>
    <row r="2998" spans="1:10" x14ac:dyDescent="0.25">
      <c r="A2998" s="362"/>
      <c r="B2998" s="611">
        <v>44258</v>
      </c>
      <c r="C2998" s="362" t="s">
        <v>166</v>
      </c>
      <c r="D2998" s="562">
        <v>59396644</v>
      </c>
      <c r="E2998" s="562"/>
      <c r="F2998" s="562">
        <v>59396700</v>
      </c>
      <c r="G2998" s="562">
        <f t="shared" si="86"/>
        <v>-56</v>
      </c>
      <c r="H2998" s="562"/>
      <c r="I2998" s="562"/>
      <c r="J2998" s="562"/>
    </row>
    <row r="2999" spans="1:10" x14ac:dyDescent="0.25">
      <c r="A2999" s="362"/>
      <c r="B2999" s="611">
        <v>44258</v>
      </c>
      <c r="C2999" s="362" t="s">
        <v>3435</v>
      </c>
      <c r="D2999" s="562">
        <v>78206272</v>
      </c>
      <c r="E2999" s="562"/>
      <c r="F2999" s="562"/>
      <c r="G2999" s="562">
        <f t="shared" si="86"/>
        <v>78206272</v>
      </c>
      <c r="H2999" s="562"/>
      <c r="I2999" s="562"/>
      <c r="J2999" s="562"/>
    </row>
    <row r="3000" spans="1:10" x14ac:dyDescent="0.25">
      <c r="A3000" s="362"/>
      <c r="B3000" s="611">
        <v>44258</v>
      </c>
      <c r="C3000" s="370" t="s">
        <v>85</v>
      </c>
      <c r="D3000" s="562">
        <v>41884200</v>
      </c>
      <c r="E3000" s="562"/>
      <c r="F3000" s="562">
        <v>41884200</v>
      </c>
      <c r="G3000" s="562">
        <f t="shared" si="86"/>
        <v>0</v>
      </c>
      <c r="H3000" s="562"/>
      <c r="I3000" s="562"/>
      <c r="J3000" s="562"/>
    </row>
    <row r="3001" spans="1:10" x14ac:dyDescent="0.25">
      <c r="A3001" s="532"/>
      <c r="B3001" s="532"/>
      <c r="C3001" s="532"/>
      <c r="D3001" s="564">
        <f>SUM(D2986:D3000)</f>
        <v>2093734176</v>
      </c>
      <c r="E3001" s="564">
        <f t="shared" ref="E3001:G3001" si="87">SUM(E2986:E3000)</f>
        <v>248439827</v>
      </c>
      <c r="F3001" s="564">
        <f t="shared" si="87"/>
        <v>2263932800</v>
      </c>
      <c r="G3001" s="564">
        <f t="shared" si="87"/>
        <v>78241203</v>
      </c>
      <c r="H3001" s="564"/>
      <c r="I3001" s="564"/>
      <c r="J3001" s="564"/>
    </row>
    <row r="3002" spans="1:10" x14ac:dyDescent="0.25">
      <c r="A3002" s="362"/>
      <c r="B3002" s="611">
        <v>44259</v>
      </c>
      <c r="C3002" s="362" t="s">
        <v>86</v>
      </c>
      <c r="D3002" s="562">
        <v>84778353</v>
      </c>
      <c r="E3002" s="562">
        <v>176007071</v>
      </c>
      <c r="F3002" s="562">
        <v>260785400</v>
      </c>
      <c r="G3002" s="562">
        <f>D3002+E3002-F3002</f>
        <v>24</v>
      </c>
      <c r="H3002" s="562"/>
      <c r="I3002" s="562"/>
      <c r="J3002" s="562"/>
    </row>
    <row r="3003" spans="1:10" x14ac:dyDescent="0.25">
      <c r="A3003" s="362"/>
      <c r="B3003" s="611">
        <v>44259</v>
      </c>
      <c r="C3003" s="362" t="s">
        <v>87</v>
      </c>
      <c r="D3003" s="562">
        <v>92170704</v>
      </c>
      <c r="E3003" s="562">
        <v>103918825</v>
      </c>
      <c r="F3003" s="562">
        <v>196089600</v>
      </c>
      <c r="G3003" s="562">
        <f t="shared" ref="G3003:G3016" si="88">D3003+E3003-F3003</f>
        <v>-71</v>
      </c>
      <c r="H3003" s="562"/>
      <c r="I3003" s="562"/>
      <c r="J3003" s="562"/>
    </row>
    <row r="3004" spans="1:10" x14ac:dyDescent="0.25">
      <c r="A3004" s="362"/>
      <c r="B3004" s="611">
        <v>44259</v>
      </c>
      <c r="C3004" s="362" t="s">
        <v>88</v>
      </c>
      <c r="D3004" s="562">
        <v>280679985</v>
      </c>
      <c r="E3004" s="562">
        <v>75089267</v>
      </c>
      <c r="F3004" s="562">
        <v>355769300</v>
      </c>
      <c r="G3004" s="562">
        <f t="shared" si="88"/>
        <v>-48</v>
      </c>
      <c r="H3004" s="562"/>
      <c r="I3004" s="562"/>
      <c r="J3004" s="562"/>
    </row>
    <row r="3005" spans="1:10" x14ac:dyDescent="0.25">
      <c r="A3005" s="362"/>
      <c r="B3005" s="611">
        <v>44259</v>
      </c>
      <c r="C3005" s="362" t="s">
        <v>82</v>
      </c>
      <c r="D3005" s="562">
        <v>92369364</v>
      </c>
      <c r="E3005" s="562">
        <v>48230732</v>
      </c>
      <c r="F3005" s="562">
        <v>140600200</v>
      </c>
      <c r="G3005" s="562">
        <f t="shared" si="88"/>
        <v>-104</v>
      </c>
      <c r="H3005" s="562"/>
      <c r="I3005" s="562"/>
      <c r="J3005" s="562"/>
    </row>
    <row r="3006" spans="1:10" x14ac:dyDescent="0.25">
      <c r="A3006" s="362"/>
      <c r="B3006" s="611">
        <v>44259</v>
      </c>
      <c r="C3006" s="362" t="s">
        <v>80</v>
      </c>
      <c r="D3006" s="562">
        <v>292888700</v>
      </c>
      <c r="E3006" s="562"/>
      <c r="F3006" s="562">
        <v>292888800</v>
      </c>
      <c r="G3006" s="562">
        <f t="shared" si="88"/>
        <v>-100</v>
      </c>
      <c r="H3006" s="562"/>
      <c r="I3006" s="562"/>
      <c r="J3006" s="562"/>
    </row>
    <row r="3007" spans="1:10" x14ac:dyDescent="0.25">
      <c r="A3007" s="362"/>
      <c r="B3007" s="611">
        <v>44259</v>
      </c>
      <c r="C3007" s="362" t="s">
        <v>83</v>
      </c>
      <c r="D3007" s="562">
        <v>239893224</v>
      </c>
      <c r="E3007" s="562">
        <v>201972476</v>
      </c>
      <c r="F3007" s="562">
        <v>441865700</v>
      </c>
      <c r="G3007" s="562">
        <f t="shared" si="88"/>
        <v>0</v>
      </c>
      <c r="H3007" s="562"/>
      <c r="I3007" s="562"/>
      <c r="J3007" s="562"/>
    </row>
    <row r="3008" spans="1:10" x14ac:dyDescent="0.25">
      <c r="A3008" s="362"/>
      <c r="B3008" s="611">
        <v>44259</v>
      </c>
      <c r="C3008" s="362" t="s">
        <v>78</v>
      </c>
      <c r="D3008" s="562">
        <v>81881758</v>
      </c>
      <c r="E3008" s="562">
        <v>2111542</v>
      </c>
      <c r="F3008" s="562">
        <v>83993300</v>
      </c>
      <c r="G3008" s="562">
        <f t="shared" si="88"/>
        <v>0</v>
      </c>
      <c r="H3008" s="562"/>
      <c r="I3008" s="562"/>
      <c r="J3008" s="562"/>
    </row>
    <row r="3009" spans="1:10" x14ac:dyDescent="0.25">
      <c r="A3009" s="362"/>
      <c r="B3009" s="611">
        <v>44259</v>
      </c>
      <c r="C3009" s="362" t="s">
        <v>141</v>
      </c>
      <c r="D3009" s="562">
        <v>73470093</v>
      </c>
      <c r="E3009" s="562">
        <v>2978818</v>
      </c>
      <c r="F3009" s="562">
        <v>76449000</v>
      </c>
      <c r="G3009" s="562">
        <f t="shared" si="88"/>
        <v>-89</v>
      </c>
      <c r="H3009" s="562"/>
      <c r="I3009" s="562"/>
      <c r="J3009" s="562"/>
    </row>
    <row r="3010" spans="1:10" x14ac:dyDescent="0.25">
      <c r="A3010" s="362"/>
      <c r="B3010" s="611">
        <v>44259</v>
      </c>
      <c r="C3010" s="362" t="s">
        <v>89</v>
      </c>
      <c r="D3010" s="562">
        <v>115039082</v>
      </c>
      <c r="E3010" s="562">
        <v>19070818</v>
      </c>
      <c r="F3010" s="562">
        <v>134109900</v>
      </c>
      <c r="G3010" s="562">
        <f t="shared" si="88"/>
        <v>0</v>
      </c>
      <c r="H3010" s="562"/>
      <c r="I3010" s="562"/>
      <c r="J3010" s="562"/>
    </row>
    <row r="3011" spans="1:10" x14ac:dyDescent="0.25">
      <c r="A3011" s="362"/>
      <c r="B3011" s="611">
        <v>44259</v>
      </c>
      <c r="C3011" s="362" t="s">
        <v>81</v>
      </c>
      <c r="D3011" s="562">
        <v>124041645</v>
      </c>
      <c r="E3011" s="562">
        <v>16862402</v>
      </c>
      <c r="F3011" s="562">
        <v>140904100</v>
      </c>
      <c r="G3011" s="562">
        <f t="shared" si="88"/>
        <v>-53</v>
      </c>
      <c r="H3011" s="562"/>
      <c r="I3011" s="562"/>
      <c r="J3011" s="562"/>
    </row>
    <row r="3012" spans="1:10" x14ac:dyDescent="0.25">
      <c r="A3012" s="362"/>
      <c r="B3012" s="611">
        <v>44259</v>
      </c>
      <c r="C3012" s="362" t="s">
        <v>84</v>
      </c>
      <c r="D3012" s="562">
        <v>203264691</v>
      </c>
      <c r="E3012" s="562">
        <v>26201108</v>
      </c>
      <c r="F3012" s="562">
        <v>229465700</v>
      </c>
      <c r="G3012" s="562">
        <f t="shared" si="88"/>
        <v>99</v>
      </c>
      <c r="H3012" s="562"/>
      <c r="I3012" s="562"/>
      <c r="J3012" s="562"/>
    </row>
    <row r="3013" spans="1:10" x14ac:dyDescent="0.25">
      <c r="A3013" s="362"/>
      <c r="B3013" s="611">
        <v>44259</v>
      </c>
      <c r="C3013" s="362" t="s">
        <v>4751</v>
      </c>
      <c r="D3013" s="562">
        <v>202648827</v>
      </c>
      <c r="E3013" s="562">
        <v>9677573</v>
      </c>
      <c r="F3013" s="562">
        <v>212326400</v>
      </c>
      <c r="G3013" s="562">
        <f t="shared" si="88"/>
        <v>0</v>
      </c>
      <c r="H3013" s="562"/>
      <c r="I3013" s="562"/>
      <c r="J3013" s="562"/>
    </row>
    <row r="3014" spans="1:10" x14ac:dyDescent="0.25">
      <c r="A3014" s="362"/>
      <c r="B3014" s="611">
        <v>44259</v>
      </c>
      <c r="C3014" s="362" t="s">
        <v>166</v>
      </c>
      <c r="D3014" s="562">
        <v>80083878</v>
      </c>
      <c r="E3014" s="562"/>
      <c r="F3014" s="562">
        <v>80083900</v>
      </c>
      <c r="G3014" s="562">
        <f t="shared" si="88"/>
        <v>-22</v>
      </c>
      <c r="H3014" s="562"/>
      <c r="I3014" s="562"/>
      <c r="J3014" s="562"/>
    </row>
    <row r="3015" spans="1:10" x14ac:dyDescent="0.25">
      <c r="A3015" s="362"/>
      <c r="B3015" s="611">
        <v>44259</v>
      </c>
      <c r="C3015" s="362" t="s">
        <v>3435</v>
      </c>
      <c r="D3015" s="562">
        <v>207675265</v>
      </c>
      <c r="E3015" s="562"/>
      <c r="F3015" s="562">
        <v>207675300</v>
      </c>
      <c r="G3015" s="562">
        <f t="shared" si="88"/>
        <v>-35</v>
      </c>
      <c r="H3015" s="562"/>
      <c r="I3015" s="562"/>
      <c r="J3015" s="562"/>
    </row>
    <row r="3016" spans="1:10" x14ac:dyDescent="0.25">
      <c r="A3016" s="362"/>
      <c r="B3016" s="611">
        <v>44259</v>
      </c>
      <c r="C3016" s="370" t="s">
        <v>85</v>
      </c>
      <c r="D3016" s="562">
        <v>18283300</v>
      </c>
      <c r="E3016" s="562"/>
      <c r="F3016" s="562">
        <v>18286300</v>
      </c>
      <c r="G3016" s="562">
        <f t="shared" si="88"/>
        <v>-3000</v>
      </c>
      <c r="H3016" s="562"/>
      <c r="I3016" s="562"/>
      <c r="J3016" s="562"/>
    </row>
    <row r="3017" spans="1:10" x14ac:dyDescent="0.25">
      <c r="A3017" s="532"/>
      <c r="B3017" s="532"/>
      <c r="C3017" s="532"/>
      <c r="D3017" s="564">
        <f>SUM(D3002:D3016)</f>
        <v>2189168869</v>
      </c>
      <c r="E3017" s="564">
        <f t="shared" ref="E3017:G3017" si="89">SUM(E3002:E3016)</f>
        <v>682120632</v>
      </c>
      <c r="F3017" s="564">
        <f t="shared" si="89"/>
        <v>2871292900</v>
      </c>
      <c r="G3017" s="564">
        <f t="shared" si="89"/>
        <v>-3399</v>
      </c>
      <c r="H3017" s="564"/>
      <c r="I3017" s="564"/>
      <c r="J3017" s="564"/>
    </row>
    <row r="3018" spans="1:10" x14ac:dyDescent="0.25">
      <c r="A3018" s="362"/>
      <c r="B3018" s="611">
        <v>44260</v>
      </c>
      <c r="C3018" s="362" t="s">
        <v>86</v>
      </c>
      <c r="D3018" s="562">
        <v>30856575</v>
      </c>
      <c r="E3018" s="562">
        <v>62621276</v>
      </c>
      <c r="F3018" s="562">
        <v>93477800</v>
      </c>
      <c r="G3018" s="562">
        <f>D3018+E3018-F3018</f>
        <v>51</v>
      </c>
      <c r="H3018" s="562"/>
      <c r="I3018" s="562"/>
      <c r="J3018" s="562"/>
    </row>
    <row r="3019" spans="1:10" x14ac:dyDescent="0.25">
      <c r="A3019" s="362"/>
      <c r="B3019" s="611">
        <v>44260</v>
      </c>
      <c r="C3019" s="362" t="s">
        <v>87</v>
      </c>
      <c r="D3019" s="562">
        <v>74205926</v>
      </c>
      <c r="E3019" s="562">
        <v>81133754</v>
      </c>
      <c r="F3019" s="562">
        <v>155339700</v>
      </c>
      <c r="G3019" s="562">
        <f t="shared" ref="G3019:G3032" si="90">D3019+E3019-F3019</f>
        <v>-20</v>
      </c>
      <c r="H3019" s="562"/>
      <c r="I3019" s="562"/>
      <c r="J3019" s="562"/>
    </row>
    <row r="3020" spans="1:10" x14ac:dyDescent="0.25">
      <c r="A3020" s="362"/>
      <c r="B3020" s="611">
        <v>44260</v>
      </c>
      <c r="C3020" s="362" t="s">
        <v>88</v>
      </c>
      <c r="D3020" s="562">
        <v>109255875</v>
      </c>
      <c r="E3020" s="562">
        <v>62914900</v>
      </c>
      <c r="F3020" s="562">
        <v>172170800</v>
      </c>
      <c r="G3020" s="562">
        <f t="shared" si="90"/>
        <v>-25</v>
      </c>
      <c r="H3020" s="562"/>
      <c r="I3020" s="562"/>
      <c r="J3020" s="562"/>
    </row>
    <row r="3021" spans="1:10" x14ac:dyDescent="0.25">
      <c r="A3021" s="362"/>
      <c r="B3021" s="611">
        <v>44260</v>
      </c>
      <c r="C3021" s="362" t="s">
        <v>82</v>
      </c>
      <c r="D3021" s="562">
        <v>87032038</v>
      </c>
      <c r="E3021" s="562">
        <v>2237020</v>
      </c>
      <c r="F3021" s="562">
        <v>89269100</v>
      </c>
      <c r="G3021" s="562">
        <f t="shared" si="90"/>
        <v>-42</v>
      </c>
      <c r="H3021" s="562"/>
      <c r="I3021" s="562"/>
      <c r="J3021" s="562"/>
    </row>
    <row r="3022" spans="1:10" x14ac:dyDescent="0.25">
      <c r="A3022" s="362"/>
      <c r="B3022" s="611">
        <v>44260</v>
      </c>
      <c r="C3022" s="362" t="s">
        <v>80</v>
      </c>
      <c r="D3022" s="562">
        <v>181887500</v>
      </c>
      <c r="E3022" s="562"/>
      <c r="F3022" s="562">
        <v>181887500</v>
      </c>
      <c r="G3022" s="562">
        <f t="shared" si="90"/>
        <v>0</v>
      </c>
      <c r="H3022" s="562"/>
      <c r="I3022" s="562"/>
      <c r="J3022" s="562"/>
    </row>
    <row r="3023" spans="1:10" x14ac:dyDescent="0.25">
      <c r="A3023" s="362"/>
      <c r="B3023" s="611">
        <v>44260</v>
      </c>
      <c r="C3023" s="362" t="s">
        <v>83</v>
      </c>
      <c r="D3023" s="562">
        <v>225909824</v>
      </c>
      <c r="E3023" s="562">
        <v>6782757</v>
      </c>
      <c r="F3023" s="562">
        <v>232692600</v>
      </c>
      <c r="G3023" s="562">
        <f t="shared" si="90"/>
        <v>-19</v>
      </c>
      <c r="H3023" s="562"/>
      <c r="I3023" s="562"/>
      <c r="J3023" s="562"/>
    </row>
    <row r="3024" spans="1:10" x14ac:dyDescent="0.25">
      <c r="A3024" s="362"/>
      <c r="B3024" s="611">
        <v>44260</v>
      </c>
      <c r="C3024" s="362" t="s">
        <v>78</v>
      </c>
      <c r="D3024" s="562">
        <v>91884805</v>
      </c>
      <c r="E3024" s="562">
        <v>1332295</v>
      </c>
      <c r="F3024" s="562">
        <v>93217100</v>
      </c>
      <c r="G3024" s="562">
        <f t="shared" si="90"/>
        <v>0</v>
      </c>
      <c r="H3024" s="562"/>
      <c r="I3024" s="562"/>
      <c r="J3024" s="562"/>
    </row>
    <row r="3025" spans="1:10" x14ac:dyDescent="0.25">
      <c r="A3025" s="362"/>
      <c r="B3025" s="611">
        <v>44260</v>
      </c>
      <c r="C3025" s="362" t="s">
        <v>141</v>
      </c>
      <c r="D3025" s="562">
        <v>65257692</v>
      </c>
      <c r="E3025" s="562">
        <v>4940520</v>
      </c>
      <c r="F3025" s="562">
        <v>70198300</v>
      </c>
      <c r="G3025" s="562">
        <f t="shared" si="90"/>
        <v>-88</v>
      </c>
      <c r="H3025" s="562"/>
      <c r="I3025" s="562"/>
      <c r="J3025" s="562"/>
    </row>
    <row r="3026" spans="1:10" x14ac:dyDescent="0.25">
      <c r="A3026" s="362"/>
      <c r="B3026" s="611">
        <v>44260</v>
      </c>
      <c r="C3026" s="362" t="s">
        <v>89</v>
      </c>
      <c r="D3026" s="562">
        <v>150659697</v>
      </c>
      <c r="E3026" s="562">
        <v>29867803</v>
      </c>
      <c r="F3026" s="562">
        <v>180527500</v>
      </c>
      <c r="G3026" s="562">
        <f t="shared" si="90"/>
        <v>0</v>
      </c>
      <c r="H3026" s="562"/>
      <c r="I3026" s="562"/>
      <c r="J3026" s="562"/>
    </row>
    <row r="3027" spans="1:10" x14ac:dyDescent="0.25">
      <c r="A3027" s="362"/>
      <c r="B3027" s="611">
        <v>44260</v>
      </c>
      <c r="C3027" s="362" t="s">
        <v>81</v>
      </c>
      <c r="D3027" s="562">
        <v>112944090</v>
      </c>
      <c r="E3027" s="562">
        <v>22343306</v>
      </c>
      <c r="F3027" s="562">
        <v>135287400</v>
      </c>
      <c r="G3027" s="562">
        <f t="shared" si="90"/>
        <v>-4</v>
      </c>
      <c r="H3027" s="562"/>
      <c r="I3027" s="562"/>
      <c r="J3027" s="562"/>
    </row>
    <row r="3028" spans="1:10" x14ac:dyDescent="0.25">
      <c r="A3028" s="362"/>
      <c r="B3028" s="611">
        <v>44260</v>
      </c>
      <c r="C3028" s="362" t="s">
        <v>84</v>
      </c>
      <c r="D3028" s="562">
        <v>209014916</v>
      </c>
      <c r="E3028" s="562">
        <v>11338895</v>
      </c>
      <c r="F3028" s="562">
        <v>220354000</v>
      </c>
      <c r="G3028" s="562">
        <f t="shared" si="90"/>
        <v>-189</v>
      </c>
      <c r="H3028" s="562"/>
      <c r="I3028" s="562"/>
      <c r="J3028" s="562"/>
    </row>
    <row r="3029" spans="1:10" x14ac:dyDescent="0.25">
      <c r="A3029" s="362"/>
      <c r="B3029" s="611">
        <v>44260</v>
      </c>
      <c r="C3029" s="362" t="s">
        <v>4751</v>
      </c>
      <c r="D3029" s="562">
        <v>198736449</v>
      </c>
      <c r="E3029" s="562">
        <v>7941051</v>
      </c>
      <c r="F3029" s="562">
        <v>206677500</v>
      </c>
      <c r="G3029" s="562">
        <f t="shared" si="90"/>
        <v>0</v>
      </c>
      <c r="H3029" s="562"/>
      <c r="I3029" s="562"/>
      <c r="J3029" s="562"/>
    </row>
    <row r="3030" spans="1:10" x14ac:dyDescent="0.25">
      <c r="A3030" s="362"/>
      <c r="B3030" s="611">
        <v>44260</v>
      </c>
      <c r="C3030" s="362" t="s">
        <v>166</v>
      </c>
      <c r="D3030" s="562"/>
      <c r="E3030" s="562"/>
      <c r="F3030" s="562"/>
      <c r="G3030" s="562">
        <f t="shared" si="90"/>
        <v>0</v>
      </c>
      <c r="H3030" s="562"/>
      <c r="I3030" s="562"/>
      <c r="J3030" s="562"/>
    </row>
    <row r="3031" spans="1:10" x14ac:dyDescent="0.25">
      <c r="A3031" s="362"/>
      <c r="B3031" s="611">
        <v>44260</v>
      </c>
      <c r="C3031" s="362" t="s">
        <v>3435</v>
      </c>
      <c r="D3031" s="562">
        <v>96445865</v>
      </c>
      <c r="E3031" s="562"/>
      <c r="F3031" s="562">
        <v>96445900</v>
      </c>
      <c r="G3031" s="562">
        <f t="shared" si="90"/>
        <v>-35</v>
      </c>
      <c r="H3031" s="562"/>
      <c r="I3031" s="562"/>
      <c r="J3031" s="562"/>
    </row>
    <row r="3032" spans="1:10" x14ac:dyDescent="0.25">
      <c r="A3032" s="362"/>
      <c r="B3032" s="611">
        <v>44260</v>
      </c>
      <c r="C3032" s="370" t="s">
        <v>85</v>
      </c>
      <c r="D3032" s="562">
        <v>18180700</v>
      </c>
      <c r="E3032" s="562"/>
      <c r="F3032" s="562">
        <v>18180700</v>
      </c>
      <c r="G3032" s="562">
        <f t="shared" si="90"/>
        <v>0</v>
      </c>
      <c r="H3032" s="562"/>
      <c r="I3032" s="562"/>
      <c r="J3032" s="562"/>
    </row>
    <row r="3033" spans="1:10" x14ac:dyDescent="0.25">
      <c r="A3033" s="532"/>
      <c r="B3033" s="532"/>
      <c r="C3033" s="532"/>
      <c r="D3033" s="564">
        <f>SUM(D3018:D3032)</f>
        <v>1652271952</v>
      </c>
      <c r="E3033" s="564">
        <f t="shared" ref="E3033:G3033" si="91">SUM(E3018:E3032)</f>
        <v>293453577</v>
      </c>
      <c r="F3033" s="564">
        <f t="shared" si="91"/>
        <v>1945725900</v>
      </c>
      <c r="G3033" s="564">
        <f t="shared" si="91"/>
        <v>-371</v>
      </c>
      <c r="H3033" s="564"/>
      <c r="I3033" s="564"/>
      <c r="J3033" s="564"/>
    </row>
    <row r="3034" spans="1:10" x14ac:dyDescent="0.25">
      <c r="A3034" s="362"/>
      <c r="B3034" s="611">
        <v>44261</v>
      </c>
      <c r="C3034" s="362" t="s">
        <v>86</v>
      </c>
      <c r="D3034" s="562">
        <v>75697114</v>
      </c>
      <c r="E3034" s="562">
        <v>32073476</v>
      </c>
      <c r="F3034" s="562">
        <v>107770700</v>
      </c>
      <c r="G3034" s="562">
        <f>D3034+E3034-F3034</f>
        <v>-110</v>
      </c>
      <c r="H3034" s="562"/>
      <c r="I3034" s="562"/>
      <c r="J3034" s="562"/>
    </row>
    <row r="3035" spans="1:10" x14ac:dyDescent="0.25">
      <c r="A3035" s="362"/>
      <c r="B3035" s="611">
        <v>44261</v>
      </c>
      <c r="C3035" s="362" t="s">
        <v>87</v>
      </c>
      <c r="D3035" s="562">
        <v>71613527</v>
      </c>
      <c r="E3035" s="562">
        <v>157328508</v>
      </c>
      <c r="F3035" s="562">
        <v>228941900</v>
      </c>
      <c r="G3035" s="562">
        <f t="shared" ref="G3035:G3048" si="92">D3035+E3035-F3035</f>
        <v>135</v>
      </c>
      <c r="H3035" s="562"/>
      <c r="I3035" s="562"/>
      <c r="J3035" s="562"/>
    </row>
    <row r="3036" spans="1:10" x14ac:dyDescent="0.25">
      <c r="A3036" s="362"/>
      <c r="B3036" s="611">
        <v>44261</v>
      </c>
      <c r="C3036" s="362" t="s">
        <v>88</v>
      </c>
      <c r="D3036" s="562">
        <v>205985724</v>
      </c>
      <c r="E3036" s="562">
        <v>19364382</v>
      </c>
      <c r="F3036" s="562">
        <v>225350200</v>
      </c>
      <c r="G3036" s="562">
        <f t="shared" si="92"/>
        <v>-94</v>
      </c>
      <c r="H3036" s="562"/>
      <c r="I3036" s="562"/>
      <c r="J3036" s="562"/>
    </row>
    <row r="3037" spans="1:10" x14ac:dyDescent="0.25">
      <c r="A3037" s="362"/>
      <c r="B3037" s="611">
        <v>44261</v>
      </c>
      <c r="C3037" s="362" t="s">
        <v>82</v>
      </c>
      <c r="D3037" s="562">
        <v>80302261</v>
      </c>
      <c r="E3037" s="562">
        <v>6910708</v>
      </c>
      <c r="F3037" s="562">
        <v>87213000</v>
      </c>
      <c r="G3037" s="562">
        <f t="shared" si="92"/>
        <v>-31</v>
      </c>
      <c r="H3037" s="562"/>
      <c r="I3037" s="562"/>
      <c r="J3037" s="562"/>
    </row>
    <row r="3038" spans="1:10" x14ac:dyDescent="0.25">
      <c r="A3038" s="362"/>
      <c r="B3038" s="611">
        <v>44261</v>
      </c>
      <c r="C3038" s="362" t="s">
        <v>80</v>
      </c>
      <c r="D3038" s="562">
        <v>240821581</v>
      </c>
      <c r="E3038" s="562"/>
      <c r="F3038" s="562">
        <v>240821500</v>
      </c>
      <c r="G3038" s="562">
        <f t="shared" si="92"/>
        <v>81</v>
      </c>
      <c r="H3038" s="562"/>
      <c r="I3038" s="562"/>
      <c r="J3038" s="562"/>
    </row>
    <row r="3039" spans="1:10" x14ac:dyDescent="0.25">
      <c r="A3039" s="362"/>
      <c r="B3039" s="611">
        <v>44261</v>
      </c>
      <c r="C3039" s="362" t="s">
        <v>83</v>
      </c>
      <c r="D3039" s="562">
        <v>253574990</v>
      </c>
      <c r="E3039" s="562">
        <v>12284956</v>
      </c>
      <c r="F3039" s="562">
        <v>265860000</v>
      </c>
      <c r="G3039" s="562">
        <f t="shared" si="92"/>
        <v>-54</v>
      </c>
      <c r="H3039" s="562"/>
      <c r="I3039" s="562"/>
      <c r="J3039" s="562"/>
    </row>
    <row r="3040" spans="1:10" x14ac:dyDescent="0.25">
      <c r="A3040" s="362"/>
      <c r="B3040" s="611">
        <v>44261</v>
      </c>
      <c r="C3040" s="362" t="s">
        <v>78</v>
      </c>
      <c r="D3040" s="562">
        <v>123531690</v>
      </c>
      <c r="E3040" s="562">
        <v>6885810</v>
      </c>
      <c r="F3040" s="562">
        <v>130417500</v>
      </c>
      <c r="G3040" s="562">
        <f t="shared" si="92"/>
        <v>0</v>
      </c>
      <c r="H3040" s="562"/>
      <c r="I3040" s="562"/>
      <c r="J3040" s="562"/>
    </row>
    <row r="3041" spans="1:10" x14ac:dyDescent="0.25">
      <c r="A3041" s="362"/>
      <c r="B3041" s="611">
        <v>44261</v>
      </c>
      <c r="C3041" s="362" t="s">
        <v>141</v>
      </c>
      <c r="D3041" s="562">
        <v>42721097</v>
      </c>
      <c r="E3041" s="562">
        <v>552400</v>
      </c>
      <c r="F3041" s="562">
        <v>43273500</v>
      </c>
      <c r="G3041" s="562">
        <f t="shared" si="92"/>
        <v>-3</v>
      </c>
      <c r="H3041" s="562"/>
      <c r="I3041" s="562"/>
      <c r="J3041" s="562"/>
    </row>
    <row r="3042" spans="1:10" x14ac:dyDescent="0.25">
      <c r="A3042" s="362"/>
      <c r="B3042" s="611">
        <v>44261</v>
      </c>
      <c r="C3042" s="362" t="s">
        <v>89</v>
      </c>
      <c r="D3042" s="562">
        <v>90658904</v>
      </c>
      <c r="E3042" s="562">
        <v>30066496</v>
      </c>
      <c r="F3042" s="562">
        <v>120725400</v>
      </c>
      <c r="G3042" s="562">
        <f t="shared" si="92"/>
        <v>0</v>
      </c>
      <c r="H3042" s="562"/>
      <c r="I3042" s="562"/>
      <c r="J3042" s="562"/>
    </row>
    <row r="3043" spans="1:10" x14ac:dyDescent="0.25">
      <c r="A3043" s="362"/>
      <c r="B3043" s="611">
        <v>44261</v>
      </c>
      <c r="C3043" s="362" t="s">
        <v>81</v>
      </c>
      <c r="D3043" s="562">
        <v>120963051</v>
      </c>
      <c r="E3043" s="562">
        <v>18557208</v>
      </c>
      <c r="F3043" s="562">
        <v>139520300</v>
      </c>
      <c r="G3043" s="562">
        <f t="shared" si="92"/>
        <v>-41</v>
      </c>
      <c r="H3043" s="562"/>
      <c r="I3043" s="562"/>
      <c r="J3043" s="562"/>
    </row>
    <row r="3044" spans="1:10" x14ac:dyDescent="0.25">
      <c r="A3044" s="362"/>
      <c r="B3044" s="611">
        <v>44261</v>
      </c>
      <c r="C3044" s="362" t="s">
        <v>84</v>
      </c>
      <c r="D3044" s="562">
        <v>189992138</v>
      </c>
      <c r="E3044" s="562">
        <v>5523754</v>
      </c>
      <c r="F3044" s="562">
        <v>195516200</v>
      </c>
      <c r="G3044" s="562">
        <f t="shared" si="92"/>
        <v>-308</v>
      </c>
      <c r="H3044" s="562"/>
      <c r="I3044" s="562"/>
      <c r="J3044" s="562"/>
    </row>
    <row r="3045" spans="1:10" x14ac:dyDescent="0.25">
      <c r="A3045" s="362"/>
      <c r="B3045" s="611">
        <v>44261</v>
      </c>
      <c r="C3045" s="362" t="s">
        <v>4751</v>
      </c>
      <c r="D3045" s="562">
        <v>166002593</v>
      </c>
      <c r="E3045" s="562">
        <v>71978707</v>
      </c>
      <c r="F3045" s="562">
        <v>237981300</v>
      </c>
      <c r="G3045" s="562">
        <f t="shared" si="92"/>
        <v>0</v>
      </c>
      <c r="H3045" s="562"/>
      <c r="I3045" s="562"/>
      <c r="J3045" s="562"/>
    </row>
    <row r="3046" spans="1:10" x14ac:dyDescent="0.25">
      <c r="A3046" s="362"/>
      <c r="B3046" s="611">
        <v>44261</v>
      </c>
      <c r="C3046" s="362" t="s">
        <v>166</v>
      </c>
      <c r="D3046" s="562"/>
      <c r="E3046" s="562"/>
      <c r="F3046" s="562"/>
      <c r="G3046" s="562">
        <f t="shared" si="92"/>
        <v>0</v>
      </c>
      <c r="H3046" s="562"/>
      <c r="I3046" s="562"/>
      <c r="J3046" s="562"/>
    </row>
    <row r="3047" spans="1:10" x14ac:dyDescent="0.25">
      <c r="A3047" s="362"/>
      <c r="B3047" s="611">
        <v>44261</v>
      </c>
      <c r="C3047" s="362" t="s">
        <v>3435</v>
      </c>
      <c r="D3047" s="562"/>
      <c r="E3047" s="562"/>
      <c r="F3047" s="562"/>
      <c r="G3047" s="562">
        <f t="shared" si="92"/>
        <v>0</v>
      </c>
      <c r="H3047" s="562"/>
      <c r="I3047" s="562"/>
      <c r="J3047" s="562"/>
    </row>
    <row r="3048" spans="1:10" x14ac:dyDescent="0.25">
      <c r="A3048" s="362"/>
      <c r="B3048" s="611">
        <v>44261</v>
      </c>
      <c r="C3048" s="370" t="s">
        <v>85</v>
      </c>
      <c r="D3048" s="562">
        <v>26644800</v>
      </c>
      <c r="E3048" s="562"/>
      <c r="F3048" s="562">
        <v>26644800</v>
      </c>
      <c r="G3048" s="562">
        <f t="shared" si="92"/>
        <v>0</v>
      </c>
      <c r="H3048" s="562"/>
      <c r="I3048" s="562"/>
      <c r="J3048" s="562"/>
    </row>
    <row r="3049" spans="1:10" x14ac:dyDescent="0.25">
      <c r="A3049" s="532"/>
      <c r="B3049" s="532"/>
      <c r="C3049" s="532"/>
      <c r="D3049" s="564">
        <f>SUM(D3034:D3048)</f>
        <v>1688509470</v>
      </c>
      <c r="E3049" s="564">
        <f t="shared" ref="E3049:G3049" si="93">SUM(E3034:E3048)</f>
        <v>361526405</v>
      </c>
      <c r="F3049" s="564">
        <f t="shared" si="93"/>
        <v>2050036300</v>
      </c>
      <c r="G3049" s="564">
        <f t="shared" si="93"/>
        <v>-425</v>
      </c>
      <c r="H3049" s="564"/>
      <c r="I3049" s="564"/>
      <c r="J3049" s="564"/>
    </row>
    <row r="3050" spans="1:10" x14ac:dyDescent="0.25">
      <c r="A3050" s="362"/>
      <c r="B3050" s="611">
        <v>44263</v>
      </c>
      <c r="C3050" s="362" t="s">
        <v>86</v>
      </c>
      <c r="D3050" s="562">
        <v>64241863</v>
      </c>
      <c r="E3050" s="562">
        <v>28238374</v>
      </c>
      <c r="F3050" s="562">
        <v>92480200</v>
      </c>
      <c r="G3050" s="562">
        <f>D3050+E3050-F3050</f>
        <v>37</v>
      </c>
      <c r="H3050" s="562"/>
      <c r="I3050" s="562"/>
      <c r="J3050" s="562"/>
    </row>
    <row r="3051" spans="1:10" x14ac:dyDescent="0.25">
      <c r="A3051" s="362"/>
      <c r="B3051" s="611">
        <v>44263</v>
      </c>
      <c r="C3051" s="362" t="s">
        <v>87</v>
      </c>
      <c r="D3051" s="562">
        <v>99880557</v>
      </c>
      <c r="E3051" s="562">
        <v>82945500</v>
      </c>
      <c r="F3051" s="562">
        <v>182826300</v>
      </c>
      <c r="G3051" s="562">
        <f t="shared" ref="G3051:G3064" si="94">D3051+E3051-F3051</f>
        <v>-243</v>
      </c>
      <c r="H3051" s="562"/>
      <c r="I3051" s="562"/>
      <c r="J3051" s="562"/>
    </row>
    <row r="3052" spans="1:10" x14ac:dyDescent="0.25">
      <c r="A3052" s="362"/>
      <c r="B3052" s="611">
        <v>44263</v>
      </c>
      <c r="C3052" s="362" t="s">
        <v>88</v>
      </c>
      <c r="D3052" s="562">
        <v>252227445</v>
      </c>
      <c r="E3052" s="562">
        <v>50475910</v>
      </c>
      <c r="F3052" s="562">
        <v>302703400</v>
      </c>
      <c r="G3052" s="562">
        <f t="shared" si="94"/>
        <v>-45</v>
      </c>
      <c r="H3052" s="562"/>
      <c r="I3052" s="562"/>
      <c r="J3052" s="562"/>
    </row>
    <row r="3053" spans="1:10" x14ac:dyDescent="0.25">
      <c r="A3053" s="362"/>
      <c r="B3053" s="611">
        <v>44263</v>
      </c>
      <c r="C3053" s="362" t="s">
        <v>82</v>
      </c>
      <c r="D3053" s="562">
        <v>67095442</v>
      </c>
      <c r="E3053" s="562">
        <v>4005556</v>
      </c>
      <c r="F3053" s="562">
        <v>71101000</v>
      </c>
      <c r="G3053" s="562">
        <f t="shared" si="94"/>
        <v>-2</v>
      </c>
      <c r="H3053" s="562"/>
      <c r="I3053" s="562"/>
      <c r="J3053" s="562"/>
    </row>
    <row r="3054" spans="1:10" x14ac:dyDescent="0.25">
      <c r="A3054" s="362"/>
      <c r="B3054" s="611">
        <v>44263</v>
      </c>
      <c r="C3054" s="362" t="s">
        <v>80</v>
      </c>
      <c r="D3054" s="562">
        <v>311328239</v>
      </c>
      <c r="E3054" s="562">
        <v>282832</v>
      </c>
      <c r="F3054" s="562">
        <v>311546000</v>
      </c>
      <c r="G3054" s="562">
        <f t="shared" si="94"/>
        <v>65071</v>
      </c>
      <c r="H3054" s="562"/>
      <c r="I3054" s="562"/>
      <c r="J3054" s="562"/>
    </row>
    <row r="3055" spans="1:10" x14ac:dyDescent="0.25">
      <c r="A3055" s="362"/>
      <c r="B3055" s="611">
        <v>44263</v>
      </c>
      <c r="C3055" s="362" t="s">
        <v>83</v>
      </c>
      <c r="D3055" s="562">
        <v>170711846</v>
      </c>
      <c r="E3055" s="562">
        <v>89919232</v>
      </c>
      <c r="F3055" s="562">
        <v>260631100</v>
      </c>
      <c r="G3055" s="562">
        <f t="shared" si="94"/>
        <v>-22</v>
      </c>
      <c r="H3055" s="562"/>
      <c r="I3055" s="562"/>
      <c r="J3055" s="562"/>
    </row>
    <row r="3056" spans="1:10" x14ac:dyDescent="0.25">
      <c r="A3056" s="362"/>
      <c r="B3056" s="611">
        <v>44263</v>
      </c>
      <c r="C3056" s="362" t="s">
        <v>78</v>
      </c>
      <c r="D3056" s="562">
        <v>72833624</v>
      </c>
      <c r="E3056" s="562">
        <v>1245776</v>
      </c>
      <c r="F3056" s="562">
        <v>74079400</v>
      </c>
      <c r="G3056" s="562">
        <f t="shared" si="94"/>
        <v>0</v>
      </c>
      <c r="H3056" s="562"/>
      <c r="I3056" s="562"/>
      <c r="J3056" s="562"/>
    </row>
    <row r="3057" spans="1:10" x14ac:dyDescent="0.25">
      <c r="A3057" s="362"/>
      <c r="B3057" s="611">
        <v>44263</v>
      </c>
      <c r="C3057" s="362" t="s">
        <v>141</v>
      </c>
      <c r="D3057" s="562">
        <v>37617649</v>
      </c>
      <c r="E3057" s="562">
        <v>1953546</v>
      </c>
      <c r="F3057" s="562">
        <v>39571200</v>
      </c>
      <c r="G3057" s="562">
        <f t="shared" si="94"/>
        <v>-5</v>
      </c>
      <c r="H3057" s="562"/>
      <c r="I3057" s="562"/>
      <c r="J3057" s="562"/>
    </row>
    <row r="3058" spans="1:10" x14ac:dyDescent="0.25">
      <c r="A3058" s="362"/>
      <c r="B3058" s="611">
        <v>44263</v>
      </c>
      <c r="C3058" s="362" t="s">
        <v>89</v>
      </c>
      <c r="D3058" s="562">
        <v>129114519</v>
      </c>
      <c r="E3058" s="562">
        <v>55864981</v>
      </c>
      <c r="F3058" s="562">
        <v>184979500</v>
      </c>
      <c r="G3058" s="562">
        <f t="shared" si="94"/>
        <v>0</v>
      </c>
      <c r="H3058" s="562"/>
      <c r="I3058" s="562"/>
      <c r="J3058" s="562"/>
    </row>
    <row r="3059" spans="1:10" x14ac:dyDescent="0.25">
      <c r="A3059" s="362"/>
      <c r="B3059" s="611">
        <v>44263</v>
      </c>
      <c r="C3059" s="362" t="s">
        <v>81</v>
      </c>
      <c r="D3059" s="562">
        <v>79039088</v>
      </c>
      <c r="E3059" s="562">
        <v>9202037</v>
      </c>
      <c r="F3059" s="562">
        <v>88241200</v>
      </c>
      <c r="G3059" s="562">
        <f t="shared" si="94"/>
        <v>-75</v>
      </c>
      <c r="H3059" s="562"/>
      <c r="I3059" s="562"/>
      <c r="J3059" s="562"/>
    </row>
    <row r="3060" spans="1:10" x14ac:dyDescent="0.25">
      <c r="A3060" s="362"/>
      <c r="B3060" s="611">
        <v>44263</v>
      </c>
      <c r="C3060" s="362" t="s">
        <v>84</v>
      </c>
      <c r="D3060" s="562">
        <v>223587815</v>
      </c>
      <c r="E3060" s="562">
        <v>5264001</v>
      </c>
      <c r="F3060" s="562">
        <v>228851900</v>
      </c>
      <c r="G3060" s="562">
        <f t="shared" si="94"/>
        <v>-84</v>
      </c>
      <c r="H3060" s="562"/>
      <c r="I3060" s="562"/>
      <c r="J3060" s="562"/>
    </row>
    <row r="3061" spans="1:10" x14ac:dyDescent="0.25">
      <c r="A3061" s="362"/>
      <c r="B3061" s="611">
        <v>44263</v>
      </c>
      <c r="C3061" s="362" t="s">
        <v>4751</v>
      </c>
      <c r="D3061" s="562">
        <v>207821123</v>
      </c>
      <c r="E3061" s="562">
        <v>15846977</v>
      </c>
      <c r="F3061" s="562">
        <v>223668100</v>
      </c>
      <c r="G3061" s="562">
        <f t="shared" si="94"/>
        <v>0</v>
      </c>
      <c r="H3061" s="562"/>
      <c r="I3061" s="562"/>
      <c r="J3061" s="562"/>
    </row>
    <row r="3062" spans="1:10" x14ac:dyDescent="0.25">
      <c r="A3062" s="362"/>
      <c r="B3062" s="611">
        <v>44263</v>
      </c>
      <c r="C3062" s="362" t="s">
        <v>166</v>
      </c>
      <c r="D3062" s="562">
        <v>51415340</v>
      </c>
      <c r="E3062" s="562"/>
      <c r="F3062" s="562">
        <v>51415500</v>
      </c>
      <c r="G3062" s="562">
        <f t="shared" si="94"/>
        <v>-160</v>
      </c>
      <c r="H3062" s="562"/>
      <c r="I3062" s="562"/>
      <c r="J3062" s="562"/>
    </row>
    <row r="3063" spans="1:10" x14ac:dyDescent="0.25">
      <c r="A3063" s="362"/>
      <c r="B3063" s="611">
        <v>44263</v>
      </c>
      <c r="C3063" s="362" t="s">
        <v>3435</v>
      </c>
      <c r="D3063" s="562">
        <v>18881329</v>
      </c>
      <c r="E3063" s="562"/>
      <c r="F3063" s="562">
        <v>18881400</v>
      </c>
      <c r="G3063" s="562">
        <f t="shared" si="94"/>
        <v>-71</v>
      </c>
      <c r="H3063" s="562"/>
      <c r="I3063" s="562"/>
      <c r="J3063" s="562"/>
    </row>
    <row r="3064" spans="1:10" x14ac:dyDescent="0.25">
      <c r="A3064" s="362"/>
      <c r="B3064" s="611">
        <v>44263</v>
      </c>
      <c r="C3064" s="370" t="s">
        <v>85</v>
      </c>
      <c r="D3064" s="562">
        <v>45356000</v>
      </c>
      <c r="E3064" s="562"/>
      <c r="F3064" s="562">
        <v>45356000</v>
      </c>
      <c r="G3064" s="562">
        <f t="shared" si="94"/>
        <v>0</v>
      </c>
      <c r="H3064" s="562"/>
      <c r="I3064" s="562"/>
      <c r="J3064" s="562"/>
    </row>
    <row r="3065" spans="1:10" x14ac:dyDescent="0.25">
      <c r="A3065" s="532"/>
      <c r="B3065" s="532"/>
      <c r="C3065" s="532"/>
      <c r="D3065" s="564">
        <f>SUM(D3050:D3064)</f>
        <v>1831151879</v>
      </c>
      <c r="E3065" s="564">
        <f t="shared" ref="E3065:G3065" si="95">SUM(E3050:E3064)</f>
        <v>345244722</v>
      </c>
      <c r="F3065" s="564">
        <f t="shared" si="95"/>
        <v>2176332200</v>
      </c>
      <c r="G3065" s="564">
        <f t="shared" si="95"/>
        <v>64401</v>
      </c>
      <c r="H3065" s="564"/>
      <c r="I3065" s="564"/>
      <c r="J3065" s="564"/>
    </row>
    <row r="3066" spans="1:10" x14ac:dyDescent="0.25">
      <c r="A3066" s="362"/>
      <c r="B3066" s="611">
        <v>44264</v>
      </c>
      <c r="C3066" s="362" t="s">
        <v>86</v>
      </c>
      <c r="D3066" s="562">
        <v>92354984</v>
      </c>
      <c r="E3066" s="562">
        <v>37907431</v>
      </c>
      <c r="F3066" s="562">
        <v>130262400</v>
      </c>
      <c r="G3066" s="562">
        <f>D3066+E3066-F3066</f>
        <v>15</v>
      </c>
      <c r="H3066" s="562"/>
      <c r="I3066" s="562"/>
      <c r="J3066" s="562"/>
    </row>
    <row r="3067" spans="1:10" x14ac:dyDescent="0.25">
      <c r="A3067" s="362"/>
      <c r="B3067" s="611">
        <v>44264</v>
      </c>
      <c r="C3067" s="362" t="s">
        <v>87</v>
      </c>
      <c r="D3067" s="562">
        <v>114383605</v>
      </c>
      <c r="E3067" s="562">
        <v>75335779</v>
      </c>
      <c r="F3067" s="562">
        <v>189719500</v>
      </c>
      <c r="G3067" s="562">
        <f t="shared" ref="G3067:G3079" si="96">D3067+E3067-F3067</f>
        <v>-116</v>
      </c>
      <c r="H3067" s="562"/>
      <c r="I3067" s="562"/>
      <c r="J3067" s="562"/>
    </row>
    <row r="3068" spans="1:10" x14ac:dyDescent="0.25">
      <c r="A3068" s="362"/>
      <c r="B3068" s="611">
        <v>44264</v>
      </c>
      <c r="C3068" s="362" t="s">
        <v>88</v>
      </c>
      <c r="D3068" s="562">
        <v>229331716</v>
      </c>
      <c r="E3068" s="562">
        <v>62666674</v>
      </c>
      <c r="F3068" s="562">
        <v>291998400</v>
      </c>
      <c r="G3068" s="562">
        <f t="shared" si="96"/>
        <v>-10</v>
      </c>
      <c r="H3068" s="562"/>
      <c r="I3068" s="562"/>
      <c r="J3068" s="562"/>
    </row>
    <row r="3069" spans="1:10" x14ac:dyDescent="0.25">
      <c r="A3069" s="362"/>
      <c r="B3069" s="611">
        <v>44264</v>
      </c>
      <c r="C3069" s="362" t="s">
        <v>82</v>
      </c>
      <c r="D3069" s="562">
        <v>79393480</v>
      </c>
      <c r="E3069" s="562">
        <v>2097400</v>
      </c>
      <c r="F3069" s="562">
        <v>81490900</v>
      </c>
      <c r="G3069" s="562">
        <f t="shared" si="96"/>
        <v>-20</v>
      </c>
      <c r="H3069" s="562"/>
      <c r="I3069" s="562"/>
      <c r="J3069" s="562"/>
    </row>
    <row r="3070" spans="1:10" x14ac:dyDescent="0.25">
      <c r="A3070" s="362"/>
      <c r="B3070" s="611">
        <v>44264</v>
      </c>
      <c r="C3070" s="362" t="s">
        <v>80</v>
      </c>
      <c r="D3070" s="562">
        <v>285964297</v>
      </c>
      <c r="E3070" s="562">
        <v>6877000</v>
      </c>
      <c r="F3070" s="562">
        <v>292842200</v>
      </c>
      <c r="G3070" s="562">
        <f t="shared" si="96"/>
        <v>-903</v>
      </c>
      <c r="H3070" s="562"/>
      <c r="I3070" s="562"/>
      <c r="J3070" s="562"/>
    </row>
    <row r="3071" spans="1:10" x14ac:dyDescent="0.25">
      <c r="A3071" s="362"/>
      <c r="B3071" s="611">
        <v>44264</v>
      </c>
      <c r="C3071" s="362" t="s">
        <v>83</v>
      </c>
      <c r="D3071" s="562">
        <v>217899970</v>
      </c>
      <c r="E3071" s="562">
        <v>19086106</v>
      </c>
      <c r="F3071" s="562">
        <v>236986100</v>
      </c>
      <c r="G3071" s="562">
        <f t="shared" si="96"/>
        <v>-24</v>
      </c>
      <c r="H3071" s="562"/>
      <c r="I3071" s="562"/>
      <c r="J3071" s="562"/>
    </row>
    <row r="3072" spans="1:10" x14ac:dyDescent="0.25">
      <c r="A3072" s="362"/>
      <c r="B3072" s="611">
        <v>44264</v>
      </c>
      <c r="C3072" s="362" t="s">
        <v>78</v>
      </c>
      <c r="D3072" s="562">
        <v>82004266</v>
      </c>
      <c r="E3072" s="562">
        <v>2867534</v>
      </c>
      <c r="F3072" s="562">
        <v>84871800</v>
      </c>
      <c r="G3072" s="562">
        <f t="shared" si="96"/>
        <v>0</v>
      </c>
      <c r="H3072" s="562"/>
      <c r="I3072" s="562"/>
      <c r="J3072" s="562"/>
    </row>
    <row r="3073" spans="1:10" x14ac:dyDescent="0.25">
      <c r="A3073" s="362"/>
      <c r="B3073" s="611">
        <v>44264</v>
      </c>
      <c r="C3073" s="362" t="s">
        <v>141</v>
      </c>
      <c r="D3073" s="562">
        <v>72958149</v>
      </c>
      <c r="E3073" s="562">
        <v>5432600</v>
      </c>
      <c r="F3073" s="562">
        <v>78390800</v>
      </c>
      <c r="G3073" s="562">
        <f t="shared" si="96"/>
        <v>-51</v>
      </c>
      <c r="H3073" s="562"/>
      <c r="I3073" s="562"/>
      <c r="J3073" s="562"/>
    </row>
    <row r="3074" spans="1:10" x14ac:dyDescent="0.25">
      <c r="A3074" s="362"/>
      <c r="B3074" s="611">
        <v>44264</v>
      </c>
      <c r="C3074" s="362" t="s">
        <v>89</v>
      </c>
      <c r="D3074" s="562">
        <v>159987700</v>
      </c>
      <c r="E3074" s="562">
        <v>2685000</v>
      </c>
      <c r="F3074" s="562">
        <v>162672700</v>
      </c>
      <c r="G3074" s="562">
        <f t="shared" si="96"/>
        <v>0</v>
      </c>
      <c r="H3074" s="562"/>
      <c r="I3074" s="562"/>
      <c r="J3074" s="562"/>
    </row>
    <row r="3075" spans="1:10" x14ac:dyDescent="0.25">
      <c r="A3075" s="362"/>
      <c r="B3075" s="611">
        <v>44264</v>
      </c>
      <c r="C3075" s="362" t="s">
        <v>81</v>
      </c>
      <c r="D3075" s="562">
        <v>78935432</v>
      </c>
      <c r="E3075" s="562">
        <v>10032486</v>
      </c>
      <c r="F3075" s="562">
        <v>88968000</v>
      </c>
      <c r="G3075" s="562">
        <f t="shared" si="96"/>
        <v>-82</v>
      </c>
      <c r="H3075" s="562"/>
      <c r="I3075" s="562"/>
      <c r="J3075" s="562"/>
    </row>
    <row r="3076" spans="1:10" x14ac:dyDescent="0.25">
      <c r="A3076" s="362"/>
      <c r="B3076" s="611">
        <v>44264</v>
      </c>
      <c r="C3076" s="362" t="s">
        <v>84</v>
      </c>
      <c r="D3076" s="562">
        <v>242794882</v>
      </c>
      <c r="E3076" s="562">
        <v>13870908</v>
      </c>
      <c r="F3076" s="562">
        <v>256665900</v>
      </c>
      <c r="G3076" s="562">
        <f t="shared" si="96"/>
        <v>-110</v>
      </c>
      <c r="H3076" s="562"/>
      <c r="I3076" s="562"/>
      <c r="J3076" s="562"/>
    </row>
    <row r="3077" spans="1:10" x14ac:dyDescent="0.25">
      <c r="A3077" s="362"/>
      <c r="B3077" s="611">
        <v>44264</v>
      </c>
      <c r="C3077" s="362" t="s">
        <v>4751</v>
      </c>
      <c r="D3077" s="562">
        <v>175776240</v>
      </c>
      <c r="E3077" s="562">
        <v>7683560</v>
      </c>
      <c r="F3077" s="562">
        <v>183459800</v>
      </c>
      <c r="G3077" s="562">
        <f t="shared" si="96"/>
        <v>0</v>
      </c>
      <c r="H3077" s="562"/>
      <c r="I3077" s="562"/>
      <c r="J3077" s="562"/>
    </row>
    <row r="3078" spans="1:10" x14ac:dyDescent="0.25">
      <c r="A3078" s="362"/>
      <c r="B3078" s="611">
        <v>44264</v>
      </c>
      <c r="C3078" s="362" t="s">
        <v>166</v>
      </c>
      <c r="D3078" s="562">
        <v>66256658</v>
      </c>
      <c r="E3078" s="562">
        <v>30666000</v>
      </c>
      <c r="F3078" s="562">
        <v>66256700</v>
      </c>
      <c r="G3078" s="562">
        <f t="shared" si="96"/>
        <v>30665958</v>
      </c>
      <c r="H3078" s="562"/>
      <c r="I3078" s="562"/>
      <c r="J3078" s="562"/>
    </row>
    <row r="3079" spans="1:10" x14ac:dyDescent="0.25">
      <c r="A3079" s="362"/>
      <c r="B3079" s="611">
        <v>44264</v>
      </c>
      <c r="C3079" s="362" t="s">
        <v>3435</v>
      </c>
      <c r="D3079" s="562">
        <v>136256925</v>
      </c>
      <c r="E3079" s="562"/>
      <c r="F3079" s="562">
        <v>136257000</v>
      </c>
      <c r="G3079" s="562">
        <f t="shared" si="96"/>
        <v>-75</v>
      </c>
      <c r="H3079" s="562"/>
      <c r="I3079" s="562"/>
      <c r="J3079" s="562"/>
    </row>
    <row r="3080" spans="1:10" x14ac:dyDescent="0.25">
      <c r="A3080" s="362"/>
      <c r="B3080" s="611">
        <v>44264</v>
      </c>
      <c r="C3080" s="370" t="s">
        <v>85</v>
      </c>
      <c r="D3080" s="562">
        <v>33363800</v>
      </c>
      <c r="E3080" s="562"/>
      <c r="F3080" s="562">
        <v>33363800</v>
      </c>
      <c r="G3080" s="562">
        <f>D3080+E3080-F3080</f>
        <v>0</v>
      </c>
      <c r="H3080" s="562"/>
      <c r="I3080" s="562"/>
      <c r="J3080" s="562"/>
    </row>
    <row r="3081" spans="1:10" x14ac:dyDescent="0.25">
      <c r="A3081" s="532"/>
      <c r="B3081" s="532"/>
      <c r="C3081" s="532"/>
      <c r="D3081" s="564">
        <f>SUM(D3066:D3080)</f>
        <v>2067662104</v>
      </c>
      <c r="E3081" s="564">
        <f t="shared" ref="E3081:G3081" si="97">SUM(E3066:E3080)</f>
        <v>277208478</v>
      </c>
      <c r="F3081" s="564">
        <f t="shared" si="97"/>
        <v>2314206000</v>
      </c>
      <c r="G3081" s="564">
        <f t="shared" si="97"/>
        <v>30664582</v>
      </c>
      <c r="H3081" s="564"/>
      <c r="I3081" s="564"/>
      <c r="J3081" s="564"/>
    </row>
    <row r="3082" spans="1:10" x14ac:dyDescent="0.25">
      <c r="A3082" s="362"/>
      <c r="B3082" s="611">
        <v>44265</v>
      </c>
      <c r="C3082" s="362" t="s">
        <v>86</v>
      </c>
      <c r="D3082" s="562">
        <v>61069193</v>
      </c>
      <c r="E3082" s="562">
        <v>195421760</v>
      </c>
      <c r="F3082" s="562">
        <v>256491000</v>
      </c>
      <c r="G3082" s="562">
        <f>D3082+E3082-F3082</f>
        <v>-47</v>
      </c>
      <c r="H3082" s="562"/>
      <c r="I3082" s="562"/>
      <c r="J3082" s="562"/>
    </row>
    <row r="3083" spans="1:10" x14ac:dyDescent="0.25">
      <c r="A3083" s="362"/>
      <c r="B3083" s="611">
        <v>44265</v>
      </c>
      <c r="C3083" s="362" t="s">
        <v>87</v>
      </c>
      <c r="D3083" s="562">
        <v>129751157</v>
      </c>
      <c r="E3083" s="562">
        <v>68931892</v>
      </c>
      <c r="F3083" s="562">
        <v>198683100</v>
      </c>
      <c r="G3083" s="562">
        <f t="shared" ref="G3083:G3096" si="98">D3083+E3083-F3083</f>
        <v>-51</v>
      </c>
      <c r="H3083" s="562"/>
      <c r="I3083" s="562"/>
      <c r="J3083" s="562"/>
    </row>
    <row r="3084" spans="1:10" x14ac:dyDescent="0.25">
      <c r="A3084" s="362"/>
      <c r="B3084" s="611">
        <v>44265</v>
      </c>
      <c r="C3084" s="362" t="s">
        <v>88</v>
      </c>
      <c r="D3084" s="562">
        <v>342782223</v>
      </c>
      <c r="E3084" s="562">
        <v>56317198</v>
      </c>
      <c r="F3084" s="562">
        <v>399099500</v>
      </c>
      <c r="G3084" s="562">
        <f t="shared" si="98"/>
        <v>-79</v>
      </c>
      <c r="H3084" s="562"/>
      <c r="I3084" s="562"/>
      <c r="J3084" s="562"/>
    </row>
    <row r="3085" spans="1:10" x14ac:dyDescent="0.25">
      <c r="A3085" s="362"/>
      <c r="B3085" s="611">
        <v>44265</v>
      </c>
      <c r="C3085" s="362" t="s">
        <v>82</v>
      </c>
      <c r="D3085" s="562">
        <v>88707154</v>
      </c>
      <c r="E3085" s="562">
        <v>29026044</v>
      </c>
      <c r="F3085" s="562">
        <v>117733200</v>
      </c>
      <c r="G3085" s="562">
        <f t="shared" si="98"/>
        <v>-2</v>
      </c>
      <c r="H3085" s="562"/>
      <c r="I3085" s="562"/>
      <c r="J3085" s="562"/>
    </row>
    <row r="3086" spans="1:10" x14ac:dyDescent="0.25">
      <c r="A3086" s="362"/>
      <c r="B3086" s="611">
        <v>44265</v>
      </c>
      <c r="C3086" s="362" t="s">
        <v>80</v>
      </c>
      <c r="D3086" s="562">
        <v>266428625</v>
      </c>
      <c r="E3086" s="562">
        <v>866049</v>
      </c>
      <c r="F3086" s="562">
        <v>267299200</v>
      </c>
      <c r="G3086" s="562">
        <f t="shared" si="98"/>
        <v>-4526</v>
      </c>
      <c r="H3086" s="562"/>
      <c r="I3086" s="562"/>
      <c r="J3086" s="562"/>
    </row>
    <row r="3087" spans="1:10" x14ac:dyDescent="0.25">
      <c r="A3087" s="362"/>
      <c r="B3087" s="611">
        <v>44265</v>
      </c>
      <c r="C3087" s="362" t="s">
        <v>83</v>
      </c>
      <c r="D3087" s="562">
        <v>142980558</v>
      </c>
      <c r="E3087" s="562">
        <v>137034616</v>
      </c>
      <c r="F3087" s="562">
        <v>280015200</v>
      </c>
      <c r="G3087" s="562">
        <f t="shared" si="98"/>
        <v>-26</v>
      </c>
      <c r="H3087" s="562"/>
      <c r="I3087" s="562"/>
      <c r="J3087" s="562"/>
    </row>
    <row r="3088" spans="1:10" x14ac:dyDescent="0.25">
      <c r="A3088" s="362"/>
      <c r="B3088" s="611">
        <v>44265</v>
      </c>
      <c r="C3088" s="362" t="s">
        <v>78</v>
      </c>
      <c r="D3088" s="562">
        <v>80969643</v>
      </c>
      <c r="E3088" s="562">
        <v>4712457</v>
      </c>
      <c r="F3088" s="562">
        <v>85682100</v>
      </c>
      <c r="G3088" s="562">
        <f t="shared" si="98"/>
        <v>0</v>
      </c>
      <c r="H3088" s="562"/>
      <c r="I3088" s="562"/>
      <c r="J3088" s="562"/>
    </row>
    <row r="3089" spans="1:10" x14ac:dyDescent="0.25">
      <c r="A3089" s="362"/>
      <c r="B3089" s="611">
        <v>44265</v>
      </c>
      <c r="C3089" s="362" t="s">
        <v>141</v>
      </c>
      <c r="D3089" s="562">
        <v>72339634</v>
      </c>
      <c r="E3089" s="562"/>
      <c r="F3089" s="562">
        <v>72339700</v>
      </c>
      <c r="G3089" s="562">
        <f t="shared" si="98"/>
        <v>-66</v>
      </c>
      <c r="H3089" s="562"/>
      <c r="I3089" s="562"/>
      <c r="J3089" s="562"/>
    </row>
    <row r="3090" spans="1:10" x14ac:dyDescent="0.25">
      <c r="A3090" s="362"/>
      <c r="B3090" s="611">
        <v>44265</v>
      </c>
      <c r="C3090" s="362" t="s">
        <v>89</v>
      </c>
      <c r="D3090" s="562">
        <v>104594733</v>
      </c>
      <c r="E3090" s="562">
        <v>79920967</v>
      </c>
      <c r="F3090" s="562">
        <v>184515700</v>
      </c>
      <c r="G3090" s="562">
        <f t="shared" si="98"/>
        <v>0</v>
      </c>
      <c r="H3090" s="562"/>
      <c r="I3090" s="562"/>
      <c r="J3090" s="562"/>
    </row>
    <row r="3091" spans="1:10" x14ac:dyDescent="0.25">
      <c r="A3091" s="362"/>
      <c r="B3091" s="611">
        <v>44265</v>
      </c>
      <c r="C3091" s="362" t="s">
        <v>81</v>
      </c>
      <c r="D3091" s="562">
        <v>94756346</v>
      </c>
      <c r="E3091" s="562">
        <v>12424626</v>
      </c>
      <c r="F3091" s="562">
        <v>107180972</v>
      </c>
      <c r="G3091" s="562">
        <f t="shared" si="98"/>
        <v>0</v>
      </c>
      <c r="H3091" s="562"/>
      <c r="I3091" s="562"/>
      <c r="J3091" s="562"/>
    </row>
    <row r="3092" spans="1:10" x14ac:dyDescent="0.25">
      <c r="A3092" s="362"/>
      <c r="B3092" s="611">
        <v>44265</v>
      </c>
      <c r="C3092" s="362" t="s">
        <v>84</v>
      </c>
      <c r="D3092" s="562">
        <v>223844054</v>
      </c>
      <c r="E3092" s="562">
        <v>7970612</v>
      </c>
      <c r="F3092" s="562">
        <v>231815100</v>
      </c>
      <c r="G3092" s="562">
        <f t="shared" si="98"/>
        <v>-434</v>
      </c>
      <c r="H3092" s="562"/>
      <c r="I3092" s="562"/>
      <c r="J3092" s="562"/>
    </row>
    <row r="3093" spans="1:10" x14ac:dyDescent="0.25">
      <c r="A3093" s="362"/>
      <c r="B3093" s="611">
        <v>44265</v>
      </c>
      <c r="C3093" s="362" t="s">
        <v>4751</v>
      </c>
      <c r="D3093" s="562">
        <v>214946862</v>
      </c>
      <c r="E3093" s="562">
        <v>14311038</v>
      </c>
      <c r="F3093" s="562">
        <v>229257900</v>
      </c>
      <c r="G3093" s="562">
        <f t="shared" si="98"/>
        <v>0</v>
      </c>
      <c r="H3093" s="562"/>
      <c r="I3093" s="562"/>
      <c r="J3093" s="562"/>
    </row>
    <row r="3094" spans="1:10" x14ac:dyDescent="0.25">
      <c r="A3094" s="362"/>
      <c r="B3094" s="611">
        <v>44265</v>
      </c>
      <c r="C3094" s="362" t="s">
        <v>166</v>
      </c>
      <c r="D3094" s="562">
        <v>48882821</v>
      </c>
      <c r="E3094" s="562"/>
      <c r="F3094" s="562">
        <v>48882900</v>
      </c>
      <c r="G3094" s="562">
        <f t="shared" si="98"/>
        <v>-79</v>
      </c>
      <c r="H3094" s="562"/>
      <c r="I3094" s="562"/>
      <c r="J3094" s="562"/>
    </row>
    <row r="3095" spans="1:10" x14ac:dyDescent="0.25">
      <c r="A3095" s="362"/>
      <c r="B3095" s="611">
        <v>44265</v>
      </c>
      <c r="C3095" s="362" t="s">
        <v>3435</v>
      </c>
      <c r="D3095" s="562">
        <v>63797856</v>
      </c>
      <c r="E3095" s="562"/>
      <c r="F3095" s="562">
        <v>63797900</v>
      </c>
      <c r="G3095" s="562">
        <f t="shared" si="98"/>
        <v>-44</v>
      </c>
      <c r="H3095" s="562"/>
      <c r="I3095" s="562"/>
      <c r="J3095" s="562"/>
    </row>
    <row r="3096" spans="1:10" x14ac:dyDescent="0.25">
      <c r="A3096" s="362"/>
      <c r="B3096" s="611">
        <v>44265</v>
      </c>
      <c r="C3096" s="370" t="s">
        <v>85</v>
      </c>
      <c r="D3096" s="562">
        <v>36423600</v>
      </c>
      <c r="E3096" s="562"/>
      <c r="F3096" s="562">
        <v>36423600</v>
      </c>
      <c r="G3096" s="562">
        <f t="shared" si="98"/>
        <v>0</v>
      </c>
      <c r="H3096" s="562"/>
      <c r="I3096" s="562"/>
      <c r="J3096" s="562"/>
    </row>
    <row r="3097" spans="1:10" x14ac:dyDescent="0.25">
      <c r="A3097" s="532"/>
      <c r="B3097" s="532"/>
      <c r="C3097" s="532"/>
      <c r="D3097" s="564">
        <f>SUM(D3082:D3096)</f>
        <v>1972274459</v>
      </c>
      <c r="E3097" s="564">
        <f t="shared" ref="E3097:G3097" si="99">SUM(E3082:E3096)</f>
        <v>606937259</v>
      </c>
      <c r="F3097" s="564">
        <f t="shared" si="99"/>
        <v>2579217072</v>
      </c>
      <c r="G3097" s="564">
        <f t="shared" si="99"/>
        <v>-5354</v>
      </c>
      <c r="H3097" s="564"/>
      <c r="I3097" s="564"/>
      <c r="J3097" s="564"/>
    </row>
    <row r="3098" spans="1:10" x14ac:dyDescent="0.25">
      <c r="A3098" s="362"/>
      <c r="B3098" s="611">
        <v>44266</v>
      </c>
      <c r="C3098" s="362" t="s">
        <v>86</v>
      </c>
      <c r="D3098" s="562">
        <v>72736692</v>
      </c>
      <c r="E3098" s="562">
        <v>49750990</v>
      </c>
      <c r="F3098" s="562">
        <v>122487600</v>
      </c>
      <c r="G3098" s="562">
        <f>D3098+E3098-F3098</f>
        <v>82</v>
      </c>
      <c r="H3098" s="562"/>
      <c r="I3098" s="562"/>
      <c r="J3098" s="562"/>
    </row>
    <row r="3099" spans="1:10" x14ac:dyDescent="0.25">
      <c r="A3099" s="362"/>
      <c r="B3099" s="611">
        <v>44266</v>
      </c>
      <c r="C3099" s="362" t="s">
        <v>87</v>
      </c>
      <c r="D3099" s="562">
        <v>56163793</v>
      </c>
      <c r="E3099" s="562">
        <v>111855071</v>
      </c>
      <c r="F3099" s="562">
        <v>168018900</v>
      </c>
      <c r="G3099" s="562">
        <f t="shared" ref="G3099:G3112" si="100">D3099+E3099-F3099</f>
        <v>-36</v>
      </c>
      <c r="H3099" s="562"/>
      <c r="I3099" s="562"/>
      <c r="J3099" s="562"/>
    </row>
    <row r="3100" spans="1:10" x14ac:dyDescent="0.25">
      <c r="A3100" s="362"/>
      <c r="B3100" s="611">
        <v>44266</v>
      </c>
      <c r="C3100" s="362" t="s">
        <v>88</v>
      </c>
      <c r="D3100" s="562">
        <v>212083774</v>
      </c>
      <c r="E3100" s="562">
        <v>34804544</v>
      </c>
      <c r="F3100" s="562">
        <v>246888400</v>
      </c>
      <c r="G3100" s="562">
        <f t="shared" si="100"/>
        <v>-82</v>
      </c>
      <c r="H3100" s="562"/>
      <c r="I3100" s="562"/>
      <c r="J3100" s="562"/>
    </row>
    <row r="3101" spans="1:10" x14ac:dyDescent="0.25">
      <c r="A3101" s="362"/>
      <c r="B3101" s="611">
        <v>44266</v>
      </c>
      <c r="C3101" s="362" t="s">
        <v>82</v>
      </c>
      <c r="D3101" s="562">
        <v>117245759</v>
      </c>
      <c r="E3101" s="562">
        <v>1656882</v>
      </c>
      <c r="F3101" s="562">
        <v>118902700</v>
      </c>
      <c r="G3101" s="562">
        <f t="shared" si="100"/>
        <v>-59</v>
      </c>
      <c r="H3101" s="562"/>
      <c r="I3101" s="562"/>
      <c r="J3101" s="562"/>
    </row>
    <row r="3102" spans="1:10" x14ac:dyDescent="0.25">
      <c r="A3102" s="362"/>
      <c r="B3102" s="611">
        <v>44266</v>
      </c>
      <c r="C3102" s="362" t="s">
        <v>80</v>
      </c>
      <c r="D3102" s="562">
        <v>158770614</v>
      </c>
      <c r="E3102" s="562">
        <v>50608452</v>
      </c>
      <c r="F3102" s="562">
        <v>209378900</v>
      </c>
      <c r="G3102" s="562">
        <f t="shared" si="100"/>
        <v>166</v>
      </c>
      <c r="H3102" s="562"/>
      <c r="I3102" s="562"/>
      <c r="J3102" s="562"/>
    </row>
    <row r="3103" spans="1:10" x14ac:dyDescent="0.25">
      <c r="A3103" s="362"/>
      <c r="B3103" s="611">
        <v>44266</v>
      </c>
      <c r="C3103" s="362" t="s">
        <v>83</v>
      </c>
      <c r="D3103" s="562">
        <v>328745918</v>
      </c>
      <c r="E3103" s="562">
        <v>4199767</v>
      </c>
      <c r="F3103" s="562">
        <v>332945700</v>
      </c>
      <c r="G3103" s="562">
        <f t="shared" si="100"/>
        <v>-15</v>
      </c>
      <c r="H3103" s="562"/>
      <c r="I3103" s="562"/>
      <c r="J3103" s="562"/>
    </row>
    <row r="3104" spans="1:10" x14ac:dyDescent="0.25">
      <c r="A3104" s="362"/>
      <c r="B3104" s="611">
        <v>44266</v>
      </c>
      <c r="C3104" s="362" t="s">
        <v>78</v>
      </c>
      <c r="D3104" s="562">
        <v>136668424</v>
      </c>
      <c r="E3104" s="562">
        <v>3757476</v>
      </c>
      <c r="F3104" s="562">
        <v>140425900</v>
      </c>
      <c r="G3104" s="562">
        <f t="shared" si="100"/>
        <v>0</v>
      </c>
      <c r="H3104" s="562"/>
      <c r="I3104" s="562"/>
      <c r="J3104" s="562"/>
    </row>
    <row r="3105" spans="1:10" x14ac:dyDescent="0.25">
      <c r="A3105" s="362"/>
      <c r="B3105" s="611">
        <v>44266</v>
      </c>
      <c r="C3105" s="362" t="s">
        <v>141</v>
      </c>
      <c r="D3105" s="562">
        <v>63537446</v>
      </c>
      <c r="E3105" s="562">
        <v>255675</v>
      </c>
      <c r="F3105" s="562">
        <v>63793200</v>
      </c>
      <c r="G3105" s="562">
        <f t="shared" si="100"/>
        <v>-79</v>
      </c>
      <c r="H3105" s="562"/>
      <c r="I3105" s="562"/>
      <c r="J3105" s="562"/>
    </row>
    <row r="3106" spans="1:10" x14ac:dyDescent="0.25">
      <c r="A3106" s="362"/>
      <c r="B3106" s="611">
        <v>44266</v>
      </c>
      <c r="C3106" s="362" t="s">
        <v>89</v>
      </c>
      <c r="D3106" s="562">
        <v>212618232</v>
      </c>
      <c r="E3106" s="562">
        <v>20552768</v>
      </c>
      <c r="F3106" s="562">
        <v>233171000</v>
      </c>
      <c r="G3106" s="562">
        <f t="shared" si="100"/>
        <v>0</v>
      </c>
      <c r="H3106" s="562"/>
      <c r="I3106" s="562"/>
      <c r="J3106" s="562"/>
    </row>
    <row r="3107" spans="1:10" x14ac:dyDescent="0.25">
      <c r="A3107" s="362"/>
      <c r="B3107" s="611">
        <v>44266</v>
      </c>
      <c r="C3107" s="362" t="s">
        <v>81</v>
      </c>
      <c r="D3107" s="562">
        <v>63462815</v>
      </c>
      <c r="E3107" s="562">
        <v>16185966</v>
      </c>
      <c r="F3107" s="562">
        <v>79648800</v>
      </c>
      <c r="G3107" s="562">
        <f t="shared" si="100"/>
        <v>-19</v>
      </c>
      <c r="H3107" s="562"/>
      <c r="I3107" s="562"/>
      <c r="J3107" s="562"/>
    </row>
    <row r="3108" spans="1:10" x14ac:dyDescent="0.25">
      <c r="A3108" s="362"/>
      <c r="B3108" s="611">
        <v>44266</v>
      </c>
      <c r="C3108" s="362" t="s">
        <v>84</v>
      </c>
      <c r="D3108" s="562">
        <v>381167484</v>
      </c>
      <c r="E3108" s="562">
        <v>5788329</v>
      </c>
      <c r="F3108" s="562">
        <v>386955700</v>
      </c>
      <c r="G3108" s="562">
        <f t="shared" si="100"/>
        <v>113</v>
      </c>
      <c r="H3108" s="562"/>
      <c r="I3108" s="562"/>
      <c r="J3108" s="562"/>
    </row>
    <row r="3109" spans="1:10" x14ac:dyDescent="0.25">
      <c r="A3109" s="362"/>
      <c r="B3109" s="611">
        <v>44266</v>
      </c>
      <c r="C3109" s="362" t="s">
        <v>4751</v>
      </c>
      <c r="D3109" s="562">
        <v>250847529</v>
      </c>
      <c r="E3109" s="562">
        <v>8016071</v>
      </c>
      <c r="F3109" s="562">
        <v>258863600</v>
      </c>
      <c r="G3109" s="562">
        <f t="shared" si="100"/>
        <v>0</v>
      </c>
      <c r="H3109" s="562"/>
      <c r="I3109" s="562"/>
      <c r="J3109" s="562"/>
    </row>
    <row r="3110" spans="1:10" x14ac:dyDescent="0.25">
      <c r="A3110" s="362"/>
      <c r="B3110" s="611">
        <v>44266</v>
      </c>
      <c r="C3110" s="362" t="s">
        <v>166</v>
      </c>
      <c r="D3110" s="562">
        <v>58412965</v>
      </c>
      <c r="E3110" s="562"/>
      <c r="F3110" s="562">
        <v>58413000</v>
      </c>
      <c r="G3110" s="562">
        <f t="shared" si="100"/>
        <v>-35</v>
      </c>
      <c r="H3110" s="562"/>
      <c r="I3110" s="562"/>
      <c r="J3110" s="562"/>
    </row>
    <row r="3111" spans="1:10" x14ac:dyDescent="0.25">
      <c r="A3111" s="362"/>
      <c r="B3111" s="611">
        <v>44266</v>
      </c>
      <c r="C3111" s="362" t="s">
        <v>3435</v>
      </c>
      <c r="D3111" s="562">
        <v>54860350</v>
      </c>
      <c r="E3111" s="562"/>
      <c r="F3111" s="562">
        <v>54860400</v>
      </c>
      <c r="G3111" s="562">
        <f t="shared" si="100"/>
        <v>-50</v>
      </c>
      <c r="H3111" s="562"/>
      <c r="I3111" s="562"/>
      <c r="J3111" s="562"/>
    </row>
    <row r="3112" spans="1:10" x14ac:dyDescent="0.25">
      <c r="A3112" s="362"/>
      <c r="B3112" s="611">
        <v>44266</v>
      </c>
      <c r="C3112" s="370" t="s">
        <v>85</v>
      </c>
      <c r="D3112" s="562">
        <v>41137800</v>
      </c>
      <c r="E3112" s="562"/>
      <c r="F3112" s="562">
        <v>41137800</v>
      </c>
      <c r="G3112" s="562">
        <f t="shared" si="100"/>
        <v>0</v>
      </c>
      <c r="H3112" s="562"/>
      <c r="I3112" s="562"/>
      <c r="J3112" s="562"/>
    </row>
    <row r="3113" spans="1:10" x14ac:dyDescent="0.25">
      <c r="A3113" s="532"/>
      <c r="B3113" s="532"/>
      <c r="C3113" s="532"/>
      <c r="D3113" s="564">
        <f>SUM(D3098:D3112)</f>
        <v>2208459595</v>
      </c>
      <c r="E3113" s="564">
        <f t="shared" ref="E3113:G3113" si="101">SUM(E3098:E3112)</f>
        <v>307431991</v>
      </c>
      <c r="F3113" s="564">
        <f t="shared" si="101"/>
        <v>2515891600</v>
      </c>
      <c r="G3113" s="564">
        <f t="shared" si="101"/>
        <v>-14</v>
      </c>
      <c r="H3113" s="564"/>
      <c r="I3113" s="564"/>
      <c r="J3113" s="564"/>
    </row>
    <row r="3114" spans="1:10" x14ac:dyDescent="0.25">
      <c r="A3114" s="362"/>
      <c r="B3114" s="611">
        <v>44267</v>
      </c>
      <c r="C3114" s="362" t="s">
        <v>86</v>
      </c>
      <c r="D3114" s="562">
        <v>71102627</v>
      </c>
      <c r="E3114" s="562">
        <v>105002407</v>
      </c>
      <c r="F3114" s="562">
        <v>176105300</v>
      </c>
      <c r="G3114" s="562">
        <f>D3114+E3114-F3114</f>
        <v>-266</v>
      </c>
      <c r="H3114" s="562"/>
      <c r="I3114" s="562"/>
      <c r="J3114" s="562"/>
    </row>
    <row r="3115" spans="1:10" x14ac:dyDescent="0.25">
      <c r="A3115" s="362"/>
      <c r="B3115" s="611">
        <v>44267</v>
      </c>
      <c r="C3115" s="362" t="s">
        <v>87</v>
      </c>
      <c r="D3115" s="562">
        <v>271383515</v>
      </c>
      <c r="E3115" s="562">
        <v>24767873</v>
      </c>
      <c r="F3115" s="562">
        <v>296151500</v>
      </c>
      <c r="G3115" s="562">
        <f t="shared" ref="G3115:G3128" si="102">D3115+E3115-F3115</f>
        <v>-112</v>
      </c>
      <c r="H3115" s="562"/>
      <c r="I3115" s="562"/>
      <c r="J3115" s="562"/>
    </row>
    <row r="3116" spans="1:10" x14ac:dyDescent="0.25">
      <c r="A3116" s="362"/>
      <c r="B3116" s="611">
        <v>44267</v>
      </c>
      <c r="C3116" s="362" t="s">
        <v>88</v>
      </c>
      <c r="D3116" s="562">
        <v>255139114</v>
      </c>
      <c r="E3116" s="562">
        <v>30713237</v>
      </c>
      <c r="F3116" s="562">
        <v>285852400</v>
      </c>
      <c r="G3116" s="562">
        <f t="shared" si="102"/>
        <v>-49</v>
      </c>
      <c r="H3116" s="562"/>
      <c r="I3116" s="562"/>
      <c r="J3116" s="562"/>
    </row>
    <row r="3117" spans="1:10" x14ac:dyDescent="0.25">
      <c r="A3117" s="362"/>
      <c r="B3117" s="611">
        <v>44267</v>
      </c>
      <c r="C3117" s="362" t="s">
        <v>82</v>
      </c>
      <c r="D3117" s="562">
        <v>438342322</v>
      </c>
      <c r="E3117" s="562">
        <v>6558082</v>
      </c>
      <c r="F3117" s="564">
        <v>444900500</v>
      </c>
      <c r="G3117" s="562">
        <f t="shared" si="102"/>
        <v>-96</v>
      </c>
      <c r="H3117" s="562"/>
      <c r="I3117" s="562"/>
      <c r="J3117" s="562"/>
    </row>
    <row r="3118" spans="1:10" x14ac:dyDescent="0.25">
      <c r="A3118" s="362"/>
      <c r="B3118" s="611">
        <v>44267</v>
      </c>
      <c r="C3118" s="362" t="s">
        <v>80</v>
      </c>
      <c r="D3118" s="562">
        <v>415725565</v>
      </c>
      <c r="E3118" s="562"/>
      <c r="F3118" s="564">
        <v>415730000</v>
      </c>
      <c r="G3118" s="562">
        <f t="shared" si="102"/>
        <v>-4435</v>
      </c>
      <c r="H3118" s="562"/>
      <c r="I3118" s="562"/>
      <c r="J3118" s="562"/>
    </row>
    <row r="3119" spans="1:10" x14ac:dyDescent="0.25">
      <c r="A3119" s="362"/>
      <c r="B3119" s="611">
        <v>44267</v>
      </c>
      <c r="C3119" s="362" t="s">
        <v>83</v>
      </c>
      <c r="D3119" s="562">
        <v>358019761</v>
      </c>
      <c r="E3119" s="562">
        <v>316004018</v>
      </c>
      <c r="F3119" s="564">
        <v>674023800</v>
      </c>
      <c r="G3119" s="562">
        <f t="shared" si="102"/>
        <v>-21</v>
      </c>
      <c r="H3119" s="562"/>
      <c r="I3119" s="562"/>
      <c r="J3119" s="562"/>
    </row>
    <row r="3120" spans="1:10" x14ac:dyDescent="0.25">
      <c r="A3120" s="362"/>
      <c r="B3120" s="611">
        <v>44267</v>
      </c>
      <c r="C3120" s="362" t="s">
        <v>78</v>
      </c>
      <c r="D3120" s="562">
        <v>101393761</v>
      </c>
      <c r="E3120" s="562">
        <v>17733339</v>
      </c>
      <c r="F3120" s="562">
        <v>119127100</v>
      </c>
      <c r="G3120" s="562">
        <f t="shared" si="102"/>
        <v>0</v>
      </c>
      <c r="H3120" s="562"/>
      <c r="I3120" s="562"/>
      <c r="J3120" s="562"/>
    </row>
    <row r="3121" spans="1:10" x14ac:dyDescent="0.25">
      <c r="A3121" s="362"/>
      <c r="B3121" s="611">
        <v>44267</v>
      </c>
      <c r="C3121" s="362" t="s">
        <v>141</v>
      </c>
      <c r="D3121" s="562">
        <v>80425269</v>
      </c>
      <c r="E3121" s="562">
        <v>4827079</v>
      </c>
      <c r="F3121" s="562">
        <v>85252400</v>
      </c>
      <c r="G3121" s="562">
        <f t="shared" si="102"/>
        <v>-52</v>
      </c>
      <c r="H3121" s="562"/>
      <c r="I3121" s="562"/>
      <c r="J3121" s="562"/>
    </row>
    <row r="3122" spans="1:10" x14ac:dyDescent="0.25">
      <c r="A3122" s="362"/>
      <c r="B3122" s="611">
        <v>44267</v>
      </c>
      <c r="C3122" s="362" t="s">
        <v>89</v>
      </c>
      <c r="D3122" s="562">
        <v>121559820</v>
      </c>
      <c r="E3122" s="562">
        <v>70543580</v>
      </c>
      <c r="F3122" s="562">
        <v>192103400</v>
      </c>
      <c r="G3122" s="562">
        <f t="shared" si="102"/>
        <v>0</v>
      </c>
      <c r="H3122" s="562"/>
      <c r="I3122" s="562"/>
      <c r="J3122" s="562"/>
    </row>
    <row r="3123" spans="1:10" x14ac:dyDescent="0.25">
      <c r="A3123" s="362"/>
      <c r="B3123" s="611">
        <v>44267</v>
      </c>
      <c r="C3123" s="362" t="s">
        <v>81</v>
      </c>
      <c r="D3123" s="562">
        <v>203434670</v>
      </c>
      <c r="E3123" s="562">
        <v>7400825</v>
      </c>
      <c r="F3123" s="562">
        <v>210835500</v>
      </c>
      <c r="G3123" s="562">
        <f t="shared" si="102"/>
        <v>-5</v>
      </c>
      <c r="H3123" s="562"/>
      <c r="I3123" s="562"/>
      <c r="J3123" s="562"/>
    </row>
    <row r="3124" spans="1:10" x14ac:dyDescent="0.25">
      <c r="A3124" s="362"/>
      <c r="B3124" s="611">
        <v>44267</v>
      </c>
      <c r="C3124" s="362" t="s">
        <v>84</v>
      </c>
      <c r="D3124" s="562">
        <v>228149752</v>
      </c>
      <c r="E3124" s="562">
        <v>9271967</v>
      </c>
      <c r="F3124" s="562">
        <v>237421700</v>
      </c>
      <c r="G3124" s="562">
        <f t="shared" si="102"/>
        <v>19</v>
      </c>
      <c r="H3124" s="562"/>
      <c r="I3124" s="562"/>
      <c r="J3124" s="562"/>
    </row>
    <row r="3125" spans="1:10" x14ac:dyDescent="0.25">
      <c r="A3125" s="362"/>
      <c r="B3125" s="611">
        <v>44267</v>
      </c>
      <c r="C3125" s="362" t="s">
        <v>4751</v>
      </c>
      <c r="D3125" s="562">
        <v>175833069</v>
      </c>
      <c r="E3125" s="562">
        <v>12121631</v>
      </c>
      <c r="F3125" s="562">
        <v>187954700</v>
      </c>
      <c r="G3125" s="562">
        <f t="shared" si="102"/>
        <v>0</v>
      </c>
      <c r="H3125" s="562"/>
      <c r="I3125" s="562"/>
      <c r="J3125" s="562"/>
    </row>
    <row r="3126" spans="1:10" x14ac:dyDescent="0.25">
      <c r="A3126" s="362"/>
      <c r="B3126" s="611">
        <v>44267</v>
      </c>
      <c r="C3126" s="362" t="s">
        <v>166</v>
      </c>
      <c r="D3126" s="562"/>
      <c r="E3126" s="562"/>
      <c r="F3126" s="562"/>
      <c r="G3126" s="562">
        <f t="shared" si="102"/>
        <v>0</v>
      </c>
      <c r="H3126" s="562"/>
      <c r="I3126" s="562"/>
      <c r="J3126" s="562"/>
    </row>
    <row r="3127" spans="1:10" x14ac:dyDescent="0.25">
      <c r="A3127" s="362"/>
      <c r="B3127" s="611">
        <v>44267</v>
      </c>
      <c r="C3127" s="362" t="s">
        <v>3435</v>
      </c>
      <c r="D3127" s="562"/>
      <c r="E3127" s="562"/>
      <c r="F3127" s="562"/>
      <c r="G3127" s="562">
        <f t="shared" si="102"/>
        <v>0</v>
      </c>
      <c r="H3127" s="562"/>
      <c r="I3127" s="562"/>
      <c r="J3127" s="562"/>
    </row>
    <row r="3128" spans="1:10" x14ac:dyDescent="0.25">
      <c r="A3128" s="362"/>
      <c r="B3128" s="611">
        <v>44267</v>
      </c>
      <c r="C3128" s="370" t="s">
        <v>85</v>
      </c>
      <c r="D3128" s="562">
        <v>29938400</v>
      </c>
      <c r="E3128" s="562"/>
      <c r="F3128" s="562">
        <v>29938400</v>
      </c>
      <c r="G3128" s="562">
        <f t="shared" si="102"/>
        <v>0</v>
      </c>
      <c r="H3128" s="562"/>
      <c r="I3128" s="562"/>
      <c r="J3128" s="562"/>
    </row>
    <row r="3129" spans="1:10" x14ac:dyDescent="0.25">
      <c r="A3129" s="532"/>
      <c r="B3129" s="532"/>
      <c r="C3129" s="532"/>
      <c r="D3129" s="564">
        <f>SUM(D3114:D3128)</f>
        <v>2750447645</v>
      </c>
      <c r="E3129" s="564">
        <f t="shared" ref="E3129:G3129" si="103">SUM(E3114:E3128)</f>
        <v>604944038</v>
      </c>
      <c r="F3129" s="564">
        <f t="shared" si="103"/>
        <v>3355396700</v>
      </c>
      <c r="G3129" s="564">
        <f t="shared" si="103"/>
        <v>-5017</v>
      </c>
      <c r="H3129" s="564"/>
      <c r="I3129" s="564"/>
      <c r="J3129" s="564"/>
    </row>
    <row r="3130" spans="1:10" x14ac:dyDescent="0.25">
      <c r="A3130" s="362"/>
      <c r="B3130" s="611">
        <v>44268</v>
      </c>
      <c r="C3130" s="362" t="s">
        <v>86</v>
      </c>
      <c r="F3130" s="562"/>
      <c r="G3130" s="562">
        <f>D3130+E3130-F3130</f>
        <v>0</v>
      </c>
      <c r="H3130" s="562"/>
      <c r="I3130" s="562"/>
      <c r="J3130" s="562"/>
    </row>
    <row r="3131" spans="1:10" x14ac:dyDescent="0.25">
      <c r="A3131" s="362"/>
      <c r="B3131" s="611">
        <v>44268</v>
      </c>
      <c r="C3131" s="362" t="s">
        <v>87</v>
      </c>
      <c r="D3131" s="562"/>
      <c r="E3131" s="562"/>
      <c r="F3131" s="562"/>
      <c r="G3131" s="562">
        <f t="shared" ref="G3131:G3144" si="104">D3131+E3131-F3131</f>
        <v>0</v>
      </c>
      <c r="H3131" s="562"/>
      <c r="I3131" s="562"/>
      <c r="J3131" s="562"/>
    </row>
    <row r="3132" spans="1:10" x14ac:dyDescent="0.25">
      <c r="A3132" s="362"/>
      <c r="B3132" s="611">
        <v>44268</v>
      </c>
      <c r="C3132" s="362" t="s">
        <v>88</v>
      </c>
      <c r="D3132" s="562"/>
      <c r="E3132" s="562"/>
      <c r="F3132" s="562"/>
      <c r="G3132" s="562">
        <f t="shared" si="104"/>
        <v>0</v>
      </c>
      <c r="H3132" s="562"/>
      <c r="I3132" s="562"/>
      <c r="J3132" s="562"/>
    </row>
    <row r="3133" spans="1:10" x14ac:dyDescent="0.25">
      <c r="A3133" s="362"/>
      <c r="B3133" s="611">
        <v>44268</v>
      </c>
      <c r="C3133" s="362" t="s">
        <v>82</v>
      </c>
      <c r="D3133" s="362"/>
      <c r="E3133" s="362"/>
      <c r="F3133" s="562"/>
      <c r="G3133" s="562">
        <f t="shared" si="104"/>
        <v>0</v>
      </c>
      <c r="H3133" s="562"/>
      <c r="I3133" s="562"/>
      <c r="J3133" s="562"/>
    </row>
    <row r="3134" spans="1:10" x14ac:dyDescent="0.25">
      <c r="A3134" s="362"/>
      <c r="B3134" s="611">
        <v>44268</v>
      </c>
      <c r="C3134" s="362" t="s">
        <v>80</v>
      </c>
      <c r="D3134" s="562">
        <v>45595000</v>
      </c>
      <c r="E3134" s="562"/>
      <c r="F3134" s="564">
        <v>45595000</v>
      </c>
      <c r="G3134" s="562">
        <f t="shared" si="104"/>
        <v>0</v>
      </c>
      <c r="H3134" s="562"/>
      <c r="I3134" s="562"/>
      <c r="J3134" s="562"/>
    </row>
    <row r="3135" spans="1:10" x14ac:dyDescent="0.25">
      <c r="A3135" s="362"/>
      <c r="B3135" s="611">
        <v>44268</v>
      </c>
      <c r="C3135" s="362" t="s">
        <v>83</v>
      </c>
      <c r="D3135" s="562"/>
      <c r="E3135" s="562"/>
      <c r="F3135" s="562"/>
      <c r="G3135" s="562">
        <f t="shared" si="104"/>
        <v>0</v>
      </c>
      <c r="H3135" s="562"/>
      <c r="I3135" s="562"/>
      <c r="J3135" s="562"/>
    </row>
    <row r="3136" spans="1:10" x14ac:dyDescent="0.25">
      <c r="A3136" s="362"/>
      <c r="B3136" s="611">
        <v>44268</v>
      </c>
      <c r="C3136" s="362" t="s">
        <v>78</v>
      </c>
      <c r="D3136" s="362"/>
      <c r="E3136" s="362"/>
      <c r="F3136" s="362"/>
      <c r="G3136" s="562">
        <f>D3152+E3152-F3152</f>
        <v>0</v>
      </c>
      <c r="H3136" s="562"/>
      <c r="I3136" s="562"/>
      <c r="J3136" s="562"/>
    </row>
    <row r="3137" spans="1:10" x14ac:dyDescent="0.25">
      <c r="A3137" s="362"/>
      <c r="B3137" s="611">
        <v>44268</v>
      </c>
      <c r="C3137" s="362" t="s">
        <v>141</v>
      </c>
      <c r="D3137" s="362"/>
      <c r="E3137" s="362"/>
      <c r="F3137" s="562"/>
      <c r="G3137" s="562">
        <f t="shared" si="104"/>
        <v>0</v>
      </c>
      <c r="H3137" s="562"/>
      <c r="I3137" s="562"/>
      <c r="J3137" s="562"/>
    </row>
    <row r="3138" spans="1:10" x14ac:dyDescent="0.25">
      <c r="A3138" s="362"/>
      <c r="B3138" s="611">
        <v>44268</v>
      </c>
      <c r="C3138" s="362" t="s">
        <v>89</v>
      </c>
      <c r="D3138" s="362"/>
      <c r="E3138" s="362"/>
      <c r="F3138" s="362"/>
      <c r="G3138" s="562">
        <f t="shared" si="104"/>
        <v>0</v>
      </c>
      <c r="H3138" s="562"/>
      <c r="I3138" s="562"/>
      <c r="J3138" s="562"/>
    </row>
    <row r="3139" spans="1:10" x14ac:dyDescent="0.25">
      <c r="A3139" s="362"/>
      <c r="B3139" s="611">
        <v>44268</v>
      </c>
      <c r="C3139" s="362" t="s">
        <v>81</v>
      </c>
      <c r="D3139" s="562"/>
      <c r="E3139" s="562"/>
      <c r="F3139" s="562"/>
      <c r="G3139" s="562">
        <f t="shared" si="104"/>
        <v>0</v>
      </c>
      <c r="H3139" s="562"/>
      <c r="I3139" s="562"/>
      <c r="J3139" s="562"/>
    </row>
    <row r="3140" spans="1:10" x14ac:dyDescent="0.25">
      <c r="A3140" s="362"/>
      <c r="B3140" s="611">
        <v>44268</v>
      </c>
      <c r="C3140" s="362" t="s">
        <v>84</v>
      </c>
      <c r="D3140" s="362"/>
      <c r="E3140" s="362"/>
      <c r="F3140" s="562"/>
      <c r="G3140" s="562">
        <f t="shared" si="104"/>
        <v>0</v>
      </c>
      <c r="H3140" s="562"/>
      <c r="I3140" s="562"/>
      <c r="J3140" s="562"/>
    </row>
    <row r="3141" spans="1:10" x14ac:dyDescent="0.25">
      <c r="A3141" s="362"/>
      <c r="B3141" s="611">
        <v>44268</v>
      </c>
      <c r="C3141" s="362" t="s">
        <v>4751</v>
      </c>
      <c r="D3141" s="362"/>
      <c r="E3141" s="362"/>
      <c r="F3141" s="362"/>
      <c r="G3141" s="562">
        <f t="shared" si="104"/>
        <v>0</v>
      </c>
      <c r="H3141" s="562"/>
      <c r="I3141" s="562"/>
      <c r="J3141" s="562"/>
    </row>
    <row r="3142" spans="1:10" x14ac:dyDescent="0.25">
      <c r="A3142" s="362"/>
      <c r="B3142" s="611">
        <v>44268</v>
      </c>
      <c r="C3142" s="362" t="s">
        <v>166</v>
      </c>
      <c r="D3142" s="562"/>
      <c r="E3142" s="562"/>
      <c r="F3142" s="562"/>
      <c r="G3142" s="562">
        <f t="shared" si="104"/>
        <v>0</v>
      </c>
      <c r="H3142" s="562"/>
      <c r="I3142" s="562"/>
      <c r="J3142" s="562"/>
    </row>
    <row r="3143" spans="1:10" x14ac:dyDescent="0.25">
      <c r="A3143" s="362"/>
      <c r="B3143" s="611">
        <v>44268</v>
      </c>
      <c r="C3143" s="362" t="s">
        <v>3435</v>
      </c>
      <c r="D3143" s="562"/>
      <c r="E3143" s="562"/>
      <c r="F3143" s="562"/>
      <c r="G3143" s="562">
        <f t="shared" si="104"/>
        <v>0</v>
      </c>
      <c r="H3143" s="562"/>
      <c r="I3143" s="562"/>
      <c r="J3143" s="562"/>
    </row>
    <row r="3144" spans="1:10" x14ac:dyDescent="0.25">
      <c r="A3144" s="362"/>
      <c r="B3144" s="611">
        <v>44268</v>
      </c>
      <c r="C3144" s="370" t="s">
        <v>85</v>
      </c>
      <c r="E3144" s="562"/>
      <c r="F3144" s="562"/>
      <c r="G3144" s="562">
        <f t="shared" si="104"/>
        <v>0</v>
      </c>
      <c r="H3144" s="562"/>
      <c r="I3144" s="562"/>
      <c r="J3144" s="562"/>
    </row>
    <row r="3145" spans="1:10" x14ac:dyDescent="0.25">
      <c r="A3145" s="532"/>
      <c r="B3145" s="532"/>
      <c r="C3145" s="532"/>
      <c r="D3145" s="564">
        <f ca="1">SUM(D3131:D3160)</f>
        <v>32635684582</v>
      </c>
      <c r="E3145" s="564">
        <f t="shared" ref="E3145:G3145" si="105">SUM(E3130:E3144)</f>
        <v>0</v>
      </c>
      <c r="F3145" s="564">
        <f t="shared" si="105"/>
        <v>45595000</v>
      </c>
      <c r="G3145" s="564">
        <f t="shared" si="105"/>
        <v>0</v>
      </c>
      <c r="H3145" s="564"/>
      <c r="I3145" s="564"/>
      <c r="J3145" s="564"/>
    </row>
    <row r="3146" spans="1:10" x14ac:dyDescent="0.25">
      <c r="A3146" s="362"/>
      <c r="B3146" s="611">
        <v>44270</v>
      </c>
      <c r="C3146" s="362" t="s">
        <v>86</v>
      </c>
      <c r="D3146" s="562">
        <v>50579405</v>
      </c>
      <c r="E3146" s="562">
        <v>9436720</v>
      </c>
      <c r="F3146" s="562">
        <v>60016200</v>
      </c>
      <c r="G3146" s="562">
        <f>D3146+E3146-F3146</f>
        <v>-75</v>
      </c>
      <c r="H3146" s="562"/>
      <c r="I3146" s="562"/>
      <c r="J3146" s="562"/>
    </row>
    <row r="3147" spans="1:10" x14ac:dyDescent="0.25">
      <c r="A3147" s="362"/>
      <c r="B3147" s="611">
        <v>44270</v>
      </c>
      <c r="C3147" s="362" t="s">
        <v>87</v>
      </c>
      <c r="D3147" s="562">
        <v>108973965</v>
      </c>
      <c r="E3147" s="562">
        <v>76628013</v>
      </c>
      <c r="F3147" s="562">
        <v>185595100</v>
      </c>
      <c r="G3147" s="562">
        <f t="shared" ref="G3147:G3160" si="106">D3147+E3147-F3147</f>
        <v>6878</v>
      </c>
      <c r="H3147" s="562"/>
      <c r="I3147" s="562"/>
      <c r="J3147" s="562"/>
    </row>
    <row r="3148" spans="1:10" x14ac:dyDescent="0.25">
      <c r="A3148" s="362"/>
      <c r="B3148" s="611">
        <v>44270</v>
      </c>
      <c r="C3148" s="362" t="s">
        <v>88</v>
      </c>
      <c r="D3148" s="562">
        <v>213460877</v>
      </c>
      <c r="E3148" s="562">
        <v>15831289</v>
      </c>
      <c r="F3148" s="562">
        <v>229292200</v>
      </c>
      <c r="G3148" s="562">
        <f t="shared" si="106"/>
        <v>-34</v>
      </c>
      <c r="H3148" s="562"/>
      <c r="I3148" s="562"/>
      <c r="J3148" s="562"/>
    </row>
    <row r="3149" spans="1:10" x14ac:dyDescent="0.25">
      <c r="A3149" s="362"/>
      <c r="B3149" s="611">
        <v>44270</v>
      </c>
      <c r="C3149" s="362" t="s">
        <v>82</v>
      </c>
      <c r="D3149" s="562">
        <v>183666567</v>
      </c>
      <c r="E3149" s="562">
        <v>5608491</v>
      </c>
      <c r="F3149" s="562">
        <v>189725100</v>
      </c>
      <c r="G3149" s="562">
        <f t="shared" si="106"/>
        <v>-450042</v>
      </c>
      <c r="H3149" s="562"/>
      <c r="I3149" s="562"/>
      <c r="J3149" s="562"/>
    </row>
    <row r="3150" spans="1:10" x14ac:dyDescent="0.25">
      <c r="A3150" s="362"/>
      <c r="B3150" s="611">
        <v>44270</v>
      </c>
      <c r="C3150" s="362" t="s">
        <v>80</v>
      </c>
      <c r="D3150" s="562">
        <v>308306789</v>
      </c>
      <c r="E3150" s="562"/>
      <c r="F3150" s="562">
        <v>308312200</v>
      </c>
      <c r="G3150" s="562">
        <f t="shared" si="106"/>
        <v>-5411</v>
      </c>
      <c r="H3150" s="562"/>
      <c r="I3150" s="562"/>
      <c r="J3150" s="562"/>
    </row>
    <row r="3151" spans="1:10" x14ac:dyDescent="0.25">
      <c r="A3151" s="362"/>
      <c r="B3151" s="611">
        <v>44270</v>
      </c>
      <c r="C3151" s="362" t="s">
        <v>83</v>
      </c>
      <c r="D3151" s="562">
        <v>365209181</v>
      </c>
      <c r="E3151" s="562">
        <v>7539766</v>
      </c>
      <c r="F3151" s="562">
        <v>372749000</v>
      </c>
      <c r="G3151" s="562">
        <f t="shared" si="106"/>
        <v>-53</v>
      </c>
      <c r="H3151" s="562"/>
      <c r="I3151" s="562"/>
      <c r="J3151" s="562"/>
    </row>
    <row r="3152" spans="1:10" x14ac:dyDescent="0.25">
      <c r="A3152" s="362"/>
      <c r="B3152" s="611">
        <v>44270</v>
      </c>
      <c r="C3152" s="362" t="s">
        <v>78</v>
      </c>
      <c r="D3152" s="562">
        <v>181405808</v>
      </c>
      <c r="E3152" s="562">
        <v>1331692</v>
      </c>
      <c r="F3152" s="562">
        <v>182737500</v>
      </c>
      <c r="G3152" s="562">
        <f t="shared" si="106"/>
        <v>0</v>
      </c>
      <c r="H3152" s="562"/>
      <c r="I3152" s="562"/>
      <c r="J3152" s="562"/>
    </row>
    <row r="3153" spans="1:10" x14ac:dyDescent="0.25">
      <c r="A3153" s="362"/>
      <c r="B3153" s="611">
        <v>44270</v>
      </c>
      <c r="C3153" s="362" t="s">
        <v>141</v>
      </c>
      <c r="D3153" s="562">
        <v>85927426</v>
      </c>
      <c r="E3153" s="562">
        <v>6269927</v>
      </c>
      <c r="F3153" s="562">
        <v>92197400</v>
      </c>
      <c r="G3153" s="562">
        <f t="shared" si="106"/>
        <v>-47</v>
      </c>
      <c r="H3153" s="562"/>
      <c r="I3153" s="562"/>
      <c r="J3153" s="562"/>
    </row>
    <row r="3154" spans="1:10" x14ac:dyDescent="0.25">
      <c r="A3154" s="362"/>
      <c r="B3154" s="611">
        <v>44270</v>
      </c>
      <c r="C3154" s="362" t="s">
        <v>89</v>
      </c>
      <c r="D3154" s="562">
        <v>221417680</v>
      </c>
      <c r="E3154" s="562">
        <v>60227220</v>
      </c>
      <c r="F3154" s="562">
        <v>281644900</v>
      </c>
      <c r="G3154" s="562">
        <f t="shared" si="106"/>
        <v>0</v>
      </c>
      <c r="H3154" s="562"/>
      <c r="I3154" s="562"/>
      <c r="J3154" s="562"/>
    </row>
    <row r="3155" spans="1:10" x14ac:dyDescent="0.25">
      <c r="A3155" s="362"/>
      <c r="B3155" s="611">
        <v>44270</v>
      </c>
      <c r="C3155" s="362" t="s">
        <v>81</v>
      </c>
      <c r="D3155" s="562">
        <v>57341857</v>
      </c>
      <c r="E3155" s="562">
        <v>71766099</v>
      </c>
      <c r="F3155" s="562">
        <v>129108000</v>
      </c>
      <c r="G3155" s="562">
        <f t="shared" si="106"/>
        <v>-44</v>
      </c>
      <c r="H3155" s="562"/>
      <c r="I3155" s="562"/>
      <c r="J3155" s="562"/>
    </row>
    <row r="3156" spans="1:10" x14ac:dyDescent="0.25">
      <c r="A3156" s="362"/>
      <c r="B3156" s="611">
        <v>44270</v>
      </c>
      <c r="C3156" s="362" t="s">
        <v>84</v>
      </c>
      <c r="D3156" s="562">
        <v>346243634</v>
      </c>
      <c r="E3156" s="562">
        <v>14235832</v>
      </c>
      <c r="F3156" s="562">
        <v>360479466</v>
      </c>
      <c r="G3156" s="562">
        <f t="shared" si="106"/>
        <v>0</v>
      </c>
      <c r="H3156" s="562"/>
      <c r="I3156" s="562"/>
      <c r="J3156" s="562"/>
    </row>
    <row r="3157" spans="1:10" x14ac:dyDescent="0.25">
      <c r="A3157" s="362"/>
      <c r="B3157" s="611">
        <v>44270</v>
      </c>
      <c r="C3157" s="362" t="s">
        <v>4751</v>
      </c>
      <c r="D3157" s="562">
        <v>290773312</v>
      </c>
      <c r="E3157" s="562">
        <v>25338688</v>
      </c>
      <c r="F3157" s="562">
        <v>316112000</v>
      </c>
      <c r="G3157" s="562">
        <f t="shared" si="106"/>
        <v>0</v>
      </c>
      <c r="H3157" s="562"/>
      <c r="I3157" s="562"/>
      <c r="J3157" s="562"/>
    </row>
    <row r="3158" spans="1:10" x14ac:dyDescent="0.25">
      <c r="A3158" s="362"/>
      <c r="B3158" s="611">
        <v>44270</v>
      </c>
      <c r="C3158" s="362" t="s">
        <v>166</v>
      </c>
      <c r="D3158" s="562">
        <v>69208716</v>
      </c>
      <c r="E3158" s="562"/>
      <c r="F3158" s="562">
        <v>69208700</v>
      </c>
      <c r="G3158" s="562">
        <f t="shared" si="106"/>
        <v>16</v>
      </c>
      <c r="H3158" s="562"/>
      <c r="I3158" s="562"/>
      <c r="J3158" s="562"/>
    </row>
    <row r="3159" spans="1:10" x14ac:dyDescent="0.25">
      <c r="A3159" s="362"/>
      <c r="B3159" s="611">
        <v>44270</v>
      </c>
      <c r="C3159" s="362" t="s">
        <v>3435</v>
      </c>
      <c r="D3159" s="562">
        <v>51443865</v>
      </c>
      <c r="E3159" s="562"/>
      <c r="F3159" s="562">
        <v>51443900</v>
      </c>
      <c r="G3159" s="562">
        <f t="shared" si="106"/>
        <v>-35</v>
      </c>
      <c r="H3159" s="562"/>
      <c r="I3159" s="562"/>
      <c r="J3159" s="562"/>
    </row>
    <row r="3160" spans="1:10" x14ac:dyDescent="0.25">
      <c r="A3160" s="362"/>
      <c r="B3160" s="611">
        <v>44270</v>
      </c>
      <c r="C3160" s="370" t="s">
        <v>85</v>
      </c>
      <c r="D3160" s="562">
        <v>47820800</v>
      </c>
      <c r="E3160" s="562"/>
      <c r="F3160" s="562">
        <v>47820800</v>
      </c>
      <c r="G3160" s="562">
        <f t="shared" si="106"/>
        <v>0</v>
      </c>
      <c r="H3160" s="562"/>
      <c r="I3160" s="562"/>
      <c r="J3160" s="562"/>
    </row>
    <row r="3161" spans="1:10" x14ac:dyDescent="0.25">
      <c r="A3161" s="532"/>
      <c r="B3161" s="532"/>
      <c r="C3161" s="532"/>
      <c r="D3161" s="564">
        <f>SUM(D3146:D3160)</f>
        <v>2581779882</v>
      </c>
      <c r="E3161" s="564">
        <f>SUM(E3146:E3160)</f>
        <v>294213737</v>
      </c>
      <c r="F3161" s="564">
        <f t="shared" ref="F3161:G3161" si="107">SUM(F3146:F3160)</f>
        <v>2876442466</v>
      </c>
      <c r="G3161" s="564">
        <f t="shared" si="107"/>
        <v>-448847</v>
      </c>
      <c r="H3161" s="564"/>
      <c r="I3161" s="564"/>
      <c r="J3161" s="564"/>
    </row>
    <row r="3162" spans="1:10" x14ac:dyDescent="0.25">
      <c r="A3162" s="362"/>
      <c r="B3162" s="611">
        <v>44271</v>
      </c>
      <c r="C3162" s="362" t="s">
        <v>86</v>
      </c>
      <c r="D3162" s="562">
        <v>45476390</v>
      </c>
      <c r="E3162" s="562">
        <v>50559455</v>
      </c>
      <c r="F3162" s="562">
        <v>96035800</v>
      </c>
      <c r="G3162" s="562">
        <f>D3162+E3162-F3162</f>
        <v>45</v>
      </c>
      <c r="H3162" s="562"/>
      <c r="I3162" s="562"/>
      <c r="J3162" s="562"/>
    </row>
    <row r="3163" spans="1:10" x14ac:dyDescent="0.25">
      <c r="A3163" s="362"/>
      <c r="B3163" s="611">
        <v>44271</v>
      </c>
      <c r="C3163" s="362" t="s">
        <v>87</v>
      </c>
      <c r="D3163" s="562">
        <v>145745730</v>
      </c>
      <c r="E3163" s="562">
        <v>62040717</v>
      </c>
      <c r="F3163" s="562">
        <v>207786500</v>
      </c>
      <c r="G3163" s="562">
        <f t="shared" ref="G3163:G3176" si="108">D3163+E3163-F3163</f>
        <v>-53</v>
      </c>
      <c r="H3163" s="562"/>
      <c r="I3163" s="562"/>
      <c r="J3163" s="562"/>
    </row>
    <row r="3164" spans="1:10" x14ac:dyDescent="0.25">
      <c r="A3164" s="362"/>
      <c r="B3164" s="611">
        <v>44271</v>
      </c>
      <c r="C3164" s="362" t="s">
        <v>88</v>
      </c>
      <c r="D3164" s="562">
        <v>224844541</v>
      </c>
      <c r="E3164" s="562">
        <v>130141326</v>
      </c>
      <c r="F3164" s="562">
        <v>354985900</v>
      </c>
      <c r="G3164" s="562">
        <f t="shared" si="108"/>
        <v>-33</v>
      </c>
      <c r="H3164" s="562"/>
      <c r="I3164" s="562"/>
      <c r="J3164" s="562"/>
    </row>
    <row r="3165" spans="1:10" x14ac:dyDescent="0.25">
      <c r="A3165" s="362"/>
      <c r="B3165" s="611">
        <v>44271</v>
      </c>
      <c r="C3165" s="362" t="s">
        <v>82</v>
      </c>
      <c r="D3165" s="562">
        <v>59238488</v>
      </c>
      <c r="E3165" s="562">
        <v>7058400</v>
      </c>
      <c r="F3165" s="562">
        <v>66296900</v>
      </c>
      <c r="G3165" s="562">
        <f t="shared" si="108"/>
        <v>-12</v>
      </c>
      <c r="H3165" s="562"/>
      <c r="I3165" s="562"/>
      <c r="J3165" s="562"/>
    </row>
    <row r="3166" spans="1:10" x14ac:dyDescent="0.25">
      <c r="A3166" s="362"/>
      <c r="B3166" s="611">
        <v>44271</v>
      </c>
      <c r="C3166" s="362" t="s">
        <v>80</v>
      </c>
      <c r="D3166" s="562">
        <v>231640988</v>
      </c>
      <c r="E3166" s="562"/>
      <c r="F3166" s="562">
        <v>231671100</v>
      </c>
      <c r="G3166" s="562">
        <f t="shared" si="108"/>
        <v>-30112</v>
      </c>
      <c r="H3166" s="562"/>
      <c r="I3166" s="562"/>
      <c r="J3166" s="562"/>
    </row>
    <row r="3167" spans="1:10" x14ac:dyDescent="0.25">
      <c r="A3167" s="362"/>
      <c r="B3167" s="611">
        <v>44271</v>
      </c>
      <c r="C3167" s="362" t="s">
        <v>83</v>
      </c>
      <c r="D3167" s="562">
        <v>235602517</v>
      </c>
      <c r="E3167" s="562">
        <v>16303183</v>
      </c>
      <c r="F3167" s="562">
        <v>251905700</v>
      </c>
      <c r="G3167" s="562">
        <f t="shared" si="108"/>
        <v>0</v>
      </c>
      <c r="H3167" s="562"/>
      <c r="I3167" s="562"/>
      <c r="J3167" s="562"/>
    </row>
    <row r="3168" spans="1:10" x14ac:dyDescent="0.25">
      <c r="A3168" s="362"/>
      <c r="B3168" s="611">
        <v>44271</v>
      </c>
      <c r="C3168" s="362" t="s">
        <v>78</v>
      </c>
      <c r="D3168" s="562">
        <v>69655056</v>
      </c>
      <c r="E3168" s="562">
        <v>2999944</v>
      </c>
      <c r="F3168" s="562">
        <v>72655000</v>
      </c>
      <c r="G3168" s="562">
        <f t="shared" si="108"/>
        <v>0</v>
      </c>
      <c r="H3168" s="562"/>
      <c r="I3168" s="562"/>
      <c r="J3168" s="562"/>
    </row>
    <row r="3169" spans="1:10" x14ac:dyDescent="0.25">
      <c r="A3169" s="362"/>
      <c r="B3169" s="611">
        <v>44271</v>
      </c>
      <c r="C3169" s="362" t="s">
        <v>141</v>
      </c>
      <c r="D3169" s="562">
        <v>58835635</v>
      </c>
      <c r="E3169" s="562">
        <v>813346</v>
      </c>
      <c r="F3169" s="562">
        <v>59649000</v>
      </c>
      <c r="G3169" s="562">
        <f t="shared" si="108"/>
        <v>-19</v>
      </c>
      <c r="H3169" s="562"/>
      <c r="I3169" s="562"/>
      <c r="J3169" s="562"/>
    </row>
    <row r="3170" spans="1:10" x14ac:dyDescent="0.25">
      <c r="A3170" s="362"/>
      <c r="B3170" s="611">
        <v>44271</v>
      </c>
      <c r="C3170" s="362" t="s">
        <v>89</v>
      </c>
      <c r="D3170" s="562">
        <v>100062040</v>
      </c>
      <c r="E3170" s="562">
        <v>13222960</v>
      </c>
      <c r="F3170" s="562">
        <v>113285000</v>
      </c>
      <c r="G3170" s="562">
        <f t="shared" si="108"/>
        <v>0</v>
      </c>
      <c r="H3170" s="562"/>
      <c r="I3170" s="562"/>
      <c r="J3170" s="562"/>
    </row>
    <row r="3171" spans="1:10" x14ac:dyDescent="0.25">
      <c r="A3171" s="362"/>
      <c r="B3171" s="611">
        <v>44271</v>
      </c>
      <c r="C3171" s="362" t="s">
        <v>81</v>
      </c>
      <c r="D3171" s="562">
        <v>48708115</v>
      </c>
      <c r="E3171" s="562">
        <v>14724688</v>
      </c>
      <c r="F3171" s="562">
        <v>63432800</v>
      </c>
      <c r="G3171" s="562">
        <f t="shared" si="108"/>
        <v>3</v>
      </c>
      <c r="H3171" s="562"/>
      <c r="I3171" s="562"/>
      <c r="J3171" s="562"/>
    </row>
    <row r="3172" spans="1:10" x14ac:dyDescent="0.25">
      <c r="A3172" s="362"/>
      <c r="B3172" s="611">
        <v>44271</v>
      </c>
      <c r="C3172" s="362" t="s">
        <v>84</v>
      </c>
      <c r="D3172" s="562">
        <v>250529471</v>
      </c>
      <c r="E3172" s="562">
        <v>16081694</v>
      </c>
      <c r="F3172" s="562">
        <v>266611200</v>
      </c>
      <c r="G3172" s="562">
        <f t="shared" si="108"/>
        <v>-35</v>
      </c>
      <c r="H3172" s="562"/>
      <c r="I3172" s="562"/>
      <c r="J3172" s="562"/>
    </row>
    <row r="3173" spans="1:10" x14ac:dyDescent="0.25">
      <c r="A3173" s="362"/>
      <c r="B3173" s="611">
        <v>44271</v>
      </c>
      <c r="C3173" s="362" t="s">
        <v>4751</v>
      </c>
      <c r="D3173" s="562">
        <v>203969001</v>
      </c>
      <c r="E3173" s="562">
        <v>130874599</v>
      </c>
      <c r="F3173" s="562">
        <v>334843600</v>
      </c>
      <c r="G3173" s="562">
        <f t="shared" si="108"/>
        <v>0</v>
      </c>
      <c r="H3173" s="562"/>
      <c r="I3173" s="562"/>
      <c r="J3173" s="562"/>
    </row>
    <row r="3174" spans="1:10" x14ac:dyDescent="0.25">
      <c r="A3174" s="362"/>
      <c r="B3174" s="611">
        <v>44271</v>
      </c>
      <c r="C3174" s="362" t="s">
        <v>166</v>
      </c>
      <c r="D3174" s="562">
        <v>83839086</v>
      </c>
      <c r="E3174" s="562"/>
      <c r="F3174" s="562">
        <v>83839100</v>
      </c>
      <c r="G3174" s="562">
        <f t="shared" si="108"/>
        <v>-14</v>
      </c>
      <c r="H3174" s="562"/>
      <c r="I3174" s="562"/>
      <c r="J3174" s="562"/>
    </row>
    <row r="3175" spans="1:10" x14ac:dyDescent="0.25">
      <c r="A3175" s="362"/>
      <c r="B3175" s="611">
        <v>44271</v>
      </c>
      <c r="C3175" s="362" t="s">
        <v>3435</v>
      </c>
      <c r="D3175" s="562">
        <v>24156496</v>
      </c>
      <c r="E3175" s="562"/>
      <c r="F3175" s="562">
        <v>24156500</v>
      </c>
      <c r="G3175" s="562">
        <f t="shared" si="108"/>
        <v>-4</v>
      </c>
      <c r="H3175" s="562"/>
      <c r="I3175" s="562"/>
      <c r="J3175" s="562"/>
    </row>
    <row r="3176" spans="1:10" x14ac:dyDescent="0.25">
      <c r="A3176" s="362"/>
      <c r="B3176" s="611">
        <v>44271</v>
      </c>
      <c r="C3176" s="370" t="s">
        <v>85</v>
      </c>
      <c r="D3176" s="562">
        <v>27446400</v>
      </c>
      <c r="E3176" s="562"/>
      <c r="F3176" s="562">
        <v>27446400</v>
      </c>
      <c r="G3176" s="562">
        <f t="shared" si="108"/>
        <v>0</v>
      </c>
      <c r="H3176" s="562"/>
      <c r="I3176" s="562"/>
      <c r="J3176" s="562"/>
    </row>
    <row r="3177" spans="1:10" x14ac:dyDescent="0.25">
      <c r="A3177" s="532"/>
      <c r="B3177" s="532"/>
      <c r="C3177" s="532"/>
      <c r="D3177" s="564">
        <f>SUM(D3162:D3176)</f>
        <v>1809749954</v>
      </c>
      <c r="E3177" s="564">
        <f t="shared" ref="E3177:G3177" si="109">SUM(E3162:E3176)</f>
        <v>444820312</v>
      </c>
      <c r="F3177" s="564">
        <f t="shared" si="109"/>
        <v>2254600500</v>
      </c>
      <c r="G3177" s="564">
        <f t="shared" si="109"/>
        <v>-30234</v>
      </c>
      <c r="H3177" s="564"/>
      <c r="I3177" s="564"/>
      <c r="J3177" s="564"/>
    </row>
    <row r="3178" spans="1:10" x14ac:dyDescent="0.25">
      <c r="A3178" s="362"/>
      <c r="B3178" s="611">
        <v>44272</v>
      </c>
      <c r="C3178" s="362" t="s">
        <v>86</v>
      </c>
      <c r="D3178" s="562">
        <v>54677424</v>
      </c>
      <c r="E3178" s="562">
        <v>27710248</v>
      </c>
      <c r="F3178" s="562">
        <v>82387600</v>
      </c>
      <c r="G3178" s="562">
        <f>D3178+E3178-F3178</f>
        <v>72</v>
      </c>
      <c r="H3178" s="562"/>
      <c r="I3178" s="562"/>
      <c r="J3178" s="562"/>
    </row>
    <row r="3179" spans="1:10" x14ac:dyDescent="0.25">
      <c r="A3179" s="362"/>
      <c r="B3179" s="611">
        <v>44272</v>
      </c>
      <c r="C3179" s="362" t="s">
        <v>87</v>
      </c>
      <c r="D3179" s="562">
        <v>134944880</v>
      </c>
      <c r="E3179" s="562">
        <v>33886843</v>
      </c>
      <c r="F3179" s="562">
        <v>168831200</v>
      </c>
      <c r="G3179" s="562">
        <f t="shared" ref="G3179:G3192" si="110">D3179+E3179-F3179</f>
        <v>523</v>
      </c>
      <c r="H3179" s="562"/>
      <c r="I3179" s="562"/>
      <c r="J3179" s="562"/>
    </row>
    <row r="3180" spans="1:10" x14ac:dyDescent="0.25">
      <c r="A3180" s="362"/>
      <c r="B3180" s="611">
        <v>44272</v>
      </c>
      <c r="C3180" s="362" t="s">
        <v>88</v>
      </c>
      <c r="D3180" s="562">
        <v>118529505</v>
      </c>
      <c r="E3180" s="562">
        <v>11584029</v>
      </c>
      <c r="F3180" s="562">
        <v>130113600</v>
      </c>
      <c r="G3180" s="562">
        <f t="shared" si="110"/>
        <v>-66</v>
      </c>
      <c r="H3180" s="562"/>
      <c r="I3180" s="562"/>
      <c r="J3180" s="562"/>
    </row>
    <row r="3181" spans="1:10" x14ac:dyDescent="0.25">
      <c r="A3181" s="362"/>
      <c r="B3181" s="611">
        <v>44272</v>
      </c>
      <c r="C3181" s="362" t="s">
        <v>82</v>
      </c>
      <c r="D3181" s="562">
        <v>114289620</v>
      </c>
      <c r="E3181" s="562">
        <v>3614188</v>
      </c>
      <c r="F3181" s="562">
        <v>117903900</v>
      </c>
      <c r="G3181" s="562">
        <f t="shared" si="110"/>
        <v>-92</v>
      </c>
      <c r="H3181" s="562"/>
      <c r="I3181" s="562"/>
      <c r="J3181" s="562"/>
    </row>
    <row r="3182" spans="1:10" x14ac:dyDescent="0.25">
      <c r="A3182" s="362"/>
      <c r="B3182" s="611">
        <v>44272</v>
      </c>
      <c r="C3182" s="362" t="s">
        <v>80</v>
      </c>
      <c r="D3182" s="562">
        <v>310228000</v>
      </c>
      <c r="E3182" s="562"/>
      <c r="F3182" s="562">
        <v>310132000</v>
      </c>
      <c r="G3182" s="562">
        <f t="shared" si="110"/>
        <v>96000</v>
      </c>
      <c r="H3182" s="562"/>
      <c r="I3182" s="562"/>
      <c r="J3182" s="562"/>
    </row>
    <row r="3183" spans="1:10" x14ac:dyDescent="0.25">
      <c r="A3183" s="362"/>
      <c r="B3183" s="611">
        <v>44272</v>
      </c>
      <c r="C3183" s="362" t="s">
        <v>83</v>
      </c>
      <c r="D3183" s="562">
        <v>117497640</v>
      </c>
      <c r="E3183" s="562">
        <v>54158196</v>
      </c>
      <c r="F3183" s="562">
        <v>171655300</v>
      </c>
      <c r="G3183" s="562">
        <f t="shared" si="110"/>
        <v>536</v>
      </c>
      <c r="H3183" s="562"/>
      <c r="I3183" s="562"/>
      <c r="J3183" s="562"/>
    </row>
    <row r="3184" spans="1:10" x14ac:dyDescent="0.25">
      <c r="A3184" s="362"/>
      <c r="B3184" s="611">
        <v>44272</v>
      </c>
      <c r="C3184" s="362" t="s">
        <v>78</v>
      </c>
      <c r="D3184" s="562">
        <v>89783721</v>
      </c>
      <c r="E3184" s="562">
        <v>1273979</v>
      </c>
      <c r="F3184" s="562">
        <v>91057700</v>
      </c>
      <c r="G3184" s="562">
        <f t="shared" si="110"/>
        <v>0</v>
      </c>
      <c r="H3184" s="562"/>
      <c r="I3184" s="562"/>
      <c r="J3184" s="562"/>
    </row>
    <row r="3185" spans="1:10" x14ac:dyDescent="0.25">
      <c r="A3185" s="362"/>
      <c r="B3185" s="611">
        <v>44272</v>
      </c>
      <c r="C3185" s="362" t="s">
        <v>141</v>
      </c>
      <c r="D3185" s="562">
        <v>99432218</v>
      </c>
      <c r="E3185" s="562">
        <v>1098778</v>
      </c>
      <c r="F3185" s="562">
        <v>100531000</v>
      </c>
      <c r="G3185" s="562">
        <f t="shared" si="110"/>
        <v>-4</v>
      </c>
      <c r="H3185" s="562"/>
      <c r="I3185" s="562"/>
      <c r="J3185" s="562"/>
    </row>
    <row r="3186" spans="1:10" x14ac:dyDescent="0.25">
      <c r="A3186" s="362"/>
      <c r="B3186" s="611">
        <v>44272</v>
      </c>
      <c r="C3186" s="362" t="s">
        <v>89</v>
      </c>
      <c r="D3186" s="562">
        <v>131563012</v>
      </c>
      <c r="E3186" s="562">
        <v>11571388</v>
      </c>
      <c r="F3186" s="562">
        <v>143134400</v>
      </c>
      <c r="G3186" s="562">
        <f t="shared" si="110"/>
        <v>0</v>
      </c>
      <c r="H3186" s="562"/>
      <c r="I3186" s="562"/>
      <c r="J3186" s="562"/>
    </row>
    <row r="3187" spans="1:10" x14ac:dyDescent="0.25">
      <c r="A3187" s="362"/>
      <c r="B3187" s="611">
        <v>44272</v>
      </c>
      <c r="C3187" s="362" t="s">
        <v>81</v>
      </c>
      <c r="D3187" s="562">
        <v>69630453</v>
      </c>
      <c r="E3187" s="562">
        <v>7968898</v>
      </c>
      <c r="F3187" s="562">
        <v>77599400</v>
      </c>
      <c r="G3187" s="562">
        <f t="shared" si="110"/>
        <v>-49</v>
      </c>
      <c r="H3187" s="562"/>
      <c r="I3187" s="562"/>
      <c r="J3187" s="562"/>
    </row>
    <row r="3188" spans="1:10" x14ac:dyDescent="0.25">
      <c r="A3188" s="362"/>
      <c r="B3188" s="611">
        <v>44272</v>
      </c>
      <c r="C3188" s="362" t="s">
        <v>84</v>
      </c>
      <c r="D3188" s="562">
        <v>359494928</v>
      </c>
      <c r="E3188" s="562">
        <v>12246987</v>
      </c>
      <c r="F3188" s="562">
        <v>371742000</v>
      </c>
      <c r="G3188" s="562">
        <f t="shared" si="110"/>
        <v>-85</v>
      </c>
      <c r="H3188" s="562"/>
      <c r="I3188" s="562"/>
      <c r="J3188" s="562"/>
    </row>
    <row r="3189" spans="1:10" x14ac:dyDescent="0.25">
      <c r="A3189" s="362"/>
      <c r="B3189" s="611">
        <v>44272</v>
      </c>
      <c r="C3189" s="362" t="s">
        <v>4751</v>
      </c>
      <c r="D3189" s="562">
        <v>144400532</v>
      </c>
      <c r="E3189" s="562">
        <v>12945168</v>
      </c>
      <c r="F3189" s="562">
        <v>157345700</v>
      </c>
      <c r="G3189" s="562">
        <f t="shared" si="110"/>
        <v>0</v>
      </c>
      <c r="H3189" s="562"/>
      <c r="I3189" s="562"/>
      <c r="J3189" s="562"/>
    </row>
    <row r="3190" spans="1:10" x14ac:dyDescent="0.25">
      <c r="A3190" s="362"/>
      <c r="B3190" s="611">
        <v>44272</v>
      </c>
      <c r="C3190" s="362" t="s">
        <v>166</v>
      </c>
      <c r="D3190" s="562">
        <v>56570466</v>
      </c>
      <c r="E3190" s="562"/>
      <c r="F3190" s="562">
        <v>56570500</v>
      </c>
      <c r="G3190" s="562">
        <f t="shared" si="110"/>
        <v>-34</v>
      </c>
      <c r="H3190" s="562"/>
      <c r="I3190" s="562"/>
      <c r="J3190" s="562"/>
    </row>
    <row r="3191" spans="1:10" x14ac:dyDescent="0.25">
      <c r="A3191" s="362"/>
      <c r="B3191" s="611">
        <v>44272</v>
      </c>
      <c r="C3191" s="362" t="s">
        <v>3435</v>
      </c>
      <c r="D3191" s="562">
        <v>88022196</v>
      </c>
      <c r="E3191" s="562"/>
      <c r="F3191" s="562">
        <v>88022200</v>
      </c>
      <c r="G3191" s="562">
        <f t="shared" si="110"/>
        <v>-4</v>
      </c>
      <c r="H3191" s="562"/>
      <c r="I3191" s="562"/>
      <c r="J3191" s="562"/>
    </row>
    <row r="3192" spans="1:10" x14ac:dyDescent="0.25">
      <c r="A3192" s="362"/>
      <c r="B3192" s="611">
        <v>44272</v>
      </c>
      <c r="C3192" s="370" t="s">
        <v>85</v>
      </c>
      <c r="D3192" s="562">
        <v>30820300</v>
      </c>
      <c r="E3192" s="562"/>
      <c r="F3192" s="562">
        <v>30820300</v>
      </c>
      <c r="G3192" s="562">
        <f t="shared" si="110"/>
        <v>0</v>
      </c>
      <c r="H3192" s="562"/>
      <c r="I3192" s="562"/>
      <c r="J3192" s="562"/>
    </row>
    <row r="3193" spans="1:10" x14ac:dyDescent="0.25">
      <c r="A3193" s="532"/>
      <c r="B3193" s="532"/>
      <c r="C3193" s="532"/>
      <c r="D3193" s="564">
        <f>SUM(D3178:D3192)</f>
        <v>1919884895</v>
      </c>
      <c r="E3193" s="564">
        <f t="shared" ref="E3193:G3193" si="111">SUM(E3178:E3192)</f>
        <v>178058702</v>
      </c>
      <c r="F3193" s="564">
        <f t="shared" si="111"/>
        <v>2097846800</v>
      </c>
      <c r="G3193" s="564">
        <f t="shared" si="111"/>
        <v>96797</v>
      </c>
      <c r="H3193" s="564"/>
      <c r="I3193" s="564"/>
      <c r="J3193" s="564"/>
    </row>
    <row r="3194" spans="1:10" x14ac:dyDescent="0.25">
      <c r="A3194" s="362"/>
      <c r="B3194" s="611">
        <v>44273</v>
      </c>
      <c r="C3194" s="362" t="s">
        <v>86</v>
      </c>
      <c r="D3194" s="562">
        <v>61466005</v>
      </c>
      <c r="E3194" s="562">
        <v>21434650</v>
      </c>
      <c r="F3194" s="562">
        <v>82900700</v>
      </c>
      <c r="G3194" s="562">
        <f>D3194+E3194-F3194</f>
        <v>-45</v>
      </c>
      <c r="H3194" s="562"/>
      <c r="I3194" s="562"/>
      <c r="J3194" s="562"/>
    </row>
    <row r="3195" spans="1:10" x14ac:dyDescent="0.25">
      <c r="A3195" s="362"/>
      <c r="B3195" s="611">
        <v>44273</v>
      </c>
      <c r="C3195" s="362" t="s">
        <v>87</v>
      </c>
      <c r="D3195" s="562">
        <v>64117288</v>
      </c>
      <c r="E3195" s="562">
        <v>96832146</v>
      </c>
      <c r="F3195" s="562">
        <v>160949500</v>
      </c>
      <c r="G3195" s="562">
        <f t="shared" ref="G3195:G3208" si="112">D3195+E3195-F3195</f>
        <v>-66</v>
      </c>
      <c r="H3195" s="562"/>
      <c r="I3195" s="562"/>
      <c r="J3195" s="562"/>
    </row>
    <row r="3196" spans="1:10" x14ac:dyDescent="0.25">
      <c r="A3196" s="362"/>
      <c r="B3196" s="611">
        <v>44273</v>
      </c>
      <c r="C3196" s="362" t="s">
        <v>88</v>
      </c>
      <c r="D3196" s="562">
        <v>216354399</v>
      </c>
      <c r="E3196" s="562">
        <v>57937682</v>
      </c>
      <c r="F3196" s="562">
        <v>274292100</v>
      </c>
      <c r="G3196" s="562">
        <f t="shared" si="112"/>
        <v>-19</v>
      </c>
      <c r="H3196" s="562"/>
      <c r="I3196" s="562"/>
      <c r="J3196" s="562"/>
    </row>
    <row r="3197" spans="1:10" x14ac:dyDescent="0.25">
      <c r="A3197" s="362"/>
      <c r="B3197" s="611">
        <v>44273</v>
      </c>
      <c r="C3197" s="362" t="s">
        <v>82</v>
      </c>
      <c r="D3197" s="562">
        <v>135071745</v>
      </c>
      <c r="E3197" s="562">
        <v>2860648</v>
      </c>
      <c r="F3197" s="562">
        <v>137932400</v>
      </c>
      <c r="G3197" s="562">
        <f t="shared" si="112"/>
        <v>-7</v>
      </c>
      <c r="H3197" s="562"/>
      <c r="I3197" s="562"/>
      <c r="J3197" s="562"/>
    </row>
    <row r="3198" spans="1:10" x14ac:dyDescent="0.25">
      <c r="A3198" s="362"/>
      <c r="B3198" s="611">
        <v>44273</v>
      </c>
      <c r="C3198" s="362" t="s">
        <v>80</v>
      </c>
      <c r="D3198" s="562">
        <v>419959900</v>
      </c>
      <c r="E3198" s="562"/>
      <c r="F3198" s="562">
        <v>419959900</v>
      </c>
      <c r="G3198" s="562">
        <f t="shared" si="112"/>
        <v>0</v>
      </c>
      <c r="H3198" s="562"/>
      <c r="I3198" s="562"/>
      <c r="J3198" s="562"/>
    </row>
    <row r="3199" spans="1:10" x14ac:dyDescent="0.25">
      <c r="A3199" s="362"/>
      <c r="B3199" s="611">
        <v>44273</v>
      </c>
      <c r="C3199" s="362" t="s">
        <v>83</v>
      </c>
      <c r="D3199" s="562">
        <v>133813824</v>
      </c>
      <c r="E3199" s="562">
        <v>21436627</v>
      </c>
      <c r="F3199" s="562">
        <v>155250500</v>
      </c>
      <c r="G3199" s="562">
        <f t="shared" si="112"/>
        <v>-49</v>
      </c>
      <c r="H3199" s="562"/>
      <c r="I3199" s="562"/>
      <c r="J3199" s="562"/>
    </row>
    <row r="3200" spans="1:10" x14ac:dyDescent="0.25">
      <c r="A3200" s="362"/>
      <c r="B3200" s="611">
        <v>44273</v>
      </c>
      <c r="C3200" s="362" t="s">
        <v>78</v>
      </c>
      <c r="D3200" s="562">
        <v>117817778</v>
      </c>
      <c r="E3200" s="562">
        <v>907922</v>
      </c>
      <c r="F3200" s="562">
        <v>118725700</v>
      </c>
      <c r="G3200" s="562">
        <f t="shared" si="112"/>
        <v>0</v>
      </c>
      <c r="H3200" s="562"/>
      <c r="I3200" s="562"/>
      <c r="J3200" s="562"/>
    </row>
    <row r="3201" spans="1:10" x14ac:dyDescent="0.25">
      <c r="A3201" s="362"/>
      <c r="B3201" s="611">
        <v>44273</v>
      </c>
      <c r="C3201" s="362" t="s">
        <v>141</v>
      </c>
      <c r="D3201" s="562">
        <v>59463516</v>
      </c>
      <c r="E3201" s="562">
        <v>221595</v>
      </c>
      <c r="F3201" s="562">
        <v>59685200</v>
      </c>
      <c r="G3201" s="562">
        <f t="shared" si="112"/>
        <v>-89</v>
      </c>
      <c r="H3201" s="562"/>
      <c r="I3201" s="562"/>
      <c r="J3201" s="562"/>
    </row>
    <row r="3202" spans="1:10" x14ac:dyDescent="0.25">
      <c r="A3202" s="362"/>
      <c r="B3202" s="611">
        <v>44273</v>
      </c>
      <c r="C3202" s="362" t="s">
        <v>89</v>
      </c>
      <c r="D3202" s="562">
        <v>153272243</v>
      </c>
      <c r="E3202" s="562">
        <v>18384757</v>
      </c>
      <c r="F3202" s="562">
        <v>171657000</v>
      </c>
      <c r="G3202" s="562">
        <f t="shared" si="112"/>
        <v>0</v>
      </c>
      <c r="H3202" s="562"/>
      <c r="I3202" s="562"/>
      <c r="J3202" s="562"/>
    </row>
    <row r="3203" spans="1:10" x14ac:dyDescent="0.25">
      <c r="A3203" s="362"/>
      <c r="B3203" s="611">
        <v>44273</v>
      </c>
      <c r="C3203" s="362" t="s">
        <v>81</v>
      </c>
      <c r="D3203" s="562">
        <v>132497124</v>
      </c>
      <c r="E3203" s="562">
        <v>17176249</v>
      </c>
      <c r="F3203" s="562">
        <v>149673400</v>
      </c>
      <c r="G3203" s="562">
        <f t="shared" si="112"/>
        <v>-27</v>
      </c>
      <c r="H3203" s="562"/>
      <c r="I3203" s="562"/>
      <c r="J3203" s="562"/>
    </row>
    <row r="3204" spans="1:10" x14ac:dyDescent="0.25">
      <c r="A3204" s="362"/>
      <c r="B3204" s="611">
        <v>44273</v>
      </c>
      <c r="C3204" s="362" t="s">
        <v>84</v>
      </c>
      <c r="D3204" s="562">
        <v>215160247</v>
      </c>
      <c r="E3204" s="562">
        <v>14997386</v>
      </c>
      <c r="F3204" s="562">
        <v>230157700</v>
      </c>
      <c r="G3204" s="562">
        <f t="shared" si="112"/>
        <v>-67</v>
      </c>
      <c r="H3204" s="562"/>
      <c r="I3204" s="562"/>
      <c r="J3204" s="562"/>
    </row>
    <row r="3205" spans="1:10" x14ac:dyDescent="0.25">
      <c r="A3205" s="362"/>
      <c r="B3205" s="611">
        <v>44273</v>
      </c>
      <c r="C3205" s="362" t="s">
        <v>4751</v>
      </c>
      <c r="D3205" s="562">
        <v>177937039</v>
      </c>
      <c r="E3205" s="562">
        <v>12037461</v>
      </c>
      <c r="F3205" s="562">
        <v>189974500</v>
      </c>
      <c r="G3205" s="562">
        <f t="shared" si="112"/>
        <v>0</v>
      </c>
      <c r="H3205" s="562"/>
      <c r="I3205" s="562"/>
      <c r="J3205" s="562"/>
    </row>
    <row r="3206" spans="1:10" x14ac:dyDescent="0.25">
      <c r="A3206" s="362"/>
      <c r="B3206" s="611">
        <v>44273</v>
      </c>
      <c r="C3206" s="362" t="s">
        <v>166</v>
      </c>
      <c r="D3206" s="562">
        <v>65514814</v>
      </c>
      <c r="E3206" s="562"/>
      <c r="F3206" s="562">
        <v>65514900</v>
      </c>
      <c r="G3206" s="562">
        <f t="shared" si="112"/>
        <v>-86</v>
      </c>
      <c r="H3206" s="562"/>
      <c r="I3206" s="562"/>
      <c r="J3206" s="562"/>
    </row>
    <row r="3207" spans="1:10" x14ac:dyDescent="0.25">
      <c r="A3207" s="362"/>
      <c r="B3207" s="611">
        <v>44273</v>
      </c>
      <c r="C3207" s="362" t="s">
        <v>3435</v>
      </c>
      <c r="D3207" s="562">
        <v>55260555</v>
      </c>
      <c r="E3207" s="562"/>
      <c r="F3207" s="562">
        <v>55260600</v>
      </c>
      <c r="G3207" s="562">
        <f t="shared" si="112"/>
        <v>-45</v>
      </c>
      <c r="H3207" s="562"/>
      <c r="I3207" s="562"/>
      <c r="J3207" s="562"/>
    </row>
    <row r="3208" spans="1:10" x14ac:dyDescent="0.25">
      <c r="A3208" s="362"/>
      <c r="B3208" s="611">
        <v>44273</v>
      </c>
      <c r="C3208" s="370" t="s">
        <v>85</v>
      </c>
      <c r="D3208" s="562">
        <v>20669900</v>
      </c>
      <c r="E3208" s="562"/>
      <c r="F3208" s="562">
        <v>20669900</v>
      </c>
      <c r="G3208" s="562">
        <f t="shared" si="112"/>
        <v>0</v>
      </c>
      <c r="H3208" s="562"/>
      <c r="I3208" s="562"/>
      <c r="J3208" s="562"/>
    </row>
    <row r="3209" spans="1:10" x14ac:dyDescent="0.25">
      <c r="A3209" s="532"/>
      <c r="B3209" s="532"/>
      <c r="C3209" s="532"/>
      <c r="D3209" s="564">
        <f>SUM(D3194:D3208)</f>
        <v>2028376377</v>
      </c>
      <c r="E3209" s="564">
        <f t="shared" ref="E3209:G3209" si="113">SUM(E3194:E3208)</f>
        <v>264227123</v>
      </c>
      <c r="F3209" s="564">
        <f t="shared" si="113"/>
        <v>2292604000</v>
      </c>
      <c r="G3209" s="564">
        <f t="shared" si="113"/>
        <v>-500</v>
      </c>
      <c r="H3209" s="564"/>
      <c r="I3209" s="564"/>
      <c r="J3209" s="564"/>
    </row>
    <row r="3210" spans="1:10" x14ac:dyDescent="0.25">
      <c r="A3210" s="362"/>
      <c r="B3210" s="611">
        <v>44274</v>
      </c>
      <c r="C3210" s="362" t="s">
        <v>86</v>
      </c>
      <c r="D3210" s="562">
        <v>33518627</v>
      </c>
      <c r="E3210" s="562">
        <v>50263218</v>
      </c>
      <c r="F3210" s="562">
        <v>83781900</v>
      </c>
      <c r="G3210" s="562">
        <f>D3210+E3210-F3210</f>
        <v>-55</v>
      </c>
      <c r="H3210" s="562"/>
      <c r="I3210" s="562"/>
      <c r="J3210" s="562"/>
    </row>
    <row r="3211" spans="1:10" x14ac:dyDescent="0.25">
      <c r="A3211" s="362"/>
      <c r="B3211" s="611">
        <v>44274</v>
      </c>
      <c r="C3211" s="362" t="s">
        <v>87</v>
      </c>
      <c r="D3211" s="562">
        <v>152708612</v>
      </c>
      <c r="E3211" s="562">
        <v>52312078</v>
      </c>
      <c r="F3211" s="562">
        <v>205020700</v>
      </c>
      <c r="G3211" s="562">
        <f t="shared" ref="G3211:G3224" si="114">D3211+E3211-F3211</f>
        <v>-10</v>
      </c>
      <c r="H3211" s="562"/>
      <c r="I3211" s="562"/>
      <c r="J3211" s="562"/>
    </row>
    <row r="3212" spans="1:10" x14ac:dyDescent="0.25">
      <c r="A3212" s="362"/>
      <c r="B3212" s="611">
        <v>44274</v>
      </c>
      <c r="C3212" s="362" t="s">
        <v>88</v>
      </c>
      <c r="D3212" s="562">
        <v>124808287</v>
      </c>
      <c r="E3212" s="562">
        <v>16005182</v>
      </c>
      <c r="F3212" s="562">
        <v>140813500</v>
      </c>
      <c r="G3212" s="562">
        <f t="shared" si="114"/>
        <v>-31</v>
      </c>
      <c r="H3212" s="562"/>
      <c r="I3212" s="562"/>
      <c r="J3212" s="562"/>
    </row>
    <row r="3213" spans="1:10" x14ac:dyDescent="0.25">
      <c r="A3213" s="362"/>
      <c r="B3213" s="611">
        <v>44274</v>
      </c>
      <c r="C3213" s="362" t="s">
        <v>82</v>
      </c>
      <c r="D3213" s="562">
        <v>102653557</v>
      </c>
      <c r="E3213" s="562">
        <v>2861970</v>
      </c>
      <c r="F3213" s="562">
        <v>105515600</v>
      </c>
      <c r="G3213" s="562">
        <f t="shared" si="114"/>
        <v>-73</v>
      </c>
      <c r="H3213" s="562"/>
      <c r="I3213" s="562"/>
      <c r="J3213" s="562"/>
    </row>
    <row r="3214" spans="1:10" x14ac:dyDescent="0.25">
      <c r="A3214" s="362"/>
      <c r="B3214" s="611">
        <v>44274</v>
      </c>
      <c r="C3214" s="362" t="s">
        <v>80</v>
      </c>
      <c r="D3214" s="562">
        <v>180094340</v>
      </c>
      <c r="E3214" s="562"/>
      <c r="F3214" s="562">
        <v>180095300</v>
      </c>
      <c r="G3214" s="562">
        <f t="shared" si="114"/>
        <v>-960</v>
      </c>
      <c r="H3214" s="562"/>
      <c r="I3214" s="562"/>
      <c r="J3214" s="562"/>
    </row>
    <row r="3215" spans="1:10" x14ac:dyDescent="0.25">
      <c r="A3215" s="362"/>
      <c r="B3215" s="611">
        <v>44274</v>
      </c>
      <c r="C3215" s="362" t="s">
        <v>83</v>
      </c>
      <c r="D3215" s="562">
        <v>204168865</v>
      </c>
      <c r="E3215" s="562">
        <v>136170750</v>
      </c>
      <c r="F3215" s="562">
        <v>340339700</v>
      </c>
      <c r="G3215" s="562">
        <f t="shared" si="114"/>
        <v>-85</v>
      </c>
      <c r="H3215" s="562"/>
      <c r="I3215" s="562"/>
      <c r="J3215" s="562"/>
    </row>
    <row r="3216" spans="1:10" x14ac:dyDescent="0.25">
      <c r="A3216" s="362"/>
      <c r="B3216" s="611">
        <v>44274</v>
      </c>
      <c r="C3216" s="362" t="s">
        <v>78</v>
      </c>
      <c r="D3216" s="562">
        <v>159245489</v>
      </c>
      <c r="E3216" s="562">
        <v>2200111</v>
      </c>
      <c r="F3216" s="562">
        <v>161445600</v>
      </c>
      <c r="G3216" s="562">
        <f t="shared" si="114"/>
        <v>0</v>
      </c>
      <c r="H3216" s="562"/>
      <c r="I3216" s="562"/>
      <c r="J3216" s="562"/>
    </row>
    <row r="3217" spans="1:10" x14ac:dyDescent="0.25">
      <c r="A3217" s="362"/>
      <c r="B3217" s="611">
        <v>44274</v>
      </c>
      <c r="C3217" s="362" t="s">
        <v>141</v>
      </c>
      <c r="D3217" s="562">
        <v>74940096</v>
      </c>
      <c r="E3217" s="562">
        <v>2811600</v>
      </c>
      <c r="F3217" s="562">
        <v>77751700</v>
      </c>
      <c r="G3217" s="562">
        <f t="shared" si="114"/>
        <v>-4</v>
      </c>
      <c r="H3217" s="562"/>
      <c r="I3217" s="562"/>
      <c r="J3217" s="562"/>
    </row>
    <row r="3218" spans="1:10" x14ac:dyDescent="0.25">
      <c r="A3218" s="362"/>
      <c r="B3218" s="611">
        <v>44274</v>
      </c>
      <c r="C3218" s="362" t="s">
        <v>89</v>
      </c>
      <c r="D3218" s="562">
        <v>133656978</v>
      </c>
      <c r="E3218" s="562">
        <v>60869022</v>
      </c>
      <c r="F3218" s="562">
        <v>194526000</v>
      </c>
      <c r="G3218" s="562">
        <f t="shared" si="114"/>
        <v>0</v>
      </c>
      <c r="H3218" s="562"/>
      <c r="I3218" s="562"/>
      <c r="J3218" s="562"/>
    </row>
    <row r="3219" spans="1:10" x14ac:dyDescent="0.25">
      <c r="A3219" s="362"/>
      <c r="B3219" s="611">
        <v>44274</v>
      </c>
      <c r="C3219" s="362" t="s">
        <v>81</v>
      </c>
      <c r="D3219" s="562">
        <v>56133767</v>
      </c>
      <c r="E3219" s="562">
        <v>54495689</v>
      </c>
      <c r="F3219" s="562">
        <v>110629500</v>
      </c>
      <c r="G3219" s="562">
        <f t="shared" si="114"/>
        <v>-44</v>
      </c>
      <c r="H3219" s="562"/>
      <c r="I3219" s="562"/>
      <c r="J3219" s="562"/>
    </row>
    <row r="3220" spans="1:10" x14ac:dyDescent="0.25">
      <c r="A3220" s="362"/>
      <c r="B3220" s="611">
        <v>44274</v>
      </c>
      <c r="C3220" s="362" t="s">
        <v>84</v>
      </c>
      <c r="D3220" s="562">
        <v>192548244</v>
      </c>
      <c r="E3220" s="562">
        <v>17373343</v>
      </c>
      <c r="F3220" s="562">
        <v>209921600</v>
      </c>
      <c r="G3220" s="562">
        <f t="shared" si="114"/>
        <v>-13</v>
      </c>
      <c r="H3220" s="562"/>
      <c r="I3220" s="562"/>
      <c r="J3220" s="562"/>
    </row>
    <row r="3221" spans="1:10" x14ac:dyDescent="0.25">
      <c r="A3221" s="362"/>
      <c r="B3221" s="611">
        <v>44274</v>
      </c>
      <c r="C3221" s="362" t="s">
        <v>4751</v>
      </c>
      <c r="D3221" s="562">
        <v>156986562</v>
      </c>
      <c r="E3221" s="562">
        <v>6471738</v>
      </c>
      <c r="F3221" s="562">
        <v>163458300</v>
      </c>
      <c r="G3221" s="562">
        <f t="shared" si="114"/>
        <v>0</v>
      </c>
      <c r="H3221" s="562"/>
      <c r="I3221" s="562"/>
      <c r="J3221" s="562"/>
    </row>
    <row r="3222" spans="1:10" x14ac:dyDescent="0.25">
      <c r="A3222" s="362"/>
      <c r="B3222" s="611">
        <v>44274</v>
      </c>
      <c r="C3222" s="362" t="s">
        <v>166</v>
      </c>
      <c r="D3222" s="562">
        <v>34171871</v>
      </c>
      <c r="E3222" s="562"/>
      <c r="F3222" s="562">
        <v>34171900</v>
      </c>
      <c r="G3222" s="562">
        <f t="shared" si="114"/>
        <v>-29</v>
      </c>
      <c r="H3222" s="562"/>
      <c r="I3222" s="562"/>
      <c r="J3222" s="562"/>
    </row>
    <row r="3223" spans="1:10" x14ac:dyDescent="0.25">
      <c r="A3223" s="362"/>
      <c r="B3223" s="611">
        <v>44274</v>
      </c>
      <c r="C3223" s="362" t="s">
        <v>3435</v>
      </c>
      <c r="D3223" s="562">
        <v>35410982</v>
      </c>
      <c r="E3223" s="562"/>
      <c r="F3223" s="562">
        <v>35411000</v>
      </c>
      <c r="G3223" s="562">
        <f t="shared" si="114"/>
        <v>-18</v>
      </c>
      <c r="H3223" s="562"/>
      <c r="I3223" s="562"/>
      <c r="J3223" s="562"/>
    </row>
    <row r="3224" spans="1:10" x14ac:dyDescent="0.25">
      <c r="A3224" s="362"/>
      <c r="B3224" s="611">
        <v>44274</v>
      </c>
      <c r="C3224" s="370" t="s">
        <v>85</v>
      </c>
      <c r="D3224" s="562">
        <v>19308200</v>
      </c>
      <c r="E3224" s="562"/>
      <c r="F3224" s="562">
        <v>19308200</v>
      </c>
      <c r="G3224" s="562">
        <f t="shared" si="114"/>
        <v>0</v>
      </c>
      <c r="H3224" s="562"/>
      <c r="I3224" s="562"/>
      <c r="J3224" s="562"/>
    </row>
    <row r="3225" spans="1:10" x14ac:dyDescent="0.25">
      <c r="A3225" s="532"/>
      <c r="B3225" s="532"/>
      <c r="C3225" s="532"/>
      <c r="D3225" s="564">
        <f>SUM(D3210:D3224)</f>
        <v>1660354477</v>
      </c>
      <c r="E3225" s="564">
        <f t="shared" ref="E3225:G3225" si="115">SUM(E3210:E3224)</f>
        <v>401834701</v>
      </c>
      <c r="F3225" s="564">
        <f t="shared" si="115"/>
        <v>2062190500</v>
      </c>
      <c r="G3225" s="564">
        <f t="shared" si="115"/>
        <v>-1322</v>
      </c>
      <c r="H3225" s="564"/>
      <c r="I3225" s="564"/>
      <c r="J3225" s="564"/>
    </row>
    <row r="3226" spans="1:10" x14ac:dyDescent="0.25">
      <c r="A3226" s="362"/>
      <c r="B3226" s="611">
        <v>44275</v>
      </c>
      <c r="C3226" s="362" t="s">
        <v>86</v>
      </c>
      <c r="D3226" s="562">
        <v>51915853</v>
      </c>
      <c r="E3226" s="562">
        <v>62112630</v>
      </c>
      <c r="F3226" s="562">
        <v>114028000</v>
      </c>
      <c r="G3226" s="562">
        <f>D3226+E3226-F3226</f>
        <v>483</v>
      </c>
      <c r="H3226" s="562"/>
      <c r="I3226" s="562"/>
      <c r="J3226" s="562"/>
    </row>
    <row r="3227" spans="1:10" x14ac:dyDescent="0.25">
      <c r="A3227" s="362"/>
      <c r="B3227" s="611">
        <v>44275</v>
      </c>
      <c r="C3227" s="362" t="s">
        <v>87</v>
      </c>
      <c r="D3227" s="562">
        <v>76958507</v>
      </c>
      <c r="E3227" s="562">
        <v>132814768</v>
      </c>
      <c r="F3227" s="562">
        <v>209773000</v>
      </c>
      <c r="G3227" s="562">
        <f t="shared" ref="G3227:G3240" si="116">D3227+E3227-F3227</f>
        <v>275</v>
      </c>
      <c r="H3227" s="562"/>
      <c r="I3227" s="562"/>
      <c r="J3227" s="562"/>
    </row>
    <row r="3228" spans="1:10" x14ac:dyDescent="0.25">
      <c r="A3228" s="362"/>
      <c r="B3228" s="611">
        <v>44275</v>
      </c>
      <c r="C3228" s="362" t="s">
        <v>88</v>
      </c>
      <c r="D3228" s="562">
        <v>298606351</v>
      </c>
      <c r="E3228" s="562">
        <v>13301585</v>
      </c>
      <c r="F3228" s="562">
        <v>311908000</v>
      </c>
      <c r="G3228" s="562">
        <f t="shared" si="116"/>
        <v>-64</v>
      </c>
      <c r="H3228" s="562"/>
      <c r="I3228" s="562"/>
      <c r="J3228" s="562"/>
    </row>
    <row r="3229" spans="1:10" x14ac:dyDescent="0.25">
      <c r="A3229" s="362"/>
      <c r="B3229" s="611">
        <v>44275</v>
      </c>
      <c r="C3229" s="362" t="s">
        <v>82</v>
      </c>
      <c r="D3229" s="562">
        <v>61697799</v>
      </c>
      <c r="E3229" s="562">
        <v>6296900</v>
      </c>
      <c r="F3229" s="562">
        <v>67994700</v>
      </c>
      <c r="G3229" s="562">
        <f t="shared" si="116"/>
        <v>-1</v>
      </c>
      <c r="H3229" s="562"/>
      <c r="I3229" s="562"/>
      <c r="J3229" s="562"/>
    </row>
    <row r="3230" spans="1:10" x14ac:dyDescent="0.25">
      <c r="A3230" s="362"/>
      <c r="B3230" s="611">
        <v>44275</v>
      </c>
      <c r="C3230" s="362" t="s">
        <v>80</v>
      </c>
      <c r="D3230" s="562">
        <v>254058200</v>
      </c>
      <c r="E3230" s="562"/>
      <c r="F3230" s="562">
        <v>254058200</v>
      </c>
      <c r="G3230" s="562">
        <f t="shared" si="116"/>
        <v>0</v>
      </c>
      <c r="H3230" s="562"/>
      <c r="I3230" s="562"/>
      <c r="J3230" s="562"/>
    </row>
    <row r="3231" spans="1:10" x14ac:dyDescent="0.25">
      <c r="A3231" s="362"/>
      <c r="B3231" s="611">
        <v>44275</v>
      </c>
      <c r="C3231" s="362" t="s">
        <v>83</v>
      </c>
      <c r="D3231" s="562">
        <v>187403172</v>
      </c>
      <c r="E3231" s="562">
        <v>11450133</v>
      </c>
      <c r="F3231" s="562">
        <v>198853300</v>
      </c>
      <c r="G3231" s="562">
        <f t="shared" si="116"/>
        <v>5</v>
      </c>
      <c r="H3231" s="562"/>
      <c r="I3231" s="562"/>
      <c r="J3231" s="562"/>
    </row>
    <row r="3232" spans="1:10" x14ac:dyDescent="0.25">
      <c r="A3232" s="362"/>
      <c r="B3232" s="611">
        <v>44275</v>
      </c>
      <c r="C3232" s="362" t="s">
        <v>78</v>
      </c>
      <c r="D3232" s="562">
        <v>121119221</v>
      </c>
      <c r="E3232" s="562">
        <v>3813579</v>
      </c>
      <c r="F3232" s="562">
        <v>124932800</v>
      </c>
      <c r="G3232" s="562">
        <f t="shared" si="116"/>
        <v>0</v>
      </c>
      <c r="H3232" s="562"/>
      <c r="I3232" s="562"/>
      <c r="J3232" s="562"/>
    </row>
    <row r="3233" spans="1:10" x14ac:dyDescent="0.25">
      <c r="A3233" s="362"/>
      <c r="B3233" s="611">
        <v>44275</v>
      </c>
      <c r="C3233" s="362" t="s">
        <v>141</v>
      </c>
      <c r="D3233" s="562">
        <v>36726363</v>
      </c>
      <c r="E3233" s="562"/>
      <c r="F3233" s="562">
        <v>36726400</v>
      </c>
      <c r="G3233" s="562">
        <f t="shared" si="116"/>
        <v>-37</v>
      </c>
      <c r="H3233" s="562"/>
      <c r="I3233" s="562"/>
      <c r="J3233" s="562"/>
    </row>
    <row r="3234" spans="1:10" x14ac:dyDescent="0.25">
      <c r="A3234" s="362"/>
      <c r="B3234" s="611">
        <v>44275</v>
      </c>
      <c r="C3234" s="362" t="s">
        <v>89</v>
      </c>
      <c r="D3234" s="562">
        <v>99308326</v>
      </c>
      <c r="E3234" s="562">
        <v>42324790</v>
      </c>
      <c r="F3234" s="562">
        <v>141632500</v>
      </c>
      <c r="G3234" s="562">
        <f t="shared" si="116"/>
        <v>616</v>
      </c>
      <c r="H3234" s="562"/>
      <c r="I3234" s="562"/>
      <c r="J3234" s="562"/>
    </row>
    <row r="3235" spans="1:10" x14ac:dyDescent="0.25">
      <c r="A3235" s="362"/>
      <c r="B3235" s="611">
        <v>44275</v>
      </c>
      <c r="C3235" s="362" t="s">
        <v>81</v>
      </c>
      <c r="D3235" s="562">
        <v>86604027</v>
      </c>
      <c r="E3235" s="562">
        <v>13025300</v>
      </c>
      <c r="F3235" s="562">
        <v>97055300</v>
      </c>
      <c r="G3235" s="562">
        <f t="shared" si="116"/>
        <v>2574027</v>
      </c>
      <c r="H3235" s="562"/>
      <c r="I3235" s="562"/>
      <c r="J3235" s="562"/>
    </row>
    <row r="3236" spans="1:10" x14ac:dyDescent="0.25">
      <c r="A3236" s="362"/>
      <c r="B3236" s="611">
        <v>44275</v>
      </c>
      <c r="C3236" s="362" t="s">
        <v>84</v>
      </c>
      <c r="D3236" s="562">
        <v>168718595</v>
      </c>
      <c r="E3236" s="562">
        <v>8078120</v>
      </c>
      <c r="F3236" s="562">
        <v>182380800</v>
      </c>
      <c r="G3236" s="562">
        <f t="shared" si="116"/>
        <v>-5584085</v>
      </c>
      <c r="H3236" s="562"/>
      <c r="I3236" s="562"/>
      <c r="J3236" s="562"/>
    </row>
    <row r="3237" spans="1:10" x14ac:dyDescent="0.25">
      <c r="A3237" s="362"/>
      <c r="B3237" s="611">
        <v>44275</v>
      </c>
      <c r="C3237" s="362" t="s">
        <v>4751</v>
      </c>
      <c r="D3237" s="562">
        <v>162311070</v>
      </c>
      <c r="E3237" s="562">
        <v>11140430</v>
      </c>
      <c r="F3237" s="562">
        <v>173451500</v>
      </c>
      <c r="G3237" s="562">
        <f t="shared" si="116"/>
        <v>0</v>
      </c>
      <c r="H3237" s="562"/>
      <c r="I3237" s="562"/>
      <c r="J3237" s="562"/>
    </row>
    <row r="3238" spans="1:10" x14ac:dyDescent="0.25">
      <c r="A3238" s="362"/>
      <c r="B3238" s="611">
        <v>44275</v>
      </c>
      <c r="C3238" s="362" t="s">
        <v>166</v>
      </c>
      <c r="D3238" s="562"/>
      <c r="E3238" s="562"/>
      <c r="F3238" s="562"/>
      <c r="G3238" s="562">
        <f t="shared" si="116"/>
        <v>0</v>
      </c>
      <c r="H3238" s="562"/>
      <c r="I3238" s="562"/>
      <c r="J3238" s="562"/>
    </row>
    <row r="3239" spans="1:10" x14ac:dyDescent="0.25">
      <c r="A3239" s="362"/>
      <c r="B3239" s="611">
        <v>44275</v>
      </c>
      <c r="C3239" s="362" t="s">
        <v>3435</v>
      </c>
      <c r="D3239" s="562"/>
      <c r="E3239" s="562"/>
      <c r="F3239" s="562"/>
      <c r="G3239" s="562">
        <f t="shared" si="116"/>
        <v>0</v>
      </c>
      <c r="H3239" s="562"/>
      <c r="I3239" s="562"/>
      <c r="J3239" s="562"/>
    </row>
    <row r="3240" spans="1:10" x14ac:dyDescent="0.25">
      <c r="A3240" s="362"/>
      <c r="B3240" s="611">
        <v>44275</v>
      </c>
      <c r="C3240" s="370" t="s">
        <v>85</v>
      </c>
      <c r="D3240" s="562">
        <v>28911200</v>
      </c>
      <c r="E3240" s="562"/>
      <c r="F3240" s="562">
        <v>28911200</v>
      </c>
      <c r="G3240" s="562">
        <f t="shared" si="116"/>
        <v>0</v>
      </c>
      <c r="H3240" s="562"/>
      <c r="I3240" s="562"/>
      <c r="J3240" s="562"/>
    </row>
    <row r="3241" spans="1:10" x14ac:dyDescent="0.25">
      <c r="A3241" s="532"/>
      <c r="B3241" s="532"/>
      <c r="C3241" s="532"/>
      <c r="D3241" s="564">
        <f>SUM(D3226:D3240)</f>
        <v>1634338684</v>
      </c>
      <c r="E3241" s="564">
        <f t="shared" ref="E3241:G3241" si="117">SUM(E3226:E3240)</f>
        <v>304358235</v>
      </c>
      <c r="F3241" s="564">
        <f t="shared" si="117"/>
        <v>1941705700</v>
      </c>
      <c r="G3241" s="564">
        <f t="shared" si="117"/>
        <v>-3008781</v>
      </c>
      <c r="H3241" s="564"/>
      <c r="I3241" s="564"/>
      <c r="J3241" s="564"/>
    </row>
    <row r="3242" spans="1:10" x14ac:dyDescent="0.25">
      <c r="A3242" s="362"/>
      <c r="B3242" s="611">
        <v>44277</v>
      </c>
      <c r="C3242" s="362" t="s">
        <v>86</v>
      </c>
      <c r="D3242" s="562">
        <v>45267100</v>
      </c>
      <c r="E3242" s="562">
        <v>131685433</v>
      </c>
      <c r="F3242" s="562">
        <v>176952500</v>
      </c>
      <c r="G3242" s="562">
        <f>D3242+E3242-F3242</f>
        <v>33</v>
      </c>
      <c r="H3242" s="562"/>
      <c r="I3242" s="562"/>
      <c r="J3242" s="562"/>
    </row>
    <row r="3243" spans="1:10" x14ac:dyDescent="0.25">
      <c r="A3243" s="362"/>
      <c r="B3243" s="611">
        <v>44277</v>
      </c>
      <c r="C3243" s="362" t="s">
        <v>87</v>
      </c>
      <c r="D3243" s="562">
        <v>97418332</v>
      </c>
      <c r="E3243" s="562">
        <v>13835221</v>
      </c>
      <c r="F3243" s="562">
        <v>111253600</v>
      </c>
      <c r="G3243" s="562">
        <f t="shared" ref="G3243:G3256" si="118">D3243+E3243-F3243</f>
        <v>-47</v>
      </c>
      <c r="H3243" s="562"/>
      <c r="I3243" s="562"/>
      <c r="J3243" s="562"/>
    </row>
    <row r="3244" spans="1:10" x14ac:dyDescent="0.25">
      <c r="A3244" s="362"/>
      <c r="B3244" s="611">
        <v>44277</v>
      </c>
      <c r="C3244" s="362" t="s">
        <v>88</v>
      </c>
      <c r="D3244" s="562">
        <v>159974336</v>
      </c>
      <c r="E3244" s="562">
        <v>18826094</v>
      </c>
      <c r="F3244" s="562">
        <v>178800500</v>
      </c>
      <c r="G3244" s="562">
        <f t="shared" si="118"/>
        <v>-70</v>
      </c>
      <c r="H3244" s="562"/>
      <c r="I3244" s="562"/>
      <c r="J3244" s="562"/>
    </row>
    <row r="3245" spans="1:10" x14ac:dyDescent="0.25">
      <c r="A3245" s="362"/>
      <c r="B3245" s="611">
        <v>44277</v>
      </c>
      <c r="C3245" s="362" t="s">
        <v>82</v>
      </c>
      <c r="D3245" s="562">
        <v>65702519</v>
      </c>
      <c r="E3245" s="562">
        <v>3489100</v>
      </c>
      <c r="F3245" s="562">
        <v>69191700</v>
      </c>
      <c r="G3245" s="562">
        <f t="shared" si="118"/>
        <v>-81</v>
      </c>
      <c r="H3245" s="562"/>
      <c r="I3245" s="562"/>
      <c r="J3245" s="562"/>
    </row>
    <row r="3246" spans="1:10" x14ac:dyDescent="0.25">
      <c r="A3246" s="362"/>
      <c r="B3246" s="611">
        <v>44277</v>
      </c>
      <c r="C3246" s="362" t="s">
        <v>80</v>
      </c>
      <c r="D3246" s="562">
        <v>219180201</v>
      </c>
      <c r="E3246" s="562"/>
      <c r="F3246" s="562">
        <v>219180200</v>
      </c>
      <c r="G3246" s="562">
        <f t="shared" si="118"/>
        <v>1</v>
      </c>
      <c r="H3246" s="562"/>
      <c r="I3246" s="562"/>
      <c r="J3246" s="562"/>
    </row>
    <row r="3247" spans="1:10" x14ac:dyDescent="0.25">
      <c r="A3247" s="362"/>
      <c r="B3247" s="611">
        <v>44277</v>
      </c>
      <c r="C3247" s="362" t="s">
        <v>83</v>
      </c>
      <c r="D3247" s="562">
        <v>195054954</v>
      </c>
      <c r="E3247" s="562">
        <v>35997746</v>
      </c>
      <c r="F3247" s="562">
        <v>231052700</v>
      </c>
      <c r="G3247" s="562">
        <f t="shared" si="118"/>
        <v>0</v>
      </c>
      <c r="H3247" s="562"/>
      <c r="I3247" s="562"/>
      <c r="J3247" s="562"/>
    </row>
    <row r="3248" spans="1:10" x14ac:dyDescent="0.25">
      <c r="A3248" s="362"/>
      <c r="B3248" s="611">
        <v>44277</v>
      </c>
      <c r="C3248" s="362" t="s">
        <v>78</v>
      </c>
      <c r="D3248" s="562">
        <v>62304219</v>
      </c>
      <c r="E3248" s="562">
        <v>1207481</v>
      </c>
      <c r="F3248" s="562">
        <v>63511700</v>
      </c>
      <c r="G3248" s="562">
        <f t="shared" si="118"/>
        <v>0</v>
      </c>
      <c r="H3248" s="562"/>
      <c r="I3248" s="562"/>
      <c r="J3248" s="562"/>
    </row>
    <row r="3249" spans="1:10" x14ac:dyDescent="0.25">
      <c r="A3249" s="362"/>
      <c r="B3249" s="611">
        <v>44277</v>
      </c>
      <c r="C3249" s="362" t="s">
        <v>141</v>
      </c>
      <c r="D3249" s="562">
        <v>30685815</v>
      </c>
      <c r="E3249" s="562">
        <v>5053534</v>
      </c>
      <c r="F3249" s="562">
        <v>35739400</v>
      </c>
      <c r="G3249" s="562">
        <f t="shared" si="118"/>
        <v>-51</v>
      </c>
      <c r="H3249" s="562"/>
      <c r="I3249" s="562"/>
      <c r="J3249" s="562"/>
    </row>
    <row r="3250" spans="1:10" x14ac:dyDescent="0.25">
      <c r="A3250" s="362"/>
      <c r="B3250" s="611">
        <v>44277</v>
      </c>
      <c r="C3250" s="362" t="s">
        <v>89</v>
      </c>
      <c r="D3250" s="562">
        <v>105771354</v>
      </c>
      <c r="E3250" s="562">
        <v>33172646</v>
      </c>
      <c r="F3250" s="562">
        <v>138944000</v>
      </c>
      <c r="G3250" s="562">
        <f t="shared" si="118"/>
        <v>0</v>
      </c>
      <c r="H3250" s="562"/>
      <c r="I3250" s="562"/>
      <c r="J3250" s="562"/>
    </row>
    <row r="3251" spans="1:10" x14ac:dyDescent="0.25">
      <c r="A3251" s="362"/>
      <c r="B3251" s="611">
        <v>44277</v>
      </c>
      <c r="C3251" s="362" t="s">
        <v>81</v>
      </c>
      <c r="D3251" s="562"/>
      <c r="E3251" s="562"/>
      <c r="F3251" s="562">
        <v>104305900</v>
      </c>
      <c r="G3251" s="562">
        <f t="shared" si="118"/>
        <v>-104305900</v>
      </c>
      <c r="H3251" s="562"/>
      <c r="I3251" s="562"/>
      <c r="J3251" s="562"/>
    </row>
    <row r="3252" spans="1:10" x14ac:dyDescent="0.25">
      <c r="A3252" s="362"/>
      <c r="B3252" s="611">
        <v>44277</v>
      </c>
      <c r="C3252" s="362" t="s">
        <v>84</v>
      </c>
      <c r="D3252" s="562"/>
      <c r="E3252" s="562"/>
      <c r="F3252" s="562">
        <v>176797200</v>
      </c>
      <c r="G3252" s="562">
        <f t="shared" si="118"/>
        <v>-176797200</v>
      </c>
      <c r="H3252" s="562"/>
      <c r="I3252" s="562"/>
      <c r="J3252" s="562"/>
    </row>
    <row r="3253" spans="1:10" x14ac:dyDescent="0.25">
      <c r="A3253" s="362"/>
      <c r="B3253" s="611">
        <v>44277</v>
      </c>
      <c r="C3253" s="362" t="s">
        <v>4751</v>
      </c>
      <c r="D3253" s="562">
        <v>167269650</v>
      </c>
      <c r="E3253" s="562">
        <v>20769850</v>
      </c>
      <c r="F3253" s="562">
        <v>188039500</v>
      </c>
      <c r="G3253" s="562">
        <f t="shared" si="118"/>
        <v>0</v>
      </c>
      <c r="H3253" s="562"/>
      <c r="I3253" s="562"/>
      <c r="J3253" s="562"/>
    </row>
    <row r="3254" spans="1:10" x14ac:dyDescent="0.25">
      <c r="A3254" s="362"/>
      <c r="B3254" s="611">
        <v>44277</v>
      </c>
      <c r="C3254" s="362" t="s">
        <v>166</v>
      </c>
      <c r="D3254" s="562">
        <v>34179569</v>
      </c>
      <c r="E3254" s="562"/>
      <c r="F3254" s="562">
        <v>34179500</v>
      </c>
      <c r="G3254" s="562">
        <f t="shared" si="118"/>
        <v>69</v>
      </c>
      <c r="H3254" s="562"/>
      <c r="I3254" s="562"/>
      <c r="J3254" s="562"/>
    </row>
    <row r="3255" spans="1:10" x14ac:dyDescent="0.25">
      <c r="A3255" s="362"/>
      <c r="B3255" s="611">
        <v>44277</v>
      </c>
      <c r="C3255" s="362" t="s">
        <v>3435</v>
      </c>
      <c r="D3255" s="562">
        <v>25577594</v>
      </c>
      <c r="E3255" s="562"/>
      <c r="F3255" s="562"/>
      <c r="G3255" s="562">
        <f t="shared" si="118"/>
        <v>25577594</v>
      </c>
      <c r="H3255" s="562"/>
      <c r="I3255" s="562"/>
      <c r="J3255" s="562"/>
    </row>
    <row r="3256" spans="1:10" x14ac:dyDescent="0.25">
      <c r="A3256" s="362"/>
      <c r="B3256" s="611">
        <v>44277</v>
      </c>
      <c r="C3256" s="370" t="s">
        <v>85</v>
      </c>
      <c r="D3256" s="562">
        <v>44427300</v>
      </c>
      <c r="E3256" s="562"/>
      <c r="F3256" s="562">
        <v>44427300</v>
      </c>
      <c r="G3256" s="562">
        <f t="shared" si="118"/>
        <v>0</v>
      </c>
      <c r="H3256" s="562"/>
      <c r="I3256" s="562"/>
      <c r="J3256" s="562"/>
    </row>
    <row r="3257" spans="1:10" x14ac:dyDescent="0.25">
      <c r="A3257" s="532"/>
      <c r="B3257" s="532"/>
      <c r="C3257" s="532"/>
      <c r="D3257" s="564">
        <f>SUM(D3242:D3256)</f>
        <v>1252812943</v>
      </c>
      <c r="E3257" s="564">
        <f t="shared" ref="E3257:G3257" si="119">SUM(E3242:E3256)</f>
        <v>264037105</v>
      </c>
      <c r="F3257" s="564">
        <f t="shared" si="119"/>
        <v>1772375700</v>
      </c>
      <c r="G3257" s="564">
        <f t="shared" si="119"/>
        <v>-255525652</v>
      </c>
      <c r="H3257" s="564"/>
      <c r="I3257" s="564"/>
      <c r="J3257" s="564"/>
    </row>
    <row r="3258" spans="1:10" x14ac:dyDescent="0.25">
      <c r="A3258" s="362"/>
      <c r="B3258" s="611">
        <v>44278</v>
      </c>
      <c r="C3258" s="362" t="s">
        <v>86</v>
      </c>
      <c r="D3258" s="562">
        <v>81303423</v>
      </c>
      <c r="E3258" s="562">
        <v>15066983</v>
      </c>
      <c r="F3258" s="562">
        <v>96370500</v>
      </c>
      <c r="G3258" s="562">
        <f>D3258+E3258-F3258</f>
        <v>-94</v>
      </c>
      <c r="H3258" s="562"/>
      <c r="I3258" s="562"/>
      <c r="J3258" s="562"/>
    </row>
    <row r="3259" spans="1:10" x14ac:dyDescent="0.25">
      <c r="A3259" s="362"/>
      <c r="B3259" s="611">
        <v>44278</v>
      </c>
      <c r="C3259" s="362" t="s">
        <v>87</v>
      </c>
      <c r="D3259" s="562">
        <v>91627003</v>
      </c>
      <c r="E3259" s="562">
        <v>67708415</v>
      </c>
      <c r="F3259" s="562">
        <v>159335600</v>
      </c>
      <c r="G3259" s="562">
        <f t="shared" ref="G3259:G3272" si="120">D3259+E3259-F3259</f>
        <v>-182</v>
      </c>
      <c r="H3259" s="562"/>
      <c r="I3259" s="562"/>
      <c r="J3259" s="562"/>
    </row>
    <row r="3260" spans="1:10" x14ac:dyDescent="0.25">
      <c r="A3260" s="362"/>
      <c r="B3260" s="611">
        <v>44278</v>
      </c>
      <c r="C3260" s="362" t="s">
        <v>88</v>
      </c>
      <c r="D3260" s="562">
        <v>152910759</v>
      </c>
      <c r="E3260" s="562">
        <v>105583052</v>
      </c>
      <c r="F3260" s="562">
        <v>258494600</v>
      </c>
      <c r="G3260" s="562">
        <f t="shared" si="120"/>
        <v>-789</v>
      </c>
      <c r="H3260" s="562"/>
      <c r="I3260" s="562"/>
      <c r="J3260" s="562"/>
    </row>
    <row r="3261" spans="1:10" x14ac:dyDescent="0.25">
      <c r="A3261" s="362"/>
      <c r="B3261" s="611">
        <v>44278</v>
      </c>
      <c r="C3261" s="362" t="s">
        <v>82</v>
      </c>
      <c r="D3261" s="562">
        <v>45477065</v>
      </c>
      <c r="E3261" s="562">
        <v>2175185</v>
      </c>
      <c r="F3261" s="562">
        <v>47652300</v>
      </c>
      <c r="G3261" s="562">
        <f t="shared" si="120"/>
        <v>-50</v>
      </c>
      <c r="H3261" s="562"/>
      <c r="I3261" s="562"/>
      <c r="J3261" s="562"/>
    </row>
    <row r="3262" spans="1:10" x14ac:dyDescent="0.25">
      <c r="A3262" s="362"/>
      <c r="B3262" s="611">
        <v>44278</v>
      </c>
      <c r="C3262" s="362" t="s">
        <v>80</v>
      </c>
      <c r="D3262" s="562">
        <v>255026600</v>
      </c>
      <c r="E3262" s="562"/>
      <c r="F3262" s="562">
        <v>255026600</v>
      </c>
      <c r="G3262" s="562">
        <f t="shared" si="120"/>
        <v>0</v>
      </c>
      <c r="H3262" s="562"/>
      <c r="I3262" s="562"/>
      <c r="J3262" s="562"/>
    </row>
    <row r="3263" spans="1:10" x14ac:dyDescent="0.25">
      <c r="A3263" s="362"/>
      <c r="B3263" s="611">
        <v>44278</v>
      </c>
      <c r="C3263" s="362" t="s">
        <v>83</v>
      </c>
      <c r="D3263" s="562">
        <v>322012008</v>
      </c>
      <c r="E3263" s="562">
        <v>46003892</v>
      </c>
      <c r="F3263" s="562">
        <v>368015900</v>
      </c>
      <c r="G3263" s="562">
        <f t="shared" si="120"/>
        <v>0</v>
      </c>
      <c r="H3263" s="562"/>
      <c r="I3263" s="562"/>
      <c r="J3263" s="562"/>
    </row>
    <row r="3264" spans="1:10" x14ac:dyDescent="0.25">
      <c r="A3264" s="362"/>
      <c r="B3264" s="611">
        <v>44278</v>
      </c>
      <c r="C3264" s="362" t="s">
        <v>78</v>
      </c>
      <c r="D3264" s="562">
        <v>159126778</v>
      </c>
      <c r="E3264" s="562">
        <v>3927822</v>
      </c>
      <c r="F3264" s="562">
        <v>163054600</v>
      </c>
      <c r="G3264" s="562">
        <f t="shared" si="120"/>
        <v>0</v>
      </c>
      <c r="H3264" s="562"/>
      <c r="I3264" s="562"/>
      <c r="J3264" s="562"/>
    </row>
    <row r="3265" spans="1:10" x14ac:dyDescent="0.25">
      <c r="A3265" s="362"/>
      <c r="B3265" s="611">
        <v>44278</v>
      </c>
      <c r="C3265" s="362" t="s">
        <v>141</v>
      </c>
      <c r="D3265" s="562">
        <v>63443344</v>
      </c>
      <c r="E3265" s="562">
        <v>6031500</v>
      </c>
      <c r="F3265" s="562">
        <v>69474900</v>
      </c>
      <c r="G3265" s="562">
        <f t="shared" si="120"/>
        <v>-56</v>
      </c>
      <c r="H3265" s="562"/>
      <c r="I3265" s="562"/>
      <c r="J3265" s="562"/>
    </row>
    <row r="3266" spans="1:10" x14ac:dyDescent="0.25">
      <c r="A3266" s="362"/>
      <c r="B3266" s="611">
        <v>44278</v>
      </c>
      <c r="C3266" s="362" t="s">
        <v>89</v>
      </c>
      <c r="D3266" s="562">
        <v>159805705</v>
      </c>
      <c r="E3266" s="562">
        <v>58488895</v>
      </c>
      <c r="F3266" s="562">
        <v>218294600</v>
      </c>
      <c r="G3266" s="562">
        <f t="shared" si="120"/>
        <v>0</v>
      </c>
      <c r="H3266" s="562"/>
      <c r="I3266" s="562"/>
      <c r="J3266" s="562"/>
    </row>
    <row r="3267" spans="1:10" x14ac:dyDescent="0.25">
      <c r="A3267" s="362"/>
      <c r="B3267" s="611">
        <v>44278</v>
      </c>
      <c r="C3267" s="362" t="s">
        <v>81</v>
      </c>
      <c r="D3267" s="562">
        <v>76320893</v>
      </c>
      <c r="E3267" s="562">
        <v>10986062</v>
      </c>
      <c r="F3267" s="562">
        <v>87307000</v>
      </c>
      <c r="G3267" s="562">
        <f t="shared" si="120"/>
        <v>-45</v>
      </c>
      <c r="H3267" s="562"/>
      <c r="I3267" s="562"/>
      <c r="J3267" s="562"/>
    </row>
    <row r="3268" spans="1:10" x14ac:dyDescent="0.25">
      <c r="A3268" s="362"/>
      <c r="B3268" s="611">
        <v>44278</v>
      </c>
      <c r="C3268" s="362" t="s">
        <v>84</v>
      </c>
      <c r="D3268" s="562">
        <v>188479071</v>
      </c>
      <c r="E3268" s="562">
        <v>10663019</v>
      </c>
      <c r="F3268" s="562">
        <v>199142100</v>
      </c>
      <c r="G3268" s="562">
        <f t="shared" si="120"/>
        <v>-10</v>
      </c>
      <c r="H3268" s="562"/>
      <c r="I3268" s="562"/>
      <c r="J3268" s="562"/>
    </row>
    <row r="3269" spans="1:10" x14ac:dyDescent="0.25">
      <c r="A3269" s="362"/>
      <c r="B3269" s="611">
        <v>44278</v>
      </c>
      <c r="C3269" s="362" t="s">
        <v>4751</v>
      </c>
      <c r="D3269" s="562">
        <v>196808567</v>
      </c>
      <c r="E3269" s="562">
        <v>14502433</v>
      </c>
      <c r="F3269" s="562">
        <v>211311000</v>
      </c>
      <c r="G3269" s="562">
        <f t="shared" si="120"/>
        <v>0</v>
      </c>
      <c r="H3269" s="562"/>
      <c r="I3269" s="562"/>
      <c r="J3269" s="562"/>
    </row>
    <row r="3270" spans="1:10" x14ac:dyDescent="0.25">
      <c r="A3270" s="362"/>
      <c r="B3270" s="611">
        <v>44278</v>
      </c>
      <c r="C3270" s="362" t="s">
        <v>166</v>
      </c>
      <c r="D3270" s="562">
        <v>59029782</v>
      </c>
      <c r="E3270" s="562"/>
      <c r="F3270" s="562">
        <v>59029900</v>
      </c>
      <c r="G3270" s="562">
        <f t="shared" si="120"/>
        <v>-118</v>
      </c>
      <c r="H3270" s="562"/>
      <c r="I3270" s="562"/>
      <c r="J3270" s="562"/>
    </row>
    <row r="3271" spans="1:10" x14ac:dyDescent="0.25">
      <c r="A3271" s="362"/>
      <c r="B3271" s="611">
        <v>44278</v>
      </c>
      <c r="C3271" s="362" t="s">
        <v>3435</v>
      </c>
      <c r="D3271" s="562">
        <v>29298084</v>
      </c>
      <c r="E3271" s="562"/>
      <c r="F3271" s="562">
        <v>29298100</v>
      </c>
      <c r="G3271" s="562">
        <f t="shared" si="120"/>
        <v>-16</v>
      </c>
      <c r="H3271" s="562"/>
      <c r="I3271" s="562"/>
      <c r="J3271" s="562"/>
    </row>
    <row r="3272" spans="1:10" x14ac:dyDescent="0.25">
      <c r="A3272" s="362"/>
      <c r="B3272" s="611">
        <v>44278</v>
      </c>
      <c r="C3272" s="370" t="s">
        <v>85</v>
      </c>
      <c r="D3272" s="562">
        <v>34990200</v>
      </c>
      <c r="E3272" s="562"/>
      <c r="F3272" s="562">
        <v>34990200</v>
      </c>
      <c r="G3272" s="562">
        <f t="shared" si="120"/>
        <v>0</v>
      </c>
      <c r="H3272" s="562"/>
      <c r="I3272" s="562"/>
      <c r="J3272" s="562"/>
    </row>
    <row r="3273" spans="1:10" x14ac:dyDescent="0.25">
      <c r="A3273" s="532"/>
      <c r="B3273" s="532"/>
      <c r="C3273" s="532"/>
      <c r="D3273" s="564">
        <f>SUM(D3258:D3272)</f>
        <v>1915659282</v>
      </c>
      <c r="E3273" s="564">
        <f t="shared" ref="E3273:G3273" si="121">SUM(E3258:E3272)</f>
        <v>341137258</v>
      </c>
      <c r="F3273" s="564">
        <f t="shared" si="121"/>
        <v>2256797900</v>
      </c>
      <c r="G3273" s="564">
        <f t="shared" si="121"/>
        <v>-1360</v>
      </c>
      <c r="H3273" s="564"/>
      <c r="I3273" s="564"/>
      <c r="J3273" s="564"/>
    </row>
    <row r="3274" spans="1:10" x14ac:dyDescent="0.25">
      <c r="A3274" s="362"/>
      <c r="B3274" s="611">
        <v>44279</v>
      </c>
      <c r="C3274" s="362" t="s">
        <v>86</v>
      </c>
      <c r="D3274" s="562">
        <v>67400393</v>
      </c>
      <c r="E3274" s="562">
        <v>65704325</v>
      </c>
      <c r="F3274" s="562">
        <v>133104800</v>
      </c>
      <c r="G3274" s="562">
        <f>D3274+E3274-F3274</f>
        <v>-82</v>
      </c>
      <c r="H3274" s="562"/>
      <c r="I3274" s="562"/>
      <c r="J3274" s="562"/>
    </row>
    <row r="3275" spans="1:10" x14ac:dyDescent="0.25">
      <c r="A3275" s="362"/>
      <c r="B3275" s="611">
        <v>44279</v>
      </c>
      <c r="C3275" s="362" t="s">
        <v>87</v>
      </c>
      <c r="D3275" s="562">
        <v>131063566</v>
      </c>
      <c r="E3275" s="562">
        <v>110577258</v>
      </c>
      <c r="F3275" s="562">
        <v>241640400</v>
      </c>
      <c r="G3275" s="562">
        <f t="shared" ref="G3275:G3288" si="122">D3275+E3275-F3275</f>
        <v>424</v>
      </c>
      <c r="H3275" s="562"/>
      <c r="I3275" s="562"/>
      <c r="J3275" s="562"/>
    </row>
    <row r="3276" spans="1:10" x14ac:dyDescent="0.25">
      <c r="A3276" s="362"/>
      <c r="B3276" s="611">
        <v>44279</v>
      </c>
      <c r="C3276" s="362" t="s">
        <v>88</v>
      </c>
      <c r="D3276" s="562">
        <v>203222104</v>
      </c>
      <c r="E3276" s="562">
        <v>128006397</v>
      </c>
      <c r="F3276" s="562">
        <v>331228500</v>
      </c>
      <c r="G3276" s="562">
        <f t="shared" si="122"/>
        <v>1</v>
      </c>
      <c r="H3276" s="562"/>
      <c r="I3276" s="562"/>
      <c r="J3276" s="562"/>
    </row>
    <row r="3277" spans="1:10" x14ac:dyDescent="0.25">
      <c r="A3277" s="362"/>
      <c r="B3277" s="611">
        <v>44279</v>
      </c>
      <c r="C3277" s="362" t="s">
        <v>82</v>
      </c>
      <c r="D3277" s="562">
        <v>100259877</v>
      </c>
      <c r="E3277" s="562">
        <v>1251500</v>
      </c>
      <c r="F3277" s="562">
        <v>101511400</v>
      </c>
      <c r="G3277" s="562">
        <f t="shared" si="122"/>
        <v>-23</v>
      </c>
      <c r="H3277" s="562"/>
      <c r="I3277" s="562"/>
      <c r="J3277" s="562"/>
    </row>
    <row r="3278" spans="1:10" x14ac:dyDescent="0.25">
      <c r="A3278" s="362"/>
      <c r="B3278" s="611">
        <v>44279</v>
      </c>
      <c r="C3278" s="362" t="s">
        <v>80</v>
      </c>
      <c r="D3278" s="562">
        <v>232552021</v>
      </c>
      <c r="E3278" s="562"/>
      <c r="F3278" s="562">
        <v>232552100</v>
      </c>
      <c r="G3278" s="562">
        <f t="shared" si="122"/>
        <v>-79</v>
      </c>
      <c r="H3278" s="562"/>
      <c r="I3278" s="562"/>
      <c r="J3278" s="562"/>
    </row>
    <row r="3279" spans="1:10" x14ac:dyDescent="0.25">
      <c r="A3279" s="362"/>
      <c r="B3279" s="611">
        <v>44279</v>
      </c>
      <c r="C3279" s="362" t="s">
        <v>83</v>
      </c>
      <c r="D3279" s="562">
        <v>172845467</v>
      </c>
      <c r="E3279" s="562">
        <v>109272957</v>
      </c>
      <c r="F3279" s="562">
        <v>282118600</v>
      </c>
      <c r="G3279" s="562">
        <f t="shared" si="122"/>
        <v>-176</v>
      </c>
      <c r="H3279" s="562"/>
      <c r="I3279" s="562"/>
      <c r="J3279" s="562"/>
    </row>
    <row r="3280" spans="1:10" x14ac:dyDescent="0.25">
      <c r="A3280" s="362"/>
      <c r="B3280" s="611">
        <v>44279</v>
      </c>
      <c r="C3280" s="362" t="s">
        <v>78</v>
      </c>
      <c r="D3280" s="562">
        <v>168367174</v>
      </c>
      <c r="E3280" s="562">
        <v>8719626</v>
      </c>
      <c r="F3280" s="562">
        <v>177086800</v>
      </c>
      <c r="G3280" s="562">
        <f t="shared" si="122"/>
        <v>0</v>
      </c>
      <c r="H3280" s="562"/>
      <c r="I3280" s="562"/>
      <c r="J3280" s="562"/>
    </row>
    <row r="3281" spans="1:10" x14ac:dyDescent="0.25">
      <c r="A3281" s="362"/>
      <c r="B3281" s="611">
        <v>44279</v>
      </c>
      <c r="C3281" s="362" t="s">
        <v>141</v>
      </c>
      <c r="D3281" s="562">
        <v>82455318</v>
      </c>
      <c r="E3281" s="562">
        <v>233342</v>
      </c>
      <c r="F3281" s="562">
        <v>82688700</v>
      </c>
      <c r="G3281" s="562">
        <f t="shared" si="122"/>
        <v>-40</v>
      </c>
      <c r="H3281" s="562"/>
      <c r="I3281" s="562"/>
      <c r="J3281" s="562"/>
    </row>
    <row r="3282" spans="1:10" x14ac:dyDescent="0.25">
      <c r="A3282" s="362"/>
      <c r="B3282" s="611">
        <v>44279</v>
      </c>
      <c r="C3282" s="362" t="s">
        <v>89</v>
      </c>
      <c r="D3282" s="562">
        <v>122132589</v>
      </c>
      <c r="E3282" s="562">
        <v>29642911</v>
      </c>
      <c r="F3282" s="562">
        <v>151775500</v>
      </c>
      <c r="G3282" s="562">
        <f t="shared" si="122"/>
        <v>0</v>
      </c>
      <c r="H3282" s="562"/>
      <c r="I3282" s="562"/>
      <c r="J3282" s="562"/>
    </row>
    <row r="3283" spans="1:10" x14ac:dyDescent="0.25">
      <c r="A3283" s="362"/>
      <c r="B3283" s="611">
        <v>44279</v>
      </c>
      <c r="C3283" s="362" t="s">
        <v>81</v>
      </c>
      <c r="D3283" s="562">
        <v>97025422</v>
      </c>
      <c r="E3283" s="562">
        <v>43386300</v>
      </c>
      <c r="F3283" s="562">
        <v>140411800</v>
      </c>
      <c r="G3283" s="562">
        <f t="shared" si="122"/>
        <v>-78</v>
      </c>
      <c r="H3283" s="562"/>
      <c r="I3283" s="562"/>
      <c r="J3283" s="562"/>
    </row>
    <row r="3284" spans="1:10" x14ac:dyDescent="0.25">
      <c r="A3284" s="362"/>
      <c r="B3284" s="611">
        <v>44279</v>
      </c>
      <c r="C3284" s="362" t="s">
        <v>84</v>
      </c>
      <c r="D3284" s="562">
        <v>235352644</v>
      </c>
      <c r="E3284" s="562">
        <v>6883288</v>
      </c>
      <c r="F3284" s="562">
        <v>242235500</v>
      </c>
      <c r="G3284" s="562">
        <f t="shared" si="122"/>
        <v>432</v>
      </c>
      <c r="H3284" s="562"/>
      <c r="I3284" s="562"/>
      <c r="J3284" s="562"/>
    </row>
    <row r="3285" spans="1:10" x14ac:dyDescent="0.25">
      <c r="A3285" s="362"/>
      <c r="B3285" s="611">
        <v>44279</v>
      </c>
      <c r="C3285" s="362" t="s">
        <v>4751</v>
      </c>
      <c r="D3285" s="562">
        <v>190803451</v>
      </c>
      <c r="E3285" s="562">
        <v>6357549</v>
      </c>
      <c r="F3285" s="562">
        <v>197161000</v>
      </c>
      <c r="G3285" s="562">
        <f t="shared" si="122"/>
        <v>0</v>
      </c>
      <c r="H3285" s="562"/>
      <c r="I3285" s="562"/>
      <c r="J3285" s="562"/>
    </row>
    <row r="3286" spans="1:10" x14ac:dyDescent="0.25">
      <c r="A3286" s="362"/>
      <c r="B3286" s="611">
        <v>44279</v>
      </c>
      <c r="C3286" s="362" t="s">
        <v>166</v>
      </c>
      <c r="D3286" s="562">
        <v>39391989</v>
      </c>
      <c r="E3286" s="562"/>
      <c r="F3286" s="562">
        <v>39392000</v>
      </c>
      <c r="G3286" s="562">
        <f t="shared" si="122"/>
        <v>-11</v>
      </c>
      <c r="H3286" s="562"/>
      <c r="I3286" s="562"/>
      <c r="J3286" s="562"/>
    </row>
    <row r="3287" spans="1:10" x14ac:dyDescent="0.25">
      <c r="A3287" s="362"/>
      <c r="B3287" s="611">
        <v>44279</v>
      </c>
      <c r="C3287" s="362" t="s">
        <v>3435</v>
      </c>
      <c r="D3287" s="562">
        <v>61667236</v>
      </c>
      <c r="E3287" s="562"/>
      <c r="F3287" s="562">
        <v>61667300</v>
      </c>
      <c r="G3287" s="562">
        <f t="shared" si="122"/>
        <v>-64</v>
      </c>
      <c r="H3287" s="562"/>
      <c r="I3287" s="562"/>
      <c r="J3287" s="562"/>
    </row>
    <row r="3288" spans="1:10" x14ac:dyDescent="0.25">
      <c r="A3288" s="362"/>
      <c r="B3288" s="611">
        <v>44279</v>
      </c>
      <c r="C3288" s="370" t="s">
        <v>85</v>
      </c>
      <c r="D3288" s="562">
        <v>39572000</v>
      </c>
      <c r="E3288" s="562"/>
      <c r="F3288" s="562">
        <v>39572000</v>
      </c>
      <c r="G3288" s="562">
        <f t="shared" si="122"/>
        <v>0</v>
      </c>
      <c r="H3288" s="562"/>
      <c r="I3288" s="562"/>
      <c r="J3288" s="562"/>
    </row>
    <row r="3289" spans="1:10" x14ac:dyDescent="0.25">
      <c r="A3289" s="532"/>
      <c r="B3289" s="532"/>
      <c r="C3289" s="532"/>
      <c r="D3289" s="564">
        <f>SUM(D3274:D3288)</f>
        <v>1944111251</v>
      </c>
      <c r="E3289" s="564">
        <f t="shared" ref="E3289:G3289" si="123">SUM(E3274:E3288)</f>
        <v>510035453</v>
      </c>
      <c r="F3289" s="564">
        <f t="shared" si="123"/>
        <v>2454146400</v>
      </c>
      <c r="G3289" s="564">
        <f t="shared" si="123"/>
        <v>304</v>
      </c>
      <c r="H3289" s="564"/>
      <c r="I3289" s="564"/>
      <c r="J3289" s="564"/>
    </row>
    <row r="3290" spans="1:10" x14ac:dyDescent="0.25">
      <c r="A3290" s="362"/>
      <c r="B3290" s="611">
        <v>44280</v>
      </c>
      <c r="C3290" s="362" t="s">
        <v>86</v>
      </c>
      <c r="D3290" s="562">
        <v>101067925</v>
      </c>
      <c r="E3290" s="562">
        <v>51714031</v>
      </c>
      <c r="F3290" s="562">
        <v>152782000</v>
      </c>
      <c r="G3290" s="562">
        <f>D3290+E3290-F3290</f>
        <v>-44</v>
      </c>
      <c r="H3290" s="562"/>
      <c r="I3290" s="562"/>
      <c r="J3290" s="562"/>
    </row>
    <row r="3291" spans="1:10" x14ac:dyDescent="0.25">
      <c r="A3291" s="362"/>
      <c r="B3291" s="611">
        <v>44280</v>
      </c>
      <c r="C3291" s="362" t="s">
        <v>87</v>
      </c>
      <c r="D3291" s="562">
        <v>80528562</v>
      </c>
      <c r="E3291" s="562">
        <v>27076830</v>
      </c>
      <c r="F3291" s="562">
        <v>107605500</v>
      </c>
      <c r="G3291" s="562">
        <f t="shared" ref="G3291:G3304" si="124">D3291+E3291-F3291</f>
        <v>-108</v>
      </c>
      <c r="H3291" s="562"/>
      <c r="I3291" s="562"/>
      <c r="J3291" s="562"/>
    </row>
    <row r="3292" spans="1:10" x14ac:dyDescent="0.25">
      <c r="A3292" s="362"/>
      <c r="B3292" s="611">
        <v>44280</v>
      </c>
      <c r="C3292" s="362" t="s">
        <v>88</v>
      </c>
      <c r="D3292" s="562">
        <v>246358444</v>
      </c>
      <c r="E3292" s="562">
        <v>14516510</v>
      </c>
      <c r="F3292" s="562">
        <v>260875000</v>
      </c>
      <c r="G3292" s="562">
        <f t="shared" si="124"/>
        <v>-46</v>
      </c>
      <c r="H3292" s="562"/>
      <c r="I3292" s="562"/>
      <c r="J3292" s="562"/>
    </row>
    <row r="3293" spans="1:10" x14ac:dyDescent="0.25">
      <c r="A3293" s="362"/>
      <c r="B3293" s="611">
        <v>44280</v>
      </c>
      <c r="C3293" s="362" t="s">
        <v>82</v>
      </c>
      <c r="D3293" s="562">
        <v>214458901</v>
      </c>
      <c r="E3293" s="562">
        <v>4244800</v>
      </c>
      <c r="F3293" s="562">
        <v>218703800</v>
      </c>
      <c r="G3293" s="562">
        <f t="shared" si="124"/>
        <v>-99</v>
      </c>
      <c r="H3293" s="562"/>
      <c r="I3293" s="562"/>
      <c r="J3293" s="562"/>
    </row>
    <row r="3294" spans="1:10" x14ac:dyDescent="0.25">
      <c r="A3294" s="362"/>
      <c r="B3294" s="611">
        <v>44280</v>
      </c>
      <c r="C3294" s="362" t="s">
        <v>80</v>
      </c>
      <c r="D3294" s="562">
        <v>204745917</v>
      </c>
      <c r="E3294" s="562"/>
      <c r="F3294" s="562">
        <v>204745900</v>
      </c>
      <c r="G3294" s="562">
        <f t="shared" si="124"/>
        <v>17</v>
      </c>
      <c r="H3294" s="562"/>
      <c r="I3294" s="562"/>
      <c r="J3294" s="562"/>
    </row>
    <row r="3295" spans="1:10" x14ac:dyDescent="0.25">
      <c r="A3295" s="362"/>
      <c r="B3295" s="611">
        <v>44280</v>
      </c>
      <c r="C3295" s="362" t="s">
        <v>83</v>
      </c>
      <c r="D3295" s="562">
        <v>143408579</v>
      </c>
      <c r="E3295" s="562">
        <v>105565616</v>
      </c>
      <c r="F3295" s="562">
        <v>248974200</v>
      </c>
      <c r="G3295" s="562">
        <f t="shared" si="124"/>
        <v>-5</v>
      </c>
      <c r="H3295" s="562"/>
      <c r="I3295" s="562"/>
      <c r="J3295" s="562"/>
    </row>
    <row r="3296" spans="1:10" x14ac:dyDescent="0.25">
      <c r="A3296" s="362"/>
      <c r="B3296" s="611">
        <v>44280</v>
      </c>
      <c r="C3296" s="362" t="s">
        <v>78</v>
      </c>
      <c r="D3296" s="562">
        <v>85573851</v>
      </c>
      <c r="E3296" s="562">
        <v>8384949</v>
      </c>
      <c r="F3296" s="562">
        <v>93958800</v>
      </c>
      <c r="G3296" s="562">
        <f t="shared" si="124"/>
        <v>0</v>
      </c>
      <c r="H3296" s="562"/>
      <c r="I3296" s="562"/>
      <c r="J3296" s="562"/>
    </row>
    <row r="3297" spans="1:10" x14ac:dyDescent="0.25">
      <c r="A3297" s="362"/>
      <c r="B3297" s="611">
        <v>44280</v>
      </c>
      <c r="C3297" s="362" t="s">
        <v>141</v>
      </c>
      <c r="D3297" s="562">
        <v>86011655</v>
      </c>
      <c r="E3297" s="562">
        <v>4747893</v>
      </c>
      <c r="F3297" s="562">
        <v>90759800</v>
      </c>
      <c r="G3297" s="562">
        <f t="shared" si="124"/>
        <v>-252</v>
      </c>
      <c r="H3297" s="562"/>
      <c r="I3297" s="562"/>
      <c r="J3297" s="562"/>
    </row>
    <row r="3298" spans="1:10" x14ac:dyDescent="0.25">
      <c r="A3298" s="362"/>
      <c r="B3298" s="611">
        <v>44280</v>
      </c>
      <c r="C3298" s="362" t="s">
        <v>89</v>
      </c>
      <c r="D3298" s="562">
        <v>148839353</v>
      </c>
      <c r="E3298" s="562">
        <v>10022247</v>
      </c>
      <c r="F3298" s="562">
        <v>158861600</v>
      </c>
      <c r="G3298" s="562">
        <f t="shared" si="124"/>
        <v>0</v>
      </c>
      <c r="H3298" s="562"/>
      <c r="I3298" s="562"/>
      <c r="J3298" s="562"/>
    </row>
    <row r="3299" spans="1:10" x14ac:dyDescent="0.25">
      <c r="A3299" s="362"/>
      <c r="B3299" s="611">
        <v>44280</v>
      </c>
      <c r="C3299" s="362" t="s">
        <v>81</v>
      </c>
      <c r="D3299" s="562">
        <v>57531676</v>
      </c>
      <c r="E3299" s="562">
        <v>11523671</v>
      </c>
      <c r="F3299" s="562">
        <v>69055400</v>
      </c>
      <c r="G3299" s="562">
        <f t="shared" si="124"/>
        <v>-53</v>
      </c>
      <c r="H3299" s="562"/>
      <c r="I3299" s="562"/>
      <c r="J3299" s="562"/>
    </row>
    <row r="3300" spans="1:10" x14ac:dyDescent="0.25">
      <c r="A3300" s="362"/>
      <c r="B3300" s="611">
        <v>44280</v>
      </c>
      <c r="C3300" s="362" t="s">
        <v>84</v>
      </c>
      <c r="D3300" s="562">
        <v>235419066</v>
      </c>
      <c r="E3300" s="562">
        <v>11451916</v>
      </c>
      <c r="F3300" s="562">
        <v>246871000</v>
      </c>
      <c r="G3300" s="562">
        <f t="shared" si="124"/>
        <v>-18</v>
      </c>
      <c r="H3300" s="562"/>
      <c r="I3300" s="562"/>
      <c r="J3300" s="562"/>
    </row>
    <row r="3301" spans="1:10" x14ac:dyDescent="0.25">
      <c r="A3301" s="362"/>
      <c r="B3301" s="611">
        <v>44280</v>
      </c>
      <c r="C3301" s="362" t="s">
        <v>4751</v>
      </c>
      <c r="D3301" s="562">
        <v>268047364</v>
      </c>
      <c r="E3301" s="562">
        <v>14423436</v>
      </c>
      <c r="F3301" s="562">
        <v>282470600</v>
      </c>
      <c r="G3301" s="562">
        <f t="shared" si="124"/>
        <v>200</v>
      </c>
      <c r="H3301" s="562"/>
      <c r="I3301" s="562"/>
      <c r="J3301" s="562"/>
    </row>
    <row r="3302" spans="1:10" x14ac:dyDescent="0.25">
      <c r="A3302" s="362"/>
      <c r="B3302" s="611">
        <v>44280</v>
      </c>
      <c r="C3302" s="362" t="s">
        <v>166</v>
      </c>
      <c r="D3302" s="562">
        <v>81258944</v>
      </c>
      <c r="E3302" s="562"/>
      <c r="F3302" s="562">
        <v>81259000</v>
      </c>
      <c r="G3302" s="562">
        <f t="shared" si="124"/>
        <v>-56</v>
      </c>
      <c r="H3302" s="562"/>
      <c r="I3302" s="562"/>
      <c r="J3302" s="562"/>
    </row>
    <row r="3303" spans="1:10" x14ac:dyDescent="0.25">
      <c r="A3303" s="362"/>
      <c r="B3303" s="611">
        <v>44280</v>
      </c>
      <c r="C3303" s="362" t="s">
        <v>3435</v>
      </c>
      <c r="D3303" s="562">
        <v>190903100</v>
      </c>
      <c r="E3303" s="562"/>
      <c r="F3303" s="562">
        <v>190903100</v>
      </c>
      <c r="G3303" s="562">
        <f t="shared" si="124"/>
        <v>0</v>
      </c>
      <c r="H3303" s="562"/>
      <c r="I3303" s="562"/>
      <c r="J3303" s="562"/>
    </row>
    <row r="3304" spans="1:10" x14ac:dyDescent="0.25">
      <c r="A3304" s="362"/>
      <c r="B3304" s="611">
        <v>44280</v>
      </c>
      <c r="C3304" s="370" t="s">
        <v>85</v>
      </c>
      <c r="D3304" s="562">
        <v>22543900</v>
      </c>
      <c r="E3304" s="562"/>
      <c r="F3304" s="562">
        <v>22543900</v>
      </c>
      <c r="G3304" s="562">
        <f t="shared" si="124"/>
        <v>0</v>
      </c>
      <c r="H3304" s="562"/>
      <c r="I3304" s="562"/>
      <c r="J3304" s="562"/>
    </row>
    <row r="3305" spans="1:10" x14ac:dyDescent="0.25">
      <c r="A3305" s="532"/>
      <c r="B3305" s="532"/>
      <c r="C3305" s="532"/>
      <c r="D3305" s="564">
        <f>SUM(D3290:D3304)</f>
        <v>2166697237</v>
      </c>
      <c r="E3305" s="564">
        <f t="shared" ref="E3305:G3305" si="125">SUM(E3290:E3304)</f>
        <v>263671899</v>
      </c>
      <c r="F3305" s="564">
        <f t="shared" si="125"/>
        <v>2430369600</v>
      </c>
      <c r="G3305" s="564">
        <f t="shared" si="125"/>
        <v>-464</v>
      </c>
      <c r="H3305" s="564"/>
      <c r="I3305" s="564"/>
      <c r="J3305" s="564"/>
    </row>
    <row r="3306" spans="1:10" x14ac:dyDescent="0.25">
      <c r="A3306" s="362"/>
      <c r="B3306" s="611">
        <v>44281</v>
      </c>
      <c r="C3306" s="362" t="s">
        <v>86</v>
      </c>
      <c r="D3306" s="562">
        <v>35606243</v>
      </c>
      <c r="E3306" s="562">
        <v>12915743</v>
      </c>
      <c r="F3306" s="562">
        <v>48522000</v>
      </c>
      <c r="G3306" s="562">
        <f>D3306+E3306-F3306</f>
        <v>-14</v>
      </c>
      <c r="H3306" s="562"/>
      <c r="I3306" s="562"/>
      <c r="J3306" s="562"/>
    </row>
    <row r="3307" spans="1:10" x14ac:dyDescent="0.25">
      <c r="A3307" s="362"/>
      <c r="B3307" s="611">
        <v>44281</v>
      </c>
      <c r="C3307" s="362" t="s">
        <v>87</v>
      </c>
      <c r="D3307" s="562">
        <v>78201115</v>
      </c>
      <c r="E3307" s="562">
        <v>34197605</v>
      </c>
      <c r="F3307" s="562">
        <v>112398700</v>
      </c>
      <c r="G3307" s="562">
        <f t="shared" ref="G3307:G3320" si="126">D3307+E3307-F3307</f>
        <v>20</v>
      </c>
      <c r="H3307" s="562"/>
      <c r="I3307" s="562"/>
      <c r="J3307" s="562"/>
    </row>
    <row r="3308" spans="1:10" x14ac:dyDescent="0.25">
      <c r="A3308" s="362"/>
      <c r="B3308" s="611">
        <v>44281</v>
      </c>
      <c r="C3308" s="362" t="s">
        <v>88</v>
      </c>
      <c r="D3308" s="562">
        <v>107837851</v>
      </c>
      <c r="E3308" s="562">
        <v>74049270</v>
      </c>
      <c r="F3308" s="562">
        <v>181887200</v>
      </c>
      <c r="G3308" s="562">
        <f t="shared" si="126"/>
        <v>-79</v>
      </c>
      <c r="H3308" s="562"/>
      <c r="I3308" s="562"/>
      <c r="J3308" s="562"/>
    </row>
    <row r="3309" spans="1:10" x14ac:dyDescent="0.25">
      <c r="A3309" s="362"/>
      <c r="B3309" s="611">
        <v>44281</v>
      </c>
      <c r="C3309" s="362" t="s">
        <v>82</v>
      </c>
      <c r="D3309" s="562">
        <v>72851980</v>
      </c>
      <c r="E3309" s="562">
        <v>2523307</v>
      </c>
      <c r="F3309" s="562">
        <v>75375300</v>
      </c>
      <c r="G3309" s="562">
        <f t="shared" si="126"/>
        <v>-13</v>
      </c>
      <c r="H3309" s="562"/>
      <c r="I3309" s="562"/>
      <c r="J3309" s="562"/>
    </row>
    <row r="3310" spans="1:10" x14ac:dyDescent="0.25">
      <c r="A3310" s="362"/>
      <c r="B3310" s="611">
        <v>44281</v>
      </c>
      <c r="C3310" s="362" t="s">
        <v>80</v>
      </c>
      <c r="D3310" s="562">
        <v>209627054</v>
      </c>
      <c r="E3310" s="562">
        <v>60312699</v>
      </c>
      <c r="F3310" s="562">
        <v>269937100</v>
      </c>
      <c r="G3310" s="562">
        <f t="shared" si="126"/>
        <v>2653</v>
      </c>
      <c r="H3310" s="562"/>
      <c r="I3310" s="562"/>
      <c r="J3310" s="562"/>
    </row>
    <row r="3311" spans="1:10" x14ac:dyDescent="0.25">
      <c r="A3311" s="362"/>
      <c r="B3311" s="611">
        <v>44281</v>
      </c>
      <c r="C3311" s="362" t="s">
        <v>83</v>
      </c>
      <c r="D3311" s="562">
        <v>258676292</v>
      </c>
      <c r="E3311" s="562">
        <v>204902503</v>
      </c>
      <c r="F3311" s="562">
        <v>463578800</v>
      </c>
      <c r="G3311" s="562">
        <f t="shared" si="126"/>
        <v>-5</v>
      </c>
      <c r="H3311" s="562"/>
      <c r="I3311" s="562"/>
      <c r="J3311" s="562"/>
    </row>
    <row r="3312" spans="1:10" x14ac:dyDescent="0.25">
      <c r="A3312" s="362"/>
      <c r="B3312" s="611">
        <v>44281</v>
      </c>
      <c r="C3312" s="362" t="s">
        <v>78</v>
      </c>
      <c r="D3312" s="562">
        <v>72778569</v>
      </c>
      <c r="E3312" s="562">
        <v>3756431</v>
      </c>
      <c r="F3312" s="562">
        <v>76535000</v>
      </c>
      <c r="G3312" s="562">
        <f t="shared" si="126"/>
        <v>0</v>
      </c>
      <c r="H3312" s="562"/>
      <c r="I3312" s="562"/>
      <c r="J3312" s="562"/>
    </row>
    <row r="3313" spans="1:10" x14ac:dyDescent="0.25">
      <c r="A3313" s="362"/>
      <c r="B3313" s="611">
        <v>44281</v>
      </c>
      <c r="C3313" s="362" t="s">
        <v>141</v>
      </c>
      <c r="D3313" s="562">
        <v>56055224</v>
      </c>
      <c r="E3313" s="562">
        <v>57315894</v>
      </c>
      <c r="F3313" s="562">
        <v>113371200</v>
      </c>
      <c r="G3313" s="562">
        <f t="shared" si="126"/>
        <v>-82</v>
      </c>
      <c r="H3313" s="562"/>
      <c r="I3313" s="562"/>
      <c r="J3313" s="562"/>
    </row>
    <row r="3314" spans="1:10" x14ac:dyDescent="0.25">
      <c r="A3314" s="362"/>
      <c r="B3314" s="611">
        <v>44281</v>
      </c>
      <c r="C3314" s="362" t="s">
        <v>89</v>
      </c>
      <c r="D3314" s="562">
        <v>176350461</v>
      </c>
      <c r="E3314" s="562">
        <v>45028539</v>
      </c>
      <c r="F3314" s="562">
        <v>221379000</v>
      </c>
      <c r="G3314" s="562">
        <f t="shared" si="126"/>
        <v>0</v>
      </c>
      <c r="H3314" s="562"/>
      <c r="I3314" s="562"/>
      <c r="J3314" s="562"/>
    </row>
    <row r="3315" spans="1:10" x14ac:dyDescent="0.25">
      <c r="A3315" s="362"/>
      <c r="B3315" s="611">
        <v>44281</v>
      </c>
      <c r="C3315" s="362" t="s">
        <v>81</v>
      </c>
      <c r="D3315" s="562">
        <v>43758058</v>
      </c>
      <c r="E3315" s="562">
        <v>10466097</v>
      </c>
      <c r="F3315" s="562">
        <v>54224200</v>
      </c>
      <c r="G3315" s="562">
        <f t="shared" si="126"/>
        <v>-45</v>
      </c>
      <c r="H3315" s="562"/>
      <c r="I3315" s="562"/>
      <c r="J3315" s="562"/>
    </row>
    <row r="3316" spans="1:10" x14ac:dyDescent="0.25">
      <c r="A3316" s="362"/>
      <c r="B3316" s="611">
        <v>44281</v>
      </c>
      <c r="C3316" s="362" t="s">
        <v>84</v>
      </c>
      <c r="D3316" s="562">
        <v>222858764</v>
      </c>
      <c r="E3316" s="562">
        <v>11291054</v>
      </c>
      <c r="F3316" s="562">
        <v>234149800</v>
      </c>
      <c r="G3316" s="562">
        <f t="shared" si="126"/>
        <v>18</v>
      </c>
      <c r="H3316" s="562"/>
      <c r="I3316" s="562"/>
      <c r="J3316" s="562"/>
    </row>
    <row r="3317" spans="1:10" x14ac:dyDescent="0.25">
      <c r="A3317" s="362"/>
      <c r="B3317" s="611">
        <v>44281</v>
      </c>
      <c r="C3317" s="362" t="s">
        <v>4751</v>
      </c>
      <c r="D3317" s="562">
        <v>134488915</v>
      </c>
      <c r="E3317" s="562">
        <v>15132685</v>
      </c>
      <c r="F3317" s="562">
        <v>149624600</v>
      </c>
      <c r="G3317" s="562">
        <f t="shared" si="126"/>
        <v>-3000</v>
      </c>
      <c r="H3317" s="562"/>
      <c r="I3317" s="562"/>
      <c r="J3317" s="562"/>
    </row>
    <row r="3318" spans="1:10" x14ac:dyDescent="0.25">
      <c r="A3318" s="362"/>
      <c r="B3318" s="611">
        <v>44281</v>
      </c>
      <c r="C3318" s="362" t="s">
        <v>166</v>
      </c>
      <c r="D3318" s="562">
        <v>52269038</v>
      </c>
      <c r="E3318" s="562"/>
      <c r="F3318" s="562">
        <v>52269000</v>
      </c>
      <c r="G3318" s="562">
        <f t="shared" si="126"/>
        <v>38</v>
      </c>
      <c r="H3318" s="562"/>
      <c r="I3318" s="562"/>
      <c r="J3318" s="562"/>
    </row>
    <row r="3319" spans="1:10" x14ac:dyDescent="0.25">
      <c r="A3319" s="362"/>
      <c r="B3319" s="611">
        <v>44281</v>
      </c>
      <c r="C3319" s="362" t="s">
        <v>3435</v>
      </c>
      <c r="D3319" s="562">
        <v>18139725</v>
      </c>
      <c r="E3319" s="562"/>
      <c r="F3319" s="562">
        <v>18139800</v>
      </c>
      <c r="G3319" s="562">
        <f t="shared" si="126"/>
        <v>-75</v>
      </c>
      <c r="H3319" s="562"/>
      <c r="I3319" s="562"/>
      <c r="J3319" s="562"/>
    </row>
    <row r="3320" spans="1:10" x14ac:dyDescent="0.25">
      <c r="A3320" s="362"/>
      <c r="B3320" s="611">
        <v>44281</v>
      </c>
      <c r="C3320" s="370" t="s">
        <v>85</v>
      </c>
      <c r="D3320" s="562">
        <v>25598200</v>
      </c>
      <c r="E3320" s="562"/>
      <c r="F3320" s="562">
        <v>25598200</v>
      </c>
      <c r="G3320" s="562">
        <f t="shared" si="126"/>
        <v>0</v>
      </c>
      <c r="H3320" s="562"/>
      <c r="I3320" s="562"/>
      <c r="J3320" s="562"/>
    </row>
    <row r="3321" spans="1:10" x14ac:dyDescent="0.25">
      <c r="A3321" s="532"/>
      <c r="B3321" s="532"/>
      <c r="C3321" s="532"/>
      <c r="D3321" s="564">
        <f>SUM(D3306:D3320)</f>
        <v>1565097489</v>
      </c>
      <c r="E3321" s="564">
        <f t="shared" ref="E3321:G3321" si="127">SUM(E3306:E3320)</f>
        <v>531891827</v>
      </c>
      <c r="F3321" s="564">
        <f t="shared" si="127"/>
        <v>2096989900</v>
      </c>
      <c r="G3321" s="564">
        <f t="shared" si="127"/>
        <v>-584</v>
      </c>
      <c r="H3321" s="564"/>
      <c r="I3321" s="564"/>
      <c r="J3321" s="564"/>
    </row>
    <row r="3322" spans="1:10" x14ac:dyDescent="0.25">
      <c r="A3322" s="362"/>
      <c r="B3322" s="611">
        <v>44282</v>
      </c>
      <c r="C3322" s="362" t="s">
        <v>86</v>
      </c>
      <c r="D3322" s="562">
        <v>37747788</v>
      </c>
      <c r="E3322" s="562">
        <v>91812600</v>
      </c>
      <c r="F3322" s="562">
        <v>129560400</v>
      </c>
      <c r="G3322" s="562">
        <f>D3322+E3322-F3322</f>
        <v>-12</v>
      </c>
      <c r="H3322" s="562"/>
      <c r="I3322" s="562"/>
      <c r="J3322" s="562"/>
    </row>
    <row r="3323" spans="1:10" x14ac:dyDescent="0.25">
      <c r="A3323" s="362"/>
      <c r="B3323" s="611">
        <v>44282</v>
      </c>
      <c r="C3323" s="362" t="s">
        <v>87</v>
      </c>
      <c r="D3323" s="562">
        <v>18249330</v>
      </c>
      <c r="E3323" s="562">
        <v>67169279</v>
      </c>
      <c r="F3323" s="562">
        <v>85418600</v>
      </c>
      <c r="G3323" s="562">
        <f t="shared" ref="G3323:G3387" si="128">D3323+E3323-F3323</f>
        <v>9</v>
      </c>
      <c r="H3323" s="562"/>
      <c r="I3323" s="562"/>
      <c r="J3323" s="562"/>
    </row>
    <row r="3324" spans="1:10" x14ac:dyDescent="0.25">
      <c r="A3324" s="362"/>
      <c r="B3324" s="611">
        <v>44282</v>
      </c>
      <c r="C3324" s="362" t="s">
        <v>88</v>
      </c>
      <c r="D3324" s="562">
        <v>148967035</v>
      </c>
      <c r="E3324" s="562">
        <v>9212081</v>
      </c>
      <c r="F3324" s="562">
        <v>158179200</v>
      </c>
      <c r="G3324" s="562">
        <f t="shared" si="128"/>
        <v>-84</v>
      </c>
      <c r="H3324" s="562"/>
      <c r="I3324" s="562"/>
      <c r="J3324" s="562"/>
    </row>
    <row r="3325" spans="1:10" x14ac:dyDescent="0.25">
      <c r="A3325" s="362"/>
      <c r="B3325" s="611">
        <v>44282</v>
      </c>
      <c r="C3325" s="362" t="s">
        <v>82</v>
      </c>
      <c r="D3325" s="562">
        <v>42730108</v>
      </c>
      <c r="E3325" s="562">
        <v>14553700</v>
      </c>
      <c r="F3325" s="562">
        <v>57284400</v>
      </c>
      <c r="G3325" s="562">
        <f t="shared" si="128"/>
        <v>-592</v>
      </c>
      <c r="H3325" s="562"/>
      <c r="I3325" s="562"/>
      <c r="J3325" s="562"/>
    </row>
    <row r="3326" spans="1:10" x14ac:dyDescent="0.25">
      <c r="A3326" s="362"/>
      <c r="B3326" s="611">
        <v>44282</v>
      </c>
      <c r="C3326" s="362" t="s">
        <v>80</v>
      </c>
      <c r="D3326" s="562">
        <v>329843210</v>
      </c>
      <c r="E3326" s="562">
        <v>21882790</v>
      </c>
      <c r="F3326" s="562">
        <v>351726000</v>
      </c>
      <c r="G3326" s="562">
        <f t="shared" si="128"/>
        <v>0</v>
      </c>
      <c r="H3326" s="562"/>
      <c r="I3326" s="562"/>
      <c r="J3326" s="562"/>
    </row>
    <row r="3327" spans="1:10" x14ac:dyDescent="0.25">
      <c r="A3327" s="362"/>
      <c r="B3327" s="611">
        <v>44282</v>
      </c>
      <c r="C3327" s="362" t="s">
        <v>83</v>
      </c>
      <c r="D3327" s="562">
        <v>120857457</v>
      </c>
      <c r="E3327" s="562">
        <v>14953813</v>
      </c>
      <c r="F3327" s="562">
        <v>135811300</v>
      </c>
      <c r="G3327" s="562">
        <f t="shared" si="128"/>
        <v>-30</v>
      </c>
      <c r="H3327" s="562"/>
      <c r="I3327" s="562"/>
      <c r="J3327" s="562"/>
    </row>
    <row r="3328" spans="1:10" x14ac:dyDescent="0.25">
      <c r="A3328" s="362"/>
      <c r="B3328" s="611">
        <v>44282</v>
      </c>
      <c r="C3328" s="362" t="s">
        <v>78</v>
      </c>
      <c r="D3328" s="562">
        <v>125147050</v>
      </c>
      <c r="E3328" s="562">
        <v>5607250</v>
      </c>
      <c r="F3328" s="562">
        <v>130754300</v>
      </c>
      <c r="G3328" s="562">
        <f t="shared" si="128"/>
        <v>0</v>
      </c>
      <c r="H3328" s="562"/>
      <c r="I3328" s="562"/>
      <c r="J3328" s="562"/>
    </row>
    <row r="3329" spans="1:10" x14ac:dyDescent="0.25">
      <c r="A3329" s="362"/>
      <c r="B3329" s="611">
        <v>44282</v>
      </c>
      <c r="C3329" s="362" t="s">
        <v>141</v>
      </c>
      <c r="D3329" s="562">
        <v>34187861</v>
      </c>
      <c r="E3329" s="562">
        <v>743940</v>
      </c>
      <c r="F3329" s="562">
        <v>34931900</v>
      </c>
      <c r="G3329" s="562">
        <f t="shared" si="128"/>
        <v>-99</v>
      </c>
      <c r="H3329" s="562"/>
      <c r="I3329" s="562"/>
      <c r="J3329" s="562"/>
    </row>
    <row r="3330" spans="1:10" x14ac:dyDescent="0.25">
      <c r="A3330" s="362"/>
      <c r="B3330" s="611">
        <v>44282</v>
      </c>
      <c r="C3330" s="362" t="s">
        <v>89</v>
      </c>
      <c r="D3330" s="562">
        <v>30341566</v>
      </c>
      <c r="E3330" s="562">
        <v>43030434</v>
      </c>
      <c r="F3330" s="562">
        <v>73372000</v>
      </c>
      <c r="G3330" s="562">
        <f t="shared" si="128"/>
        <v>0</v>
      </c>
      <c r="H3330" s="562"/>
      <c r="I3330" s="562"/>
      <c r="J3330" s="562"/>
    </row>
    <row r="3331" spans="1:10" x14ac:dyDescent="0.25">
      <c r="A3331" s="362"/>
      <c r="B3331" s="611">
        <v>44282</v>
      </c>
      <c r="C3331" s="362" t="s">
        <v>81</v>
      </c>
      <c r="D3331" s="562">
        <v>116361474</v>
      </c>
      <c r="E3331" s="562">
        <v>79709930</v>
      </c>
      <c r="F3331" s="562">
        <v>196071500</v>
      </c>
      <c r="G3331" s="562">
        <f t="shared" si="128"/>
        <v>-96</v>
      </c>
      <c r="H3331" s="562"/>
      <c r="I3331" s="562"/>
      <c r="J3331" s="562"/>
    </row>
    <row r="3332" spans="1:10" x14ac:dyDescent="0.25">
      <c r="A3332" s="362"/>
      <c r="B3332" s="611">
        <v>44282</v>
      </c>
      <c r="C3332" s="362" t="s">
        <v>84</v>
      </c>
      <c r="D3332" s="562">
        <v>74419260</v>
      </c>
      <c r="E3332" s="562">
        <v>9341893</v>
      </c>
      <c r="F3332" s="562">
        <v>83771200</v>
      </c>
      <c r="G3332" s="562">
        <f t="shared" si="128"/>
        <v>-10047</v>
      </c>
      <c r="H3332" s="562"/>
      <c r="I3332" s="562"/>
      <c r="J3332" s="562"/>
    </row>
    <row r="3333" spans="1:10" x14ac:dyDescent="0.25">
      <c r="A3333" s="362"/>
      <c r="B3333" s="611">
        <v>44282</v>
      </c>
      <c r="C3333" s="362" t="s">
        <v>4751</v>
      </c>
      <c r="D3333" s="562">
        <v>103664034</v>
      </c>
      <c r="E3333" s="562">
        <v>8800566</v>
      </c>
      <c r="F3333" s="562">
        <v>112464600</v>
      </c>
      <c r="G3333" s="562">
        <f t="shared" si="128"/>
        <v>0</v>
      </c>
      <c r="H3333" s="562"/>
      <c r="I3333" s="562"/>
      <c r="J3333" s="562"/>
    </row>
    <row r="3334" spans="1:10" x14ac:dyDescent="0.25">
      <c r="A3334" s="362"/>
      <c r="B3334" s="611">
        <v>44282</v>
      </c>
      <c r="C3334" s="362" t="s">
        <v>166</v>
      </c>
      <c r="D3334" s="562"/>
      <c r="E3334" s="562"/>
      <c r="F3334" s="562"/>
      <c r="G3334" s="562">
        <f t="shared" si="128"/>
        <v>0</v>
      </c>
      <c r="H3334" s="562"/>
      <c r="I3334" s="562"/>
      <c r="J3334" s="562"/>
    </row>
    <row r="3335" spans="1:10" x14ac:dyDescent="0.25">
      <c r="A3335" s="362"/>
      <c r="B3335" s="611">
        <v>44282</v>
      </c>
      <c r="C3335" s="362" t="s">
        <v>3435</v>
      </c>
      <c r="D3335" s="562"/>
      <c r="E3335" s="562"/>
      <c r="F3335" s="562"/>
      <c r="G3335" s="562">
        <f t="shared" si="128"/>
        <v>0</v>
      </c>
      <c r="H3335" s="562"/>
      <c r="I3335" s="562"/>
      <c r="J3335" s="562"/>
    </row>
    <row r="3336" spans="1:10" x14ac:dyDescent="0.25">
      <c r="A3336" s="362"/>
      <c r="B3336" s="611">
        <v>44282</v>
      </c>
      <c r="C3336" s="370" t="s">
        <v>85</v>
      </c>
      <c r="D3336" s="562">
        <v>1833800</v>
      </c>
      <c r="E3336" s="562"/>
      <c r="F3336" s="562"/>
      <c r="G3336" s="562">
        <f t="shared" si="128"/>
        <v>1833800</v>
      </c>
      <c r="H3336" s="562"/>
      <c r="I3336" s="562"/>
      <c r="J3336" s="562"/>
    </row>
    <row r="3337" spans="1:10" x14ac:dyDescent="0.25">
      <c r="A3337" s="532"/>
      <c r="B3337" s="532"/>
      <c r="C3337" s="532"/>
      <c r="D3337" s="564">
        <f>SUM(D3322:D3336)</f>
        <v>1184349973</v>
      </c>
      <c r="E3337" s="564">
        <f t="shared" ref="E3337:G3337" si="129">SUM(E3322:E3336)</f>
        <v>366818276</v>
      </c>
      <c r="F3337" s="564">
        <f t="shared" si="129"/>
        <v>1549345400</v>
      </c>
      <c r="G3337" s="564">
        <f t="shared" si="129"/>
        <v>1822849</v>
      </c>
      <c r="H3337" s="564"/>
      <c r="I3337" s="564"/>
      <c r="J3337" s="564"/>
    </row>
    <row r="3338" spans="1:10" x14ac:dyDescent="0.25">
      <c r="A3338" s="362"/>
      <c r="B3338" s="611">
        <v>44284</v>
      </c>
      <c r="C3338" s="362" t="s">
        <v>86</v>
      </c>
      <c r="D3338" s="562">
        <v>56279267</v>
      </c>
      <c r="E3338" s="562">
        <v>121735210</v>
      </c>
      <c r="F3338" s="562">
        <v>178014500</v>
      </c>
      <c r="G3338" s="562">
        <f t="shared" si="128"/>
        <v>-23</v>
      </c>
      <c r="H3338" s="562"/>
      <c r="I3338" s="562"/>
      <c r="J3338" s="562"/>
    </row>
    <row r="3339" spans="1:10" x14ac:dyDescent="0.25">
      <c r="A3339" s="362"/>
      <c r="B3339" s="611">
        <v>44284</v>
      </c>
      <c r="C3339" s="362" t="s">
        <v>87</v>
      </c>
      <c r="D3339" s="562">
        <v>122868795</v>
      </c>
      <c r="E3339" s="562">
        <v>15010672</v>
      </c>
      <c r="F3339" s="562">
        <v>137879400</v>
      </c>
      <c r="G3339" s="562">
        <f t="shared" si="128"/>
        <v>67</v>
      </c>
      <c r="H3339" s="562"/>
      <c r="I3339" s="562"/>
      <c r="J3339" s="562"/>
    </row>
    <row r="3340" spans="1:10" x14ac:dyDescent="0.25">
      <c r="A3340" s="362"/>
      <c r="B3340" s="611">
        <v>44284</v>
      </c>
      <c r="C3340" s="362" t="s">
        <v>88</v>
      </c>
      <c r="D3340" s="562">
        <v>173704579</v>
      </c>
      <c r="E3340" s="562">
        <v>29099763</v>
      </c>
      <c r="F3340" s="562">
        <v>202804400</v>
      </c>
      <c r="G3340" s="562">
        <f t="shared" si="128"/>
        <v>-58</v>
      </c>
      <c r="H3340" s="562"/>
      <c r="I3340" s="562"/>
      <c r="J3340" s="562"/>
    </row>
    <row r="3341" spans="1:10" x14ac:dyDescent="0.25">
      <c r="A3341" s="362"/>
      <c r="B3341" s="611">
        <v>44284</v>
      </c>
      <c r="C3341" s="362" t="s">
        <v>82</v>
      </c>
      <c r="D3341" s="562">
        <v>58948511</v>
      </c>
      <c r="E3341" s="562">
        <v>15507550</v>
      </c>
      <c r="F3341" s="562">
        <v>74456100</v>
      </c>
      <c r="G3341" s="562">
        <f t="shared" si="128"/>
        <v>-39</v>
      </c>
      <c r="H3341" s="562"/>
      <c r="I3341" s="562"/>
      <c r="J3341" s="562"/>
    </row>
    <row r="3342" spans="1:10" x14ac:dyDescent="0.25">
      <c r="A3342" s="362"/>
      <c r="B3342" s="611">
        <v>44284</v>
      </c>
      <c r="C3342" s="362" t="s">
        <v>80</v>
      </c>
      <c r="D3342" s="562">
        <v>229338786</v>
      </c>
      <c r="E3342" s="562">
        <v>1294414</v>
      </c>
      <c r="F3342" s="562">
        <v>230633200</v>
      </c>
      <c r="G3342" s="562">
        <f t="shared" si="128"/>
        <v>0</v>
      </c>
      <c r="H3342" s="562"/>
      <c r="I3342" s="562"/>
      <c r="J3342" s="562"/>
    </row>
    <row r="3343" spans="1:10" x14ac:dyDescent="0.25">
      <c r="A3343" s="362"/>
      <c r="B3343" s="611">
        <v>44284</v>
      </c>
      <c r="C3343" s="362" t="s">
        <v>83</v>
      </c>
      <c r="D3343" s="562">
        <v>393320264</v>
      </c>
      <c r="E3343" s="562">
        <v>4956778</v>
      </c>
      <c r="F3343" s="562">
        <v>398277100</v>
      </c>
      <c r="G3343" s="562">
        <f t="shared" si="128"/>
        <v>-58</v>
      </c>
      <c r="H3343" s="562"/>
      <c r="I3343" s="562"/>
      <c r="J3343" s="562"/>
    </row>
    <row r="3344" spans="1:10" x14ac:dyDescent="0.25">
      <c r="A3344" s="362"/>
      <c r="B3344" s="611">
        <v>44284</v>
      </c>
      <c r="C3344" s="362" t="s">
        <v>78</v>
      </c>
      <c r="D3344" s="562">
        <v>116296446</v>
      </c>
      <c r="E3344" s="562">
        <v>1248754</v>
      </c>
      <c r="F3344" s="562">
        <v>117545200</v>
      </c>
      <c r="G3344" s="562">
        <f t="shared" si="128"/>
        <v>0</v>
      </c>
      <c r="H3344" s="562"/>
      <c r="I3344" s="562"/>
      <c r="J3344" s="562"/>
    </row>
    <row r="3345" spans="1:10" x14ac:dyDescent="0.25">
      <c r="A3345" s="362"/>
      <c r="B3345" s="611">
        <v>44284</v>
      </c>
      <c r="C3345" s="362" t="s">
        <v>141</v>
      </c>
      <c r="D3345" s="562">
        <v>89381247</v>
      </c>
      <c r="E3345" s="562">
        <v>8976687</v>
      </c>
      <c r="F3345" s="562">
        <v>98358000</v>
      </c>
      <c r="G3345" s="562">
        <f t="shared" si="128"/>
        <v>-66</v>
      </c>
      <c r="H3345" s="562"/>
      <c r="I3345" s="562"/>
      <c r="J3345" s="562"/>
    </row>
    <row r="3346" spans="1:10" x14ac:dyDescent="0.25">
      <c r="A3346" s="362"/>
      <c r="B3346" s="611">
        <v>44284</v>
      </c>
      <c r="C3346" s="362" t="s">
        <v>89</v>
      </c>
      <c r="D3346" s="562">
        <v>137598171</v>
      </c>
      <c r="E3346" s="562">
        <v>34854029</v>
      </c>
      <c r="F3346" s="562">
        <v>172452200</v>
      </c>
      <c r="G3346" s="562">
        <f t="shared" si="128"/>
        <v>0</v>
      </c>
      <c r="H3346" s="562"/>
      <c r="I3346" s="562"/>
      <c r="J3346" s="562"/>
    </row>
    <row r="3347" spans="1:10" x14ac:dyDescent="0.25">
      <c r="A3347" s="362"/>
      <c r="B3347" s="611">
        <v>44284</v>
      </c>
      <c r="C3347" s="362" t="s">
        <v>81</v>
      </c>
      <c r="D3347" s="562">
        <v>66851731</v>
      </c>
      <c r="E3347" s="562">
        <v>25028350</v>
      </c>
      <c r="F3347" s="562">
        <v>91880100</v>
      </c>
      <c r="G3347" s="562">
        <f t="shared" si="128"/>
        <v>-19</v>
      </c>
      <c r="H3347" s="562"/>
      <c r="I3347" s="562"/>
      <c r="J3347" s="562"/>
    </row>
    <row r="3348" spans="1:10" x14ac:dyDescent="0.25">
      <c r="A3348" s="362"/>
      <c r="B3348" s="611">
        <v>44284</v>
      </c>
      <c r="C3348" s="362" t="s">
        <v>84</v>
      </c>
      <c r="D3348" s="562">
        <v>199079519</v>
      </c>
      <c r="E3348" s="562">
        <v>12681860</v>
      </c>
      <c r="F3348" s="562">
        <v>211761800</v>
      </c>
      <c r="G3348" s="562">
        <f t="shared" si="128"/>
        <v>-421</v>
      </c>
      <c r="H3348" s="562"/>
      <c r="I3348" s="562"/>
      <c r="J3348" s="562"/>
    </row>
    <row r="3349" spans="1:10" x14ac:dyDescent="0.25">
      <c r="A3349" s="362"/>
      <c r="B3349" s="611">
        <v>44284</v>
      </c>
      <c r="C3349" s="362" t="s">
        <v>4751</v>
      </c>
      <c r="D3349" s="562">
        <v>214716008</v>
      </c>
      <c r="E3349" s="562">
        <v>11143992</v>
      </c>
      <c r="F3349" s="562">
        <v>225860000</v>
      </c>
      <c r="G3349" s="562">
        <f t="shared" si="128"/>
        <v>0</v>
      </c>
      <c r="H3349" s="562"/>
      <c r="I3349" s="562"/>
      <c r="J3349" s="562"/>
    </row>
    <row r="3350" spans="1:10" x14ac:dyDescent="0.25">
      <c r="A3350" s="362"/>
      <c r="B3350" s="611">
        <v>44284</v>
      </c>
      <c r="C3350" s="362" t="s">
        <v>166</v>
      </c>
      <c r="D3350" s="562">
        <v>61025877</v>
      </c>
      <c r="E3350" s="562"/>
      <c r="F3350" s="562">
        <v>61026000</v>
      </c>
      <c r="G3350" s="562">
        <f t="shared" si="128"/>
        <v>-123</v>
      </c>
      <c r="H3350" s="562"/>
      <c r="I3350" s="562"/>
      <c r="J3350" s="562"/>
    </row>
    <row r="3351" spans="1:10" x14ac:dyDescent="0.25">
      <c r="A3351" s="362"/>
      <c r="B3351" s="611">
        <v>44284</v>
      </c>
      <c r="C3351" s="362" t="s">
        <v>3435</v>
      </c>
      <c r="D3351" s="562">
        <v>34959905</v>
      </c>
      <c r="E3351" s="562"/>
      <c r="F3351" s="562">
        <v>34960000</v>
      </c>
      <c r="G3351" s="562">
        <f t="shared" si="128"/>
        <v>-95</v>
      </c>
      <c r="H3351" s="562"/>
      <c r="I3351" s="562"/>
      <c r="J3351" s="562"/>
    </row>
    <row r="3352" spans="1:10" x14ac:dyDescent="0.25">
      <c r="A3352" s="362"/>
      <c r="B3352" s="611">
        <v>44284</v>
      </c>
      <c r="C3352" s="370" t="s">
        <v>85</v>
      </c>
      <c r="D3352" s="562">
        <v>52904800</v>
      </c>
      <c r="E3352" s="562"/>
      <c r="F3352" s="562">
        <v>52904200</v>
      </c>
      <c r="G3352" s="562">
        <f t="shared" si="128"/>
        <v>600</v>
      </c>
      <c r="H3352" s="562"/>
      <c r="I3352" s="562"/>
      <c r="J3352" s="562"/>
    </row>
    <row r="3353" spans="1:10" x14ac:dyDescent="0.25">
      <c r="A3353" s="532"/>
      <c r="B3353" s="532"/>
      <c r="C3353" s="532"/>
      <c r="D3353" s="564">
        <f>SUM(D3338:D3352)</f>
        <v>2007273906</v>
      </c>
      <c r="E3353" s="564">
        <f t="shared" ref="E3353:G3353" si="130">SUM(E3338:E3352)</f>
        <v>281538059</v>
      </c>
      <c r="F3353" s="564">
        <f t="shared" si="130"/>
        <v>2288812200</v>
      </c>
      <c r="G3353" s="564">
        <f t="shared" si="130"/>
        <v>-235</v>
      </c>
      <c r="H3353" s="564"/>
      <c r="I3353" s="564"/>
      <c r="J3353" s="564"/>
    </row>
    <row r="3354" spans="1:10" x14ac:dyDescent="0.25">
      <c r="A3354" s="362"/>
      <c r="B3354" s="611">
        <v>44285</v>
      </c>
      <c r="C3354" s="362" t="s">
        <v>86</v>
      </c>
      <c r="D3354" s="562">
        <v>49364734</v>
      </c>
      <c r="E3354" s="562">
        <v>175658876</v>
      </c>
      <c r="F3354" s="562">
        <v>225023600</v>
      </c>
      <c r="G3354" s="562">
        <f t="shared" si="128"/>
        <v>10</v>
      </c>
      <c r="H3354" s="562"/>
      <c r="I3354" s="562"/>
      <c r="J3354" s="562"/>
    </row>
    <row r="3355" spans="1:10" x14ac:dyDescent="0.25">
      <c r="A3355" s="362"/>
      <c r="B3355" s="611">
        <v>44285</v>
      </c>
      <c r="C3355" s="362" t="s">
        <v>87</v>
      </c>
      <c r="D3355" s="562">
        <v>124714028</v>
      </c>
      <c r="E3355" s="562">
        <v>73420020</v>
      </c>
      <c r="F3355" s="562">
        <v>198133200</v>
      </c>
      <c r="G3355" s="562">
        <f t="shared" si="128"/>
        <v>848</v>
      </c>
      <c r="H3355" s="562"/>
      <c r="I3355" s="562"/>
      <c r="J3355" s="562"/>
    </row>
    <row r="3356" spans="1:10" x14ac:dyDescent="0.25">
      <c r="A3356" s="362"/>
      <c r="B3356" s="611">
        <v>44285</v>
      </c>
      <c r="C3356" s="362" t="s">
        <v>88</v>
      </c>
      <c r="D3356" s="562">
        <v>160768732</v>
      </c>
      <c r="E3356" s="562">
        <v>244396493</v>
      </c>
      <c r="F3356" s="562">
        <v>405165200</v>
      </c>
      <c r="G3356" s="562">
        <f t="shared" si="128"/>
        <v>25</v>
      </c>
      <c r="H3356" s="562"/>
      <c r="I3356" s="562"/>
      <c r="J3356" s="562"/>
    </row>
    <row r="3357" spans="1:10" x14ac:dyDescent="0.25">
      <c r="A3357" s="362"/>
      <c r="B3357" s="611">
        <v>44285</v>
      </c>
      <c r="C3357" s="362" t="s">
        <v>82</v>
      </c>
      <c r="D3357" s="562">
        <v>73270016</v>
      </c>
      <c r="E3357" s="562">
        <v>792000</v>
      </c>
      <c r="F3357" s="562">
        <v>74062100</v>
      </c>
      <c r="G3357" s="562">
        <f t="shared" si="128"/>
        <v>-84</v>
      </c>
      <c r="H3357" s="562"/>
      <c r="I3357" s="562"/>
      <c r="J3357" s="562"/>
    </row>
    <row r="3358" spans="1:10" x14ac:dyDescent="0.25">
      <c r="A3358" s="362"/>
      <c r="B3358" s="611">
        <v>44285</v>
      </c>
      <c r="C3358" s="362" t="s">
        <v>80</v>
      </c>
      <c r="D3358" s="562">
        <v>248449103</v>
      </c>
      <c r="E3358" s="562"/>
      <c r="F3358" s="562">
        <v>248449600</v>
      </c>
      <c r="G3358" s="562">
        <f t="shared" si="128"/>
        <v>-497</v>
      </c>
      <c r="H3358" s="562"/>
      <c r="I3358" s="562"/>
      <c r="J3358" s="562"/>
    </row>
    <row r="3359" spans="1:10" x14ac:dyDescent="0.25">
      <c r="A3359" s="362"/>
      <c r="B3359" s="611">
        <v>44285</v>
      </c>
      <c r="C3359" s="362" t="s">
        <v>83</v>
      </c>
      <c r="D3359" s="562">
        <v>253915015</v>
      </c>
      <c r="E3359" s="562">
        <v>8353934</v>
      </c>
      <c r="F3359" s="562">
        <v>262269000</v>
      </c>
      <c r="G3359" s="562">
        <f t="shared" si="128"/>
        <v>-51</v>
      </c>
      <c r="H3359" s="562"/>
      <c r="I3359" s="562"/>
      <c r="J3359" s="562"/>
    </row>
    <row r="3360" spans="1:10" x14ac:dyDescent="0.25">
      <c r="A3360" s="362"/>
      <c r="B3360" s="611">
        <v>44285</v>
      </c>
      <c r="C3360" s="362" t="s">
        <v>78</v>
      </c>
      <c r="D3360" s="562">
        <v>93864440</v>
      </c>
      <c r="E3360" s="562">
        <v>1973860</v>
      </c>
      <c r="F3360" s="562">
        <v>95838300</v>
      </c>
      <c r="G3360" s="562">
        <f t="shared" si="128"/>
        <v>0</v>
      </c>
      <c r="H3360" s="562"/>
      <c r="I3360" s="562"/>
      <c r="J3360" s="562"/>
    </row>
    <row r="3361" spans="1:10" x14ac:dyDescent="0.25">
      <c r="A3361" s="362"/>
      <c r="B3361" s="611">
        <v>44285</v>
      </c>
      <c r="C3361" s="362" t="s">
        <v>141</v>
      </c>
      <c r="D3361" s="562">
        <v>72955472</v>
      </c>
      <c r="E3361" s="562">
        <v>2926860</v>
      </c>
      <c r="F3361" s="562">
        <v>75882400</v>
      </c>
      <c r="G3361" s="562">
        <f t="shared" si="128"/>
        <v>-68</v>
      </c>
      <c r="H3361" s="562"/>
      <c r="I3361" s="562"/>
      <c r="J3361" s="562"/>
    </row>
    <row r="3362" spans="1:10" x14ac:dyDescent="0.25">
      <c r="A3362" s="362"/>
      <c r="B3362" s="611">
        <v>44285</v>
      </c>
      <c r="C3362" s="362" t="s">
        <v>89</v>
      </c>
      <c r="D3362" s="562">
        <v>85010617</v>
      </c>
      <c r="E3362" s="562">
        <v>5589683</v>
      </c>
      <c r="F3362" s="562">
        <v>90600300</v>
      </c>
      <c r="G3362" s="562">
        <f t="shared" si="128"/>
        <v>0</v>
      </c>
      <c r="H3362" s="562"/>
      <c r="I3362" s="562"/>
      <c r="J3362" s="562"/>
    </row>
    <row r="3363" spans="1:10" x14ac:dyDescent="0.25">
      <c r="A3363" s="362"/>
      <c r="B3363" s="611">
        <v>44285</v>
      </c>
      <c r="C3363" s="362" t="s">
        <v>81</v>
      </c>
      <c r="D3363" s="562">
        <v>111173407</v>
      </c>
      <c r="E3363" s="562">
        <v>8930974</v>
      </c>
      <c r="F3363" s="562">
        <v>120104400</v>
      </c>
      <c r="G3363" s="562">
        <f t="shared" si="128"/>
        <v>-19</v>
      </c>
      <c r="H3363" s="562"/>
      <c r="I3363" s="562"/>
      <c r="J3363" s="562"/>
    </row>
    <row r="3364" spans="1:10" x14ac:dyDescent="0.25">
      <c r="A3364" s="362"/>
      <c r="B3364" s="611">
        <v>44285</v>
      </c>
      <c r="C3364" s="362" t="s">
        <v>84</v>
      </c>
      <c r="D3364" s="562">
        <v>191544959</v>
      </c>
      <c r="E3364" s="562">
        <v>13328680</v>
      </c>
      <c r="F3364" s="562">
        <v>204873600</v>
      </c>
      <c r="G3364" s="562">
        <f t="shared" si="128"/>
        <v>39</v>
      </c>
      <c r="H3364" s="562"/>
      <c r="I3364" s="562"/>
      <c r="J3364" s="562"/>
    </row>
    <row r="3365" spans="1:10" x14ac:dyDescent="0.25">
      <c r="A3365" s="362"/>
      <c r="B3365" s="611">
        <v>44285</v>
      </c>
      <c r="C3365" s="362" t="s">
        <v>4751</v>
      </c>
      <c r="D3365" s="562">
        <v>157735288</v>
      </c>
      <c r="E3365" s="562">
        <v>16799112</v>
      </c>
      <c r="F3365" s="562">
        <v>174534400</v>
      </c>
      <c r="G3365" s="562">
        <f t="shared" si="128"/>
        <v>0</v>
      </c>
      <c r="H3365" s="562"/>
      <c r="I3365" s="562"/>
      <c r="J3365" s="562"/>
    </row>
    <row r="3366" spans="1:10" x14ac:dyDescent="0.25">
      <c r="A3366" s="362"/>
      <c r="B3366" s="611">
        <v>44285</v>
      </c>
      <c r="C3366" s="362" t="s">
        <v>166</v>
      </c>
      <c r="D3366" s="562">
        <v>103061119</v>
      </c>
      <c r="E3366" s="562"/>
      <c r="F3366" s="562">
        <v>103061100</v>
      </c>
      <c r="G3366" s="562">
        <f t="shared" si="128"/>
        <v>19</v>
      </c>
      <c r="H3366" s="562"/>
      <c r="I3366" s="562"/>
      <c r="J3366" s="562"/>
    </row>
    <row r="3367" spans="1:10" x14ac:dyDescent="0.25">
      <c r="A3367" s="362"/>
      <c r="B3367" s="611">
        <v>44285</v>
      </c>
      <c r="C3367" s="362" t="s">
        <v>3435</v>
      </c>
      <c r="D3367" s="562">
        <v>48832598</v>
      </c>
      <c r="E3367" s="562"/>
      <c r="F3367" s="562">
        <v>48832600</v>
      </c>
      <c r="G3367" s="562">
        <f t="shared" si="128"/>
        <v>-2</v>
      </c>
      <c r="H3367" s="562"/>
      <c r="I3367" s="562"/>
      <c r="J3367" s="562"/>
    </row>
    <row r="3368" spans="1:10" x14ac:dyDescent="0.25">
      <c r="A3368" s="362"/>
      <c r="B3368" s="611">
        <v>44285</v>
      </c>
      <c r="C3368" s="370" t="s">
        <v>85</v>
      </c>
      <c r="D3368" s="562">
        <v>30227600</v>
      </c>
      <c r="E3368" s="562"/>
      <c r="F3368" s="562">
        <v>30227600</v>
      </c>
      <c r="G3368" s="562">
        <f t="shared" si="128"/>
        <v>0</v>
      </c>
      <c r="H3368" s="562"/>
      <c r="I3368" s="562"/>
      <c r="J3368" s="562"/>
    </row>
    <row r="3369" spans="1:10" x14ac:dyDescent="0.25">
      <c r="A3369" s="532"/>
      <c r="B3369" s="532"/>
      <c r="C3369" s="532"/>
      <c r="D3369" s="564">
        <f>SUM(D3354:D3368)</f>
        <v>1804887128</v>
      </c>
      <c r="E3369" s="564">
        <f t="shared" ref="E3369:G3369" si="131">SUM(E3354:E3368)</f>
        <v>552170492</v>
      </c>
      <c r="F3369" s="564">
        <f t="shared" si="131"/>
        <v>2357057400</v>
      </c>
      <c r="G3369" s="564">
        <f t="shared" si="131"/>
        <v>220</v>
      </c>
      <c r="H3369" s="564"/>
      <c r="I3369" s="564"/>
      <c r="J3369" s="564"/>
    </row>
    <row r="3370" spans="1:10" x14ac:dyDescent="0.25">
      <c r="A3370" s="362"/>
      <c r="B3370" s="611">
        <v>44286</v>
      </c>
      <c r="C3370" s="362" t="s">
        <v>86</v>
      </c>
      <c r="D3370" s="562">
        <v>61407565</v>
      </c>
      <c r="E3370" s="562">
        <v>218090902</v>
      </c>
      <c r="F3370" s="562">
        <v>279498400</v>
      </c>
      <c r="G3370" s="562">
        <f t="shared" si="128"/>
        <v>67</v>
      </c>
      <c r="H3370" s="562"/>
      <c r="I3370" s="562"/>
      <c r="J3370" s="562"/>
    </row>
    <row r="3371" spans="1:10" x14ac:dyDescent="0.25">
      <c r="A3371" s="362"/>
      <c r="B3371" s="611">
        <v>44286</v>
      </c>
      <c r="C3371" s="362" t="s">
        <v>87</v>
      </c>
      <c r="D3371" s="562">
        <v>69338962</v>
      </c>
      <c r="E3371" s="562">
        <v>82828849</v>
      </c>
      <c r="F3371" s="562">
        <v>152168000</v>
      </c>
      <c r="G3371" s="562">
        <f t="shared" si="128"/>
        <v>-189</v>
      </c>
      <c r="H3371" s="562"/>
      <c r="I3371" s="562"/>
      <c r="J3371" s="562"/>
    </row>
    <row r="3372" spans="1:10" x14ac:dyDescent="0.25">
      <c r="A3372" s="362"/>
      <c r="B3372" s="611">
        <v>44286</v>
      </c>
      <c r="C3372" s="362" t="s">
        <v>88</v>
      </c>
      <c r="D3372" s="562">
        <v>144670990</v>
      </c>
      <c r="E3372" s="562">
        <v>19721791</v>
      </c>
      <c r="F3372" s="562">
        <v>164392800</v>
      </c>
      <c r="G3372" s="562">
        <f t="shared" si="128"/>
        <v>-19</v>
      </c>
      <c r="H3372" s="562"/>
      <c r="I3372" s="562"/>
      <c r="J3372" s="562"/>
    </row>
    <row r="3373" spans="1:10" x14ac:dyDescent="0.25">
      <c r="A3373" s="362"/>
      <c r="B3373" s="611">
        <v>44286</v>
      </c>
      <c r="C3373" s="362" t="s">
        <v>82</v>
      </c>
      <c r="D3373" s="562">
        <v>71962278</v>
      </c>
      <c r="E3373" s="562">
        <v>3573100</v>
      </c>
      <c r="F3373" s="562">
        <v>75535500</v>
      </c>
      <c r="G3373" s="562">
        <f t="shared" si="128"/>
        <v>-122</v>
      </c>
      <c r="H3373" s="562"/>
      <c r="I3373" s="562"/>
      <c r="J3373" s="562"/>
    </row>
    <row r="3374" spans="1:10" x14ac:dyDescent="0.25">
      <c r="A3374" s="362"/>
      <c r="B3374" s="611">
        <v>44286</v>
      </c>
      <c r="C3374" s="362" t="s">
        <v>80</v>
      </c>
      <c r="D3374" s="562">
        <v>247438211</v>
      </c>
      <c r="E3374" s="562">
        <v>4656000</v>
      </c>
      <c r="F3374" s="562">
        <v>252094300</v>
      </c>
      <c r="G3374" s="562">
        <f t="shared" si="128"/>
        <v>-89</v>
      </c>
      <c r="H3374" s="562"/>
      <c r="I3374" s="562"/>
      <c r="J3374" s="562"/>
    </row>
    <row r="3375" spans="1:10" x14ac:dyDescent="0.25">
      <c r="A3375" s="362"/>
      <c r="B3375" s="611">
        <v>44286</v>
      </c>
      <c r="C3375" s="362" t="s">
        <v>83</v>
      </c>
      <c r="D3375" s="562"/>
      <c r="E3375" s="562"/>
      <c r="F3375" s="562">
        <v>297819600</v>
      </c>
      <c r="G3375" s="562">
        <f t="shared" si="128"/>
        <v>-297819600</v>
      </c>
      <c r="H3375" s="562"/>
      <c r="I3375" s="562"/>
      <c r="J3375" s="562"/>
    </row>
    <row r="3376" spans="1:10" x14ac:dyDescent="0.25">
      <c r="A3376" s="362"/>
      <c r="B3376" s="611">
        <v>44286</v>
      </c>
      <c r="C3376" s="362" t="s">
        <v>78</v>
      </c>
      <c r="D3376" s="562">
        <v>135599963</v>
      </c>
      <c r="E3376" s="562">
        <v>150037</v>
      </c>
      <c r="F3376" s="562">
        <v>135750000</v>
      </c>
      <c r="G3376" s="562">
        <f t="shared" si="128"/>
        <v>0</v>
      </c>
      <c r="H3376" s="562"/>
      <c r="I3376" s="562"/>
      <c r="J3376" s="562"/>
    </row>
    <row r="3377" spans="1:11" x14ac:dyDescent="0.25">
      <c r="A3377" s="362"/>
      <c r="B3377" s="611">
        <v>44286</v>
      </c>
      <c r="C3377" s="362" t="s">
        <v>141</v>
      </c>
      <c r="D3377" s="562">
        <v>137494605</v>
      </c>
      <c r="E3377" s="562">
        <v>1006200</v>
      </c>
      <c r="F3377" s="562">
        <v>138500900</v>
      </c>
      <c r="G3377" s="562">
        <f t="shared" si="128"/>
        <v>-95</v>
      </c>
      <c r="H3377" s="562"/>
      <c r="I3377" s="562"/>
      <c r="J3377" s="562"/>
    </row>
    <row r="3378" spans="1:11" x14ac:dyDescent="0.25">
      <c r="A3378" s="362"/>
      <c r="B3378" s="611">
        <v>44286</v>
      </c>
      <c r="C3378" s="362" t="s">
        <v>89</v>
      </c>
      <c r="D3378" s="562">
        <v>128505161</v>
      </c>
      <c r="E3378" s="562">
        <v>24099939</v>
      </c>
      <c r="F3378" s="562">
        <v>152607100</v>
      </c>
      <c r="G3378" s="562">
        <f t="shared" si="128"/>
        <v>-2000</v>
      </c>
      <c r="H3378" s="562"/>
      <c r="I3378" s="562"/>
      <c r="J3378" s="562"/>
    </row>
    <row r="3379" spans="1:11" x14ac:dyDescent="0.25">
      <c r="A3379" s="362"/>
      <c r="B3379" s="611">
        <v>44286</v>
      </c>
      <c r="C3379" s="362" t="s">
        <v>81</v>
      </c>
      <c r="D3379" s="562">
        <v>113101284</v>
      </c>
      <c r="E3379" s="562">
        <v>8064390</v>
      </c>
      <c r="F3379" s="562">
        <v>121165700</v>
      </c>
      <c r="G3379" s="562">
        <f t="shared" si="128"/>
        <v>-26</v>
      </c>
      <c r="H3379" s="562"/>
      <c r="I3379" s="562"/>
      <c r="J3379" s="562"/>
    </row>
    <row r="3380" spans="1:11" x14ac:dyDescent="0.25">
      <c r="A3380" s="362"/>
      <c r="B3380" s="611">
        <v>44286</v>
      </c>
      <c r="C3380" s="362" t="s">
        <v>84</v>
      </c>
      <c r="D3380" s="562">
        <v>230467614</v>
      </c>
      <c r="E3380" s="562">
        <v>12533650</v>
      </c>
      <c r="F3380" s="562">
        <v>243001300</v>
      </c>
      <c r="G3380" s="562">
        <f t="shared" si="128"/>
        <v>-36</v>
      </c>
      <c r="H3380" s="562"/>
      <c r="I3380" s="562"/>
      <c r="J3380" s="562"/>
    </row>
    <row r="3381" spans="1:11" x14ac:dyDescent="0.25">
      <c r="A3381" s="362"/>
      <c r="B3381" s="611">
        <v>44286</v>
      </c>
      <c r="C3381" s="362" t="s">
        <v>4751</v>
      </c>
      <c r="D3381" s="562">
        <v>147164173</v>
      </c>
      <c r="E3381" s="562">
        <v>8035227</v>
      </c>
      <c r="F3381" s="562">
        <v>155199400</v>
      </c>
      <c r="G3381" s="562">
        <f t="shared" si="128"/>
        <v>0</v>
      </c>
      <c r="H3381" s="562"/>
      <c r="I3381" s="562"/>
      <c r="J3381" s="562"/>
    </row>
    <row r="3382" spans="1:11" x14ac:dyDescent="0.25">
      <c r="A3382" s="362"/>
      <c r="B3382" s="611">
        <v>44286</v>
      </c>
      <c r="C3382" s="362" t="s">
        <v>166</v>
      </c>
      <c r="D3382" s="562">
        <v>55165056</v>
      </c>
      <c r="E3382" s="562"/>
      <c r="F3382" s="562">
        <v>55165100</v>
      </c>
      <c r="G3382" s="562">
        <f t="shared" si="128"/>
        <v>-44</v>
      </c>
      <c r="H3382" s="562"/>
      <c r="I3382" s="562"/>
      <c r="J3382" s="562"/>
    </row>
    <row r="3383" spans="1:11" x14ac:dyDescent="0.25">
      <c r="A3383" s="362"/>
      <c r="B3383" s="611">
        <v>44286</v>
      </c>
      <c r="C3383" s="362" t="s">
        <v>3435</v>
      </c>
      <c r="D3383" s="562">
        <v>56676589</v>
      </c>
      <c r="E3383" s="562"/>
      <c r="F3383" s="562">
        <v>56676600</v>
      </c>
      <c r="G3383" s="562">
        <f t="shared" si="128"/>
        <v>-11</v>
      </c>
      <c r="H3383" s="562"/>
      <c r="I3383" s="562"/>
      <c r="J3383" s="562"/>
    </row>
    <row r="3384" spans="1:11" x14ac:dyDescent="0.25">
      <c r="A3384" s="362"/>
      <c r="B3384" s="611">
        <v>44286</v>
      </c>
      <c r="C3384" s="370" t="s">
        <v>85</v>
      </c>
      <c r="D3384" s="562">
        <v>39792200</v>
      </c>
      <c r="E3384" s="562"/>
      <c r="F3384" s="562">
        <v>39792200</v>
      </c>
      <c r="G3384" s="562">
        <f t="shared" si="128"/>
        <v>0</v>
      </c>
      <c r="H3384" s="562"/>
      <c r="I3384" s="562"/>
      <c r="J3384" s="562"/>
    </row>
    <row r="3385" spans="1:11" x14ac:dyDescent="0.25">
      <c r="A3385" s="532"/>
      <c r="B3385" s="532"/>
      <c r="C3385" s="532"/>
      <c r="D3385" s="564">
        <f>SUM(D3370:D3384)</f>
        <v>1638784651</v>
      </c>
      <c r="E3385" s="564">
        <f t="shared" ref="E3385:G3385" si="132">SUM(E3370:E3384)</f>
        <v>382760085</v>
      </c>
      <c r="F3385" s="564">
        <f t="shared" si="132"/>
        <v>2319366900</v>
      </c>
      <c r="G3385" s="564">
        <f t="shared" si="132"/>
        <v>-297822164</v>
      </c>
      <c r="H3385" s="564"/>
      <c r="I3385" s="564"/>
      <c r="J3385" s="564"/>
    </row>
    <row r="3386" spans="1:11" x14ac:dyDescent="0.25">
      <c r="A3386" s="362"/>
      <c r="B3386" s="611">
        <v>44287</v>
      </c>
      <c r="C3386" s="362" t="s">
        <v>86</v>
      </c>
      <c r="D3386" s="562">
        <v>108419440</v>
      </c>
      <c r="E3386" s="562">
        <v>174774951</v>
      </c>
      <c r="F3386" s="562">
        <v>283194400</v>
      </c>
      <c r="G3386" s="562">
        <f t="shared" si="128"/>
        <v>-9</v>
      </c>
      <c r="H3386" s="562"/>
      <c r="I3386" s="562"/>
      <c r="J3386" s="562"/>
    </row>
    <row r="3387" spans="1:11" x14ac:dyDescent="0.25">
      <c r="A3387" s="362"/>
      <c r="B3387" s="611">
        <v>44287</v>
      </c>
      <c r="C3387" s="362" t="s">
        <v>87</v>
      </c>
      <c r="D3387" s="562">
        <v>63751793</v>
      </c>
      <c r="E3387" s="562">
        <v>111060987</v>
      </c>
      <c r="F3387" s="562">
        <v>174812700</v>
      </c>
      <c r="G3387" s="562">
        <f t="shared" si="128"/>
        <v>80</v>
      </c>
      <c r="H3387" s="562"/>
      <c r="I3387" s="562"/>
      <c r="J3387" s="562"/>
    </row>
    <row r="3388" spans="1:11" x14ac:dyDescent="0.25">
      <c r="A3388" s="362"/>
      <c r="B3388" s="611">
        <v>44287</v>
      </c>
      <c r="C3388" s="362" t="s">
        <v>88</v>
      </c>
      <c r="D3388" s="562">
        <v>192048403</v>
      </c>
      <c r="E3388" s="562">
        <v>75494933</v>
      </c>
      <c r="F3388" s="562">
        <v>267543400</v>
      </c>
      <c r="G3388" s="562">
        <f t="shared" ref="G3388:G3451" si="133">D3388+E3388-F3388</f>
        <v>-64</v>
      </c>
      <c r="H3388" s="562"/>
      <c r="I3388" s="562"/>
      <c r="J3388" s="562"/>
    </row>
    <row r="3389" spans="1:11" x14ac:dyDescent="0.25">
      <c r="A3389" s="362"/>
      <c r="B3389" s="611">
        <v>44287</v>
      </c>
      <c r="C3389" s="362" t="s">
        <v>82</v>
      </c>
      <c r="D3389" s="562">
        <v>194398875</v>
      </c>
      <c r="E3389" s="562"/>
      <c r="F3389" s="562">
        <v>202062400</v>
      </c>
      <c r="G3389" s="562">
        <f t="shared" si="133"/>
        <v>-7663525</v>
      </c>
      <c r="H3389" s="562"/>
      <c r="I3389" s="562"/>
      <c r="J3389" s="562"/>
    </row>
    <row r="3390" spans="1:11" x14ac:dyDescent="0.25">
      <c r="A3390" s="362"/>
      <c r="B3390" s="611">
        <v>44287</v>
      </c>
      <c r="C3390" s="362" t="s">
        <v>80</v>
      </c>
      <c r="D3390" s="562">
        <v>309146373</v>
      </c>
      <c r="E3390" s="562">
        <v>1081000</v>
      </c>
      <c r="F3390" s="562">
        <v>310123900</v>
      </c>
      <c r="G3390" s="562">
        <f t="shared" si="133"/>
        <v>103473</v>
      </c>
      <c r="H3390" s="562"/>
      <c r="I3390" s="562"/>
      <c r="J3390" s="562"/>
      <c r="K3390" t="s">
        <v>6086</v>
      </c>
    </row>
    <row r="3391" spans="1:11" x14ac:dyDescent="0.25">
      <c r="A3391" s="362"/>
      <c r="B3391" s="611">
        <v>44287</v>
      </c>
      <c r="C3391" s="362" t="s">
        <v>83</v>
      </c>
      <c r="D3391" s="562">
        <v>142513773</v>
      </c>
      <c r="E3391" s="562">
        <v>63204119</v>
      </c>
      <c r="F3391" s="562">
        <v>205717900</v>
      </c>
      <c r="G3391" s="562">
        <f t="shared" si="133"/>
        <v>-8</v>
      </c>
      <c r="H3391" s="562"/>
      <c r="I3391" s="562"/>
      <c r="J3391" s="562"/>
    </row>
    <row r="3392" spans="1:11" x14ac:dyDescent="0.25">
      <c r="A3392" s="362"/>
      <c r="B3392" s="611">
        <v>44287</v>
      </c>
      <c r="C3392" s="362" t="s">
        <v>78</v>
      </c>
      <c r="D3392" s="562">
        <v>226097744</v>
      </c>
      <c r="E3392" s="562">
        <v>5170956</v>
      </c>
      <c r="F3392" s="562">
        <v>231268700</v>
      </c>
      <c r="G3392" s="562">
        <f t="shared" si="133"/>
        <v>0</v>
      </c>
      <c r="H3392" s="562"/>
      <c r="I3392" s="562"/>
      <c r="J3392" s="562"/>
    </row>
    <row r="3393" spans="1:10" x14ac:dyDescent="0.25">
      <c r="A3393" s="362"/>
      <c r="B3393" s="611">
        <v>44287</v>
      </c>
      <c r="C3393" s="362" t="s">
        <v>141</v>
      </c>
      <c r="D3393" s="562">
        <v>86226349</v>
      </c>
      <c r="E3393" s="562">
        <v>7369845</v>
      </c>
      <c r="F3393" s="562">
        <v>93596200</v>
      </c>
      <c r="G3393" s="562">
        <f t="shared" si="133"/>
        <v>-6</v>
      </c>
      <c r="H3393" s="562"/>
      <c r="I3393" s="562"/>
      <c r="J3393" s="562"/>
    </row>
    <row r="3394" spans="1:10" x14ac:dyDescent="0.25">
      <c r="A3394" s="362"/>
      <c r="B3394" s="611">
        <v>44287</v>
      </c>
      <c r="C3394" s="362" t="s">
        <v>89</v>
      </c>
      <c r="D3394" s="562">
        <v>136388913</v>
      </c>
      <c r="E3394" s="562">
        <v>18720887</v>
      </c>
      <c r="F3394" s="562">
        <v>155109800</v>
      </c>
      <c r="G3394" s="562">
        <f t="shared" si="133"/>
        <v>0</v>
      </c>
      <c r="H3394" s="562"/>
      <c r="I3394" s="562"/>
      <c r="J3394" s="562"/>
    </row>
    <row r="3395" spans="1:10" x14ac:dyDescent="0.25">
      <c r="A3395" s="362"/>
      <c r="B3395" s="611">
        <v>44287</v>
      </c>
      <c r="C3395" s="362" t="s">
        <v>81</v>
      </c>
      <c r="D3395" s="562">
        <v>134169725</v>
      </c>
      <c r="E3395" s="562">
        <v>46053651</v>
      </c>
      <c r="F3395" s="562">
        <v>180223400</v>
      </c>
      <c r="G3395" s="562">
        <f t="shared" si="133"/>
        <v>-24</v>
      </c>
      <c r="H3395" s="562"/>
      <c r="I3395" s="562"/>
      <c r="J3395" s="562"/>
    </row>
    <row r="3396" spans="1:10" x14ac:dyDescent="0.25">
      <c r="A3396" s="362"/>
      <c r="B3396" s="611">
        <v>44287</v>
      </c>
      <c r="C3396" s="362" t="s">
        <v>84</v>
      </c>
      <c r="D3396" s="562">
        <v>125257463</v>
      </c>
      <c r="E3396" s="562">
        <v>26660328</v>
      </c>
      <c r="F3396" s="562">
        <v>151917800</v>
      </c>
      <c r="G3396" s="562">
        <f t="shared" si="133"/>
        <v>-9</v>
      </c>
      <c r="H3396" s="562"/>
      <c r="I3396" s="562"/>
      <c r="J3396" s="562"/>
    </row>
    <row r="3397" spans="1:10" x14ac:dyDescent="0.25">
      <c r="A3397" s="362"/>
      <c r="B3397" s="611">
        <v>44287</v>
      </c>
      <c r="C3397" s="362" t="s">
        <v>4751</v>
      </c>
      <c r="D3397" s="562">
        <v>144014161</v>
      </c>
      <c r="E3397" s="562">
        <v>6179039</v>
      </c>
      <c r="F3397" s="562">
        <v>150193200</v>
      </c>
      <c r="G3397" s="562">
        <f t="shared" si="133"/>
        <v>0</v>
      </c>
      <c r="H3397" s="562"/>
      <c r="I3397" s="562"/>
      <c r="J3397" s="562"/>
    </row>
    <row r="3398" spans="1:10" x14ac:dyDescent="0.25">
      <c r="A3398" s="362"/>
      <c r="B3398" s="611">
        <v>44287</v>
      </c>
      <c r="C3398" s="362" t="s">
        <v>166</v>
      </c>
      <c r="D3398" s="562">
        <v>88655093</v>
      </c>
      <c r="E3398" s="562"/>
      <c r="F3398" s="562">
        <v>88655100</v>
      </c>
      <c r="G3398" s="562">
        <f t="shared" si="133"/>
        <v>-7</v>
      </c>
      <c r="H3398" s="562"/>
      <c r="I3398" s="562"/>
      <c r="J3398" s="562"/>
    </row>
    <row r="3399" spans="1:10" x14ac:dyDescent="0.25">
      <c r="A3399" s="362"/>
      <c r="B3399" s="611">
        <v>44287</v>
      </c>
      <c r="C3399" s="362" t="s">
        <v>3435</v>
      </c>
      <c r="D3399" s="562">
        <v>82704658</v>
      </c>
      <c r="E3399" s="562"/>
      <c r="F3399" s="562">
        <v>82704700</v>
      </c>
      <c r="G3399" s="562">
        <f t="shared" si="133"/>
        <v>-42</v>
      </c>
      <c r="H3399" s="562"/>
      <c r="I3399" s="562"/>
      <c r="J3399" s="562"/>
    </row>
    <row r="3400" spans="1:10" x14ac:dyDescent="0.25">
      <c r="A3400" s="362"/>
      <c r="B3400" s="611">
        <v>44287</v>
      </c>
      <c r="C3400" s="370" t="s">
        <v>85</v>
      </c>
      <c r="D3400" s="562">
        <v>24023900</v>
      </c>
      <c r="E3400" s="562"/>
      <c r="F3400" s="562">
        <v>24023900</v>
      </c>
      <c r="G3400" s="562">
        <f t="shared" si="133"/>
        <v>0</v>
      </c>
      <c r="H3400" s="562"/>
      <c r="I3400" s="562"/>
      <c r="J3400" s="562"/>
    </row>
    <row r="3401" spans="1:10" x14ac:dyDescent="0.25">
      <c r="A3401" s="532"/>
      <c r="B3401" s="532"/>
      <c r="C3401" s="532"/>
      <c r="D3401" s="564">
        <f>SUM(D3386:D3400)</f>
        <v>2057816663</v>
      </c>
      <c r="E3401" s="564">
        <f t="shared" ref="E3401:G3401" si="134">SUM(E3386:E3400)</f>
        <v>535770696</v>
      </c>
      <c r="F3401" s="564">
        <f t="shared" si="134"/>
        <v>2601147500</v>
      </c>
      <c r="G3401" s="564">
        <f t="shared" si="134"/>
        <v>-7560141</v>
      </c>
      <c r="H3401" s="564"/>
      <c r="I3401" s="564"/>
      <c r="J3401" s="564"/>
    </row>
    <row r="3402" spans="1:10" x14ac:dyDescent="0.25">
      <c r="A3402" s="362"/>
      <c r="B3402" s="611">
        <v>44288</v>
      </c>
      <c r="C3402" s="362" t="s">
        <v>86</v>
      </c>
      <c r="D3402" s="562">
        <v>44576848</v>
      </c>
      <c r="E3402" s="562">
        <v>55687177</v>
      </c>
      <c r="F3402" s="562">
        <v>100264000</v>
      </c>
      <c r="G3402" s="562">
        <f t="shared" si="133"/>
        <v>25</v>
      </c>
      <c r="H3402" s="562"/>
      <c r="I3402" s="562"/>
      <c r="J3402" s="562"/>
    </row>
    <row r="3403" spans="1:10" x14ac:dyDescent="0.25">
      <c r="A3403" s="362"/>
      <c r="B3403" s="611">
        <v>44288</v>
      </c>
      <c r="C3403" s="362" t="s">
        <v>87</v>
      </c>
      <c r="D3403" s="562">
        <v>185564395</v>
      </c>
      <c r="E3403" s="562">
        <v>14964577</v>
      </c>
      <c r="F3403" s="562">
        <v>200584700</v>
      </c>
      <c r="G3403" s="562">
        <f t="shared" si="133"/>
        <v>-55728</v>
      </c>
      <c r="H3403" s="562"/>
      <c r="I3403" s="562"/>
      <c r="J3403" s="562"/>
    </row>
    <row r="3404" spans="1:10" x14ac:dyDescent="0.25">
      <c r="A3404" s="362"/>
      <c r="B3404" s="611">
        <v>44288</v>
      </c>
      <c r="C3404" s="362" t="s">
        <v>88</v>
      </c>
      <c r="D3404" s="562">
        <v>120450510</v>
      </c>
      <c r="E3404" s="562">
        <v>52781768</v>
      </c>
      <c r="F3404" s="562">
        <v>173232300</v>
      </c>
      <c r="G3404" s="562">
        <f t="shared" si="133"/>
        <v>-22</v>
      </c>
      <c r="H3404" s="562"/>
      <c r="I3404" s="562"/>
      <c r="J3404" s="562"/>
    </row>
    <row r="3405" spans="1:10" x14ac:dyDescent="0.25">
      <c r="A3405" s="362"/>
      <c r="B3405" s="611">
        <v>44288</v>
      </c>
      <c r="C3405" s="362" t="s">
        <v>82</v>
      </c>
      <c r="D3405" s="562">
        <v>154720220</v>
      </c>
      <c r="E3405" s="562">
        <v>3247238</v>
      </c>
      <c r="F3405" s="562">
        <v>157967500</v>
      </c>
      <c r="G3405" s="562">
        <f t="shared" si="133"/>
        <v>-42</v>
      </c>
      <c r="H3405" s="562"/>
      <c r="I3405" s="562"/>
      <c r="J3405" s="562"/>
    </row>
    <row r="3406" spans="1:10" x14ac:dyDescent="0.25">
      <c r="A3406" s="362"/>
      <c r="B3406" s="611">
        <v>44288</v>
      </c>
      <c r="C3406" s="362" t="s">
        <v>80</v>
      </c>
      <c r="D3406" s="562">
        <v>140301382</v>
      </c>
      <c r="E3406" s="562">
        <v>10580000</v>
      </c>
      <c r="F3406" s="562">
        <v>150883500</v>
      </c>
      <c r="G3406" s="562">
        <f t="shared" si="133"/>
        <v>-2118</v>
      </c>
      <c r="H3406" s="562"/>
      <c r="I3406" s="562"/>
      <c r="J3406" s="562"/>
    </row>
    <row r="3407" spans="1:10" x14ac:dyDescent="0.25">
      <c r="A3407" s="362"/>
      <c r="B3407" s="611">
        <v>44288</v>
      </c>
      <c r="C3407" s="362" t="s">
        <v>83</v>
      </c>
      <c r="D3407" s="562">
        <v>182409526</v>
      </c>
      <c r="E3407" s="562">
        <v>27348974</v>
      </c>
      <c r="F3407" s="562">
        <v>209758500</v>
      </c>
      <c r="G3407" s="562">
        <f t="shared" si="133"/>
        <v>0</v>
      </c>
      <c r="H3407" s="562"/>
      <c r="I3407" s="562"/>
      <c r="J3407" s="562"/>
    </row>
    <row r="3408" spans="1:10" x14ac:dyDescent="0.25">
      <c r="A3408" s="362"/>
      <c r="B3408" s="611">
        <v>44288</v>
      </c>
      <c r="C3408" s="362" t="s">
        <v>78</v>
      </c>
      <c r="D3408" s="562">
        <v>125747261</v>
      </c>
      <c r="E3408" s="562">
        <v>1569539</v>
      </c>
      <c r="F3408" s="562">
        <v>127316800</v>
      </c>
      <c r="G3408" s="562">
        <f t="shared" si="133"/>
        <v>0</v>
      </c>
      <c r="H3408" s="562"/>
      <c r="I3408" s="562"/>
      <c r="J3408" s="562"/>
    </row>
    <row r="3409" spans="1:10" x14ac:dyDescent="0.25">
      <c r="A3409" s="362"/>
      <c r="B3409" s="611">
        <v>44288</v>
      </c>
      <c r="C3409" s="362" t="s">
        <v>141</v>
      </c>
      <c r="D3409" s="562">
        <v>75844187</v>
      </c>
      <c r="E3409" s="562">
        <v>280139</v>
      </c>
      <c r="F3409" s="562">
        <v>76124400</v>
      </c>
      <c r="G3409" s="562">
        <f t="shared" si="133"/>
        <v>-74</v>
      </c>
      <c r="H3409" s="562"/>
      <c r="I3409" s="562"/>
      <c r="J3409" s="562"/>
    </row>
    <row r="3410" spans="1:10" x14ac:dyDescent="0.25">
      <c r="A3410" s="362"/>
      <c r="B3410" s="611">
        <v>44288</v>
      </c>
      <c r="C3410" s="362" t="s">
        <v>89</v>
      </c>
      <c r="D3410" s="562">
        <v>144418809</v>
      </c>
      <c r="E3410" s="562">
        <v>31735991</v>
      </c>
      <c r="F3410" s="562">
        <v>176154800</v>
      </c>
      <c r="G3410" s="562">
        <f t="shared" si="133"/>
        <v>0</v>
      </c>
      <c r="H3410" s="562"/>
      <c r="I3410" s="562"/>
      <c r="J3410" s="562"/>
    </row>
    <row r="3411" spans="1:10" x14ac:dyDescent="0.25">
      <c r="A3411" s="362"/>
      <c r="B3411" s="611">
        <v>44288</v>
      </c>
      <c r="C3411" s="362" t="s">
        <v>81</v>
      </c>
      <c r="D3411" s="562">
        <v>53470457</v>
      </c>
      <c r="E3411" s="562">
        <v>13075386</v>
      </c>
      <c r="F3411" s="562">
        <v>66545900</v>
      </c>
      <c r="G3411" s="562">
        <f t="shared" si="133"/>
        <v>-57</v>
      </c>
      <c r="H3411" s="562"/>
      <c r="I3411" s="562"/>
      <c r="J3411" s="562"/>
    </row>
    <row r="3412" spans="1:10" x14ac:dyDescent="0.25">
      <c r="A3412" s="362"/>
      <c r="B3412" s="611">
        <v>44288</v>
      </c>
      <c r="C3412" s="362" t="s">
        <v>84</v>
      </c>
      <c r="D3412" s="562">
        <v>187261763</v>
      </c>
      <c r="E3412" s="562">
        <v>9752685</v>
      </c>
      <c r="F3412" s="562">
        <v>197014400</v>
      </c>
      <c r="G3412" s="562">
        <f t="shared" si="133"/>
        <v>48</v>
      </c>
      <c r="H3412" s="562"/>
      <c r="I3412" s="562"/>
      <c r="J3412" s="562"/>
    </row>
    <row r="3413" spans="1:10" x14ac:dyDescent="0.25">
      <c r="A3413" s="362"/>
      <c r="B3413" s="611">
        <v>44288</v>
      </c>
      <c r="C3413" s="362" t="s">
        <v>4751</v>
      </c>
      <c r="D3413" s="562">
        <v>106838300</v>
      </c>
      <c r="E3413" s="562">
        <v>6497600</v>
      </c>
      <c r="F3413" s="562">
        <v>113335900</v>
      </c>
      <c r="G3413" s="562">
        <f t="shared" si="133"/>
        <v>0</v>
      </c>
      <c r="H3413" s="562"/>
      <c r="I3413" s="562"/>
      <c r="J3413" s="562"/>
    </row>
    <row r="3414" spans="1:10" x14ac:dyDescent="0.25">
      <c r="A3414" s="362"/>
      <c r="B3414" s="611">
        <v>44288</v>
      </c>
      <c r="C3414" s="362" t="s">
        <v>166</v>
      </c>
      <c r="D3414" s="562">
        <v>39477811</v>
      </c>
      <c r="E3414" s="562"/>
      <c r="F3414" s="562">
        <v>39477900</v>
      </c>
      <c r="G3414" s="562">
        <f t="shared" si="133"/>
        <v>-89</v>
      </c>
      <c r="H3414" s="562"/>
      <c r="I3414" s="562"/>
      <c r="J3414" s="562"/>
    </row>
    <row r="3415" spans="1:10" x14ac:dyDescent="0.25">
      <c r="A3415" s="362"/>
      <c r="B3415" s="611">
        <v>44288</v>
      </c>
      <c r="C3415" s="362" t="s">
        <v>3435</v>
      </c>
      <c r="D3415" s="562">
        <v>25312859</v>
      </c>
      <c r="E3415" s="562"/>
      <c r="F3415" s="562">
        <v>25312900</v>
      </c>
      <c r="G3415" s="562">
        <f t="shared" si="133"/>
        <v>-41</v>
      </c>
      <c r="H3415" s="562"/>
      <c r="I3415" s="562"/>
      <c r="J3415" s="562"/>
    </row>
    <row r="3416" spans="1:10" x14ac:dyDescent="0.25">
      <c r="A3416" s="362"/>
      <c r="B3416" s="611">
        <v>44288</v>
      </c>
      <c r="C3416" s="370" t="s">
        <v>85</v>
      </c>
      <c r="D3416" s="562">
        <v>19805500</v>
      </c>
      <c r="E3416" s="562"/>
      <c r="F3416" s="562">
        <v>19805500</v>
      </c>
      <c r="G3416" s="562">
        <f t="shared" si="133"/>
        <v>0</v>
      </c>
      <c r="H3416" s="562"/>
      <c r="I3416" s="562"/>
      <c r="J3416" s="562"/>
    </row>
    <row r="3417" spans="1:10" x14ac:dyDescent="0.25">
      <c r="A3417" s="532"/>
      <c r="B3417" s="532"/>
      <c r="C3417" s="532"/>
      <c r="D3417" s="564">
        <f>SUM(D3402:D3416)</f>
        <v>1606199828</v>
      </c>
      <c r="E3417" s="564">
        <f t="shared" ref="E3417:J3417" si="135">SUM(E3402:E3416)</f>
        <v>227521074</v>
      </c>
      <c r="F3417" s="564">
        <f t="shared" si="135"/>
        <v>1833779000</v>
      </c>
      <c r="G3417" s="564">
        <f t="shared" si="135"/>
        <v>-58098</v>
      </c>
      <c r="H3417" s="564">
        <f t="shared" si="135"/>
        <v>0</v>
      </c>
      <c r="I3417" s="564">
        <f t="shared" si="135"/>
        <v>0</v>
      </c>
      <c r="J3417" s="564">
        <f t="shared" si="135"/>
        <v>0</v>
      </c>
    </row>
    <row r="3418" spans="1:10" x14ac:dyDescent="0.25">
      <c r="A3418" s="362"/>
      <c r="B3418" s="611">
        <v>44289</v>
      </c>
      <c r="C3418" s="362" t="s">
        <v>86</v>
      </c>
      <c r="D3418" s="562">
        <v>56781850</v>
      </c>
      <c r="E3418" s="562">
        <v>35508623</v>
      </c>
      <c r="F3418" s="562">
        <v>92290500</v>
      </c>
      <c r="G3418" s="562">
        <f t="shared" si="133"/>
        <v>-27</v>
      </c>
      <c r="H3418" s="562"/>
      <c r="I3418" s="562"/>
      <c r="J3418" s="562"/>
    </row>
    <row r="3419" spans="1:10" x14ac:dyDescent="0.25">
      <c r="A3419" s="362"/>
      <c r="B3419" s="611">
        <v>44289</v>
      </c>
      <c r="C3419" s="362" t="s">
        <v>87</v>
      </c>
      <c r="D3419" s="562">
        <v>118653159</v>
      </c>
      <c r="E3419" s="562">
        <v>118502715</v>
      </c>
      <c r="F3419" s="562">
        <v>237155900</v>
      </c>
      <c r="G3419" s="562">
        <f t="shared" si="133"/>
        <v>-26</v>
      </c>
      <c r="H3419" s="562"/>
      <c r="I3419" s="562"/>
      <c r="J3419" s="562"/>
    </row>
    <row r="3420" spans="1:10" x14ac:dyDescent="0.25">
      <c r="A3420" s="362"/>
      <c r="B3420" s="611">
        <v>44289</v>
      </c>
      <c r="C3420" s="362" t="s">
        <v>88</v>
      </c>
      <c r="D3420" s="562">
        <v>146722273</v>
      </c>
      <c r="E3420" s="562">
        <v>28041256</v>
      </c>
      <c r="F3420" s="562">
        <v>174763600</v>
      </c>
      <c r="G3420" s="562">
        <f t="shared" si="133"/>
        <v>-71</v>
      </c>
      <c r="H3420" s="562"/>
      <c r="I3420" s="562"/>
      <c r="J3420" s="562"/>
    </row>
    <row r="3421" spans="1:10" x14ac:dyDescent="0.25">
      <c r="A3421" s="362"/>
      <c r="B3421" s="611">
        <v>44289</v>
      </c>
      <c r="C3421" s="362" t="s">
        <v>82</v>
      </c>
      <c r="D3421" s="562">
        <v>100575666</v>
      </c>
      <c r="E3421" s="562">
        <v>5817609</v>
      </c>
      <c r="F3421" s="562">
        <v>106393400</v>
      </c>
      <c r="G3421" s="562">
        <f t="shared" si="133"/>
        <v>-125</v>
      </c>
      <c r="H3421" s="562"/>
      <c r="I3421" s="562"/>
      <c r="J3421" s="562"/>
    </row>
    <row r="3422" spans="1:10" x14ac:dyDescent="0.25">
      <c r="A3422" s="362"/>
      <c r="B3422" s="611">
        <v>44289</v>
      </c>
      <c r="C3422" s="362" t="s">
        <v>80</v>
      </c>
      <c r="D3422" s="562">
        <v>373724780</v>
      </c>
      <c r="E3422" s="562">
        <v>196074916</v>
      </c>
      <c r="F3422" s="562">
        <v>237377000</v>
      </c>
      <c r="G3422" s="562">
        <f t="shared" si="133"/>
        <v>332422696</v>
      </c>
      <c r="H3422" s="562"/>
      <c r="I3422" s="562"/>
      <c r="J3422" s="562"/>
    </row>
    <row r="3423" spans="1:10" x14ac:dyDescent="0.25">
      <c r="A3423" s="362"/>
      <c r="B3423" s="611">
        <v>44289</v>
      </c>
      <c r="C3423" s="362" t="s">
        <v>83</v>
      </c>
      <c r="D3423" s="562">
        <v>149390106</v>
      </c>
      <c r="E3423" s="562">
        <v>109986694</v>
      </c>
      <c r="F3423" s="562">
        <v>259376800</v>
      </c>
      <c r="G3423" s="562">
        <f t="shared" si="133"/>
        <v>0</v>
      </c>
      <c r="H3423" s="562"/>
      <c r="I3423" s="562"/>
      <c r="J3423" s="562"/>
    </row>
    <row r="3424" spans="1:10" x14ac:dyDescent="0.25">
      <c r="A3424" s="362"/>
      <c r="B3424" s="611">
        <v>44289</v>
      </c>
      <c r="C3424" s="362" t="s">
        <v>78</v>
      </c>
      <c r="D3424" s="562">
        <v>149530805</v>
      </c>
      <c r="E3424" s="562">
        <v>5321595</v>
      </c>
      <c r="F3424" s="562">
        <v>154852400</v>
      </c>
      <c r="G3424" s="562">
        <f t="shared" si="133"/>
        <v>0</v>
      </c>
      <c r="H3424" s="562"/>
      <c r="I3424" s="562"/>
      <c r="J3424" s="562"/>
    </row>
    <row r="3425" spans="1:10" x14ac:dyDescent="0.25">
      <c r="A3425" s="362"/>
      <c r="B3425" s="611">
        <v>44289</v>
      </c>
      <c r="C3425" s="362" t="s">
        <v>141</v>
      </c>
      <c r="D3425" s="562">
        <v>34376456</v>
      </c>
      <c r="E3425" s="562">
        <v>1815144</v>
      </c>
      <c r="F3425" s="562">
        <v>36191600</v>
      </c>
      <c r="G3425" s="562">
        <f t="shared" si="133"/>
        <v>0</v>
      </c>
      <c r="H3425" s="562"/>
      <c r="I3425" s="562"/>
      <c r="J3425" s="562"/>
    </row>
    <row r="3426" spans="1:10" x14ac:dyDescent="0.25">
      <c r="A3426" s="362"/>
      <c r="B3426" s="611">
        <v>44289</v>
      </c>
      <c r="C3426" s="362" t="s">
        <v>89</v>
      </c>
      <c r="D3426" s="562">
        <v>107969257</v>
      </c>
      <c r="E3426" s="562">
        <v>16493143</v>
      </c>
      <c r="F3426" s="562">
        <v>124462400</v>
      </c>
      <c r="G3426" s="562">
        <f t="shared" si="133"/>
        <v>0</v>
      </c>
      <c r="H3426" s="562"/>
      <c r="I3426" s="562"/>
      <c r="J3426" s="562"/>
    </row>
    <row r="3427" spans="1:10" x14ac:dyDescent="0.25">
      <c r="A3427" s="362"/>
      <c r="B3427" s="611">
        <v>44289</v>
      </c>
      <c r="C3427" s="362" t="s">
        <v>81</v>
      </c>
      <c r="D3427" s="562">
        <v>90579659</v>
      </c>
      <c r="E3427" s="562">
        <v>21036167</v>
      </c>
      <c r="F3427" s="562">
        <v>111615900</v>
      </c>
      <c r="G3427" s="562">
        <f t="shared" si="133"/>
        <v>-74</v>
      </c>
      <c r="H3427" s="562"/>
      <c r="I3427" s="562"/>
      <c r="J3427" s="562"/>
    </row>
    <row r="3428" spans="1:10" x14ac:dyDescent="0.25">
      <c r="A3428" s="362"/>
      <c r="B3428" s="611">
        <v>44289</v>
      </c>
      <c r="C3428" s="362" t="s">
        <v>84</v>
      </c>
      <c r="D3428" s="562">
        <v>219814928</v>
      </c>
      <c r="E3428" s="562">
        <v>13056409</v>
      </c>
      <c r="F3428" s="562">
        <v>232871600</v>
      </c>
      <c r="G3428" s="562">
        <f t="shared" si="133"/>
        <v>-263</v>
      </c>
      <c r="H3428" s="562"/>
      <c r="I3428" s="562"/>
      <c r="J3428" s="562"/>
    </row>
    <row r="3429" spans="1:10" x14ac:dyDescent="0.25">
      <c r="A3429" s="362"/>
      <c r="B3429" s="611">
        <v>44289</v>
      </c>
      <c r="C3429" s="362" t="s">
        <v>4751</v>
      </c>
      <c r="D3429" s="562">
        <v>218217846</v>
      </c>
      <c r="E3429" s="562">
        <v>12810054</v>
      </c>
      <c r="F3429" s="562">
        <v>231027900</v>
      </c>
      <c r="G3429" s="562">
        <f t="shared" si="133"/>
        <v>0</v>
      </c>
      <c r="H3429" s="562"/>
      <c r="I3429" s="562"/>
      <c r="J3429" s="562"/>
    </row>
    <row r="3430" spans="1:10" x14ac:dyDescent="0.25">
      <c r="A3430" s="362"/>
      <c r="B3430" s="611">
        <v>44289</v>
      </c>
      <c r="C3430" s="362" t="s">
        <v>166</v>
      </c>
      <c r="D3430" s="562"/>
      <c r="E3430" s="562"/>
      <c r="F3430" s="562"/>
      <c r="G3430" s="562">
        <f t="shared" si="133"/>
        <v>0</v>
      </c>
      <c r="H3430" s="562"/>
      <c r="I3430" s="562"/>
      <c r="J3430" s="562"/>
    </row>
    <row r="3431" spans="1:10" x14ac:dyDescent="0.25">
      <c r="A3431" s="362"/>
      <c r="B3431" s="611">
        <v>44289</v>
      </c>
      <c r="C3431" s="362" t="s">
        <v>3435</v>
      </c>
      <c r="D3431" s="562"/>
      <c r="E3431" s="562"/>
      <c r="F3431" s="562"/>
      <c r="G3431" s="562">
        <f t="shared" si="133"/>
        <v>0</v>
      </c>
      <c r="H3431" s="562"/>
      <c r="I3431" s="562"/>
      <c r="J3431" s="562"/>
    </row>
    <row r="3432" spans="1:10" x14ac:dyDescent="0.25">
      <c r="A3432" s="362"/>
      <c r="B3432" s="611">
        <v>44289</v>
      </c>
      <c r="C3432" s="370" t="s">
        <v>85</v>
      </c>
      <c r="D3432" s="562">
        <v>27897800</v>
      </c>
      <c r="E3432" s="562"/>
      <c r="F3432" s="562">
        <v>27897800</v>
      </c>
      <c r="G3432" s="562">
        <f t="shared" si="133"/>
        <v>0</v>
      </c>
      <c r="H3432" s="562"/>
      <c r="I3432" s="562"/>
      <c r="J3432" s="562"/>
    </row>
    <row r="3433" spans="1:10" x14ac:dyDescent="0.25">
      <c r="A3433" s="532"/>
      <c r="B3433" s="532"/>
      <c r="C3433" s="532"/>
      <c r="D3433" s="564">
        <f>SUM(D3418:D3432)</f>
        <v>1794234585</v>
      </c>
      <c r="E3433" s="564">
        <f t="shared" ref="E3433:G3433" si="136">SUM(E3418:E3432)</f>
        <v>564464325</v>
      </c>
      <c r="F3433" s="564">
        <f t="shared" si="136"/>
        <v>2026276800</v>
      </c>
      <c r="G3433" s="564">
        <f t="shared" si="136"/>
        <v>332422110</v>
      </c>
      <c r="H3433" s="564"/>
      <c r="I3433" s="564"/>
      <c r="J3433" s="564"/>
    </row>
    <row r="3434" spans="1:10" x14ac:dyDescent="0.25">
      <c r="A3434" s="362"/>
      <c r="B3434" s="611">
        <v>44291</v>
      </c>
      <c r="C3434" s="362" t="s">
        <v>86</v>
      </c>
      <c r="D3434" s="562">
        <v>71167900</v>
      </c>
      <c r="E3434" s="562">
        <v>16502981</v>
      </c>
      <c r="F3434" s="562">
        <v>87671000</v>
      </c>
      <c r="G3434" s="562">
        <f t="shared" si="133"/>
        <v>-119</v>
      </c>
      <c r="H3434" s="562"/>
      <c r="I3434" s="562"/>
      <c r="J3434" s="562"/>
    </row>
    <row r="3435" spans="1:10" x14ac:dyDescent="0.25">
      <c r="A3435" s="362"/>
      <c r="B3435" s="611">
        <v>44291</v>
      </c>
      <c r="C3435" s="362" t="s">
        <v>87</v>
      </c>
      <c r="D3435" s="562">
        <v>114371216</v>
      </c>
      <c r="E3435" s="562">
        <v>10325522</v>
      </c>
      <c r="F3435" s="562">
        <v>124696800</v>
      </c>
      <c r="G3435" s="562">
        <f t="shared" si="133"/>
        <v>-62</v>
      </c>
      <c r="H3435" s="562"/>
      <c r="I3435" s="562"/>
      <c r="J3435" s="562"/>
    </row>
    <row r="3436" spans="1:10" x14ac:dyDescent="0.25">
      <c r="A3436" s="362"/>
      <c r="B3436" s="611">
        <v>44291</v>
      </c>
      <c r="C3436" s="362" t="s">
        <v>88</v>
      </c>
      <c r="D3436" s="562">
        <v>177897978</v>
      </c>
      <c r="E3436" s="562">
        <v>95763288</v>
      </c>
      <c r="F3436" s="562">
        <v>273661300</v>
      </c>
      <c r="G3436" s="562">
        <f t="shared" si="133"/>
        <v>-34</v>
      </c>
      <c r="H3436" s="562"/>
      <c r="I3436" s="562"/>
      <c r="J3436" s="562"/>
    </row>
    <row r="3437" spans="1:10" x14ac:dyDescent="0.25">
      <c r="A3437" s="362"/>
      <c r="B3437" s="611">
        <v>44291</v>
      </c>
      <c r="C3437" s="362" t="s">
        <v>82</v>
      </c>
      <c r="D3437" s="562">
        <v>54423355</v>
      </c>
      <c r="E3437" s="562">
        <v>1731600</v>
      </c>
      <c r="F3437" s="562">
        <v>56155000</v>
      </c>
      <c r="G3437" s="562">
        <f t="shared" si="133"/>
        <v>-45</v>
      </c>
      <c r="H3437" s="562"/>
      <c r="I3437" s="562"/>
      <c r="J3437" s="562"/>
    </row>
    <row r="3438" spans="1:10" x14ac:dyDescent="0.25">
      <c r="A3438" s="362"/>
      <c r="B3438" s="611">
        <v>44291</v>
      </c>
      <c r="C3438" s="362" t="s">
        <v>80</v>
      </c>
      <c r="D3438" s="562">
        <v>178731617</v>
      </c>
      <c r="E3438" s="562"/>
      <c r="F3438" s="562">
        <v>178731600</v>
      </c>
      <c r="G3438" s="562">
        <f t="shared" si="133"/>
        <v>17</v>
      </c>
      <c r="H3438" s="562"/>
      <c r="I3438" s="562"/>
      <c r="J3438" s="562"/>
    </row>
    <row r="3439" spans="1:10" x14ac:dyDescent="0.25">
      <c r="A3439" s="362"/>
      <c r="B3439" s="611">
        <v>44291</v>
      </c>
      <c r="C3439" s="362" t="s">
        <v>83</v>
      </c>
      <c r="D3439" s="562">
        <v>177958262</v>
      </c>
      <c r="E3439" s="562">
        <v>21108156</v>
      </c>
      <c r="F3439" s="562">
        <v>199066500</v>
      </c>
      <c r="G3439" s="562">
        <f t="shared" si="133"/>
        <v>-82</v>
      </c>
      <c r="H3439" s="562"/>
      <c r="I3439" s="562"/>
      <c r="J3439" s="562"/>
    </row>
    <row r="3440" spans="1:10" x14ac:dyDescent="0.25">
      <c r="A3440" s="362"/>
      <c r="B3440" s="611">
        <v>44291</v>
      </c>
      <c r="C3440" s="362" t="s">
        <v>78</v>
      </c>
      <c r="D3440" s="562">
        <v>67473912</v>
      </c>
      <c r="E3440" s="562">
        <v>8273088</v>
      </c>
      <c r="F3440" s="562">
        <v>75747000</v>
      </c>
      <c r="G3440" s="562">
        <f t="shared" si="133"/>
        <v>0</v>
      </c>
      <c r="H3440" s="562"/>
      <c r="I3440" s="562"/>
      <c r="J3440" s="562"/>
    </row>
    <row r="3441" spans="1:10" x14ac:dyDescent="0.25">
      <c r="A3441" s="362"/>
      <c r="B3441" s="611">
        <v>44291</v>
      </c>
      <c r="C3441" s="362" t="s">
        <v>141</v>
      </c>
      <c r="D3441" s="562">
        <v>47503361</v>
      </c>
      <c r="E3441" s="562">
        <v>1292742</v>
      </c>
      <c r="F3441" s="562">
        <v>48796200</v>
      </c>
      <c r="G3441" s="562">
        <f t="shared" si="133"/>
        <v>-97</v>
      </c>
      <c r="H3441" s="562"/>
      <c r="I3441" s="562"/>
      <c r="J3441" s="562"/>
    </row>
    <row r="3442" spans="1:10" x14ac:dyDescent="0.25">
      <c r="A3442" s="362"/>
      <c r="B3442" s="611">
        <v>44291</v>
      </c>
      <c r="C3442" s="362" t="s">
        <v>89</v>
      </c>
      <c r="D3442" s="562">
        <v>135513826</v>
      </c>
      <c r="E3442" s="562">
        <v>61430374</v>
      </c>
      <c r="F3442" s="562">
        <v>196944200</v>
      </c>
      <c r="G3442" s="562">
        <f t="shared" si="133"/>
        <v>0</v>
      </c>
      <c r="H3442" s="562"/>
      <c r="I3442" s="562"/>
      <c r="J3442" s="562"/>
    </row>
    <row r="3443" spans="1:10" x14ac:dyDescent="0.25">
      <c r="A3443" s="362"/>
      <c r="B3443" s="611">
        <v>44291</v>
      </c>
      <c r="C3443" s="362" t="s">
        <v>81</v>
      </c>
      <c r="D3443" s="562">
        <v>84888415</v>
      </c>
      <c r="E3443" s="562">
        <v>20517001</v>
      </c>
      <c r="F3443" s="562">
        <v>105405500</v>
      </c>
      <c r="G3443" s="562">
        <f t="shared" si="133"/>
        <v>-84</v>
      </c>
      <c r="H3443" s="562"/>
      <c r="I3443" s="562"/>
      <c r="J3443" s="562"/>
    </row>
    <row r="3444" spans="1:10" x14ac:dyDescent="0.25">
      <c r="A3444" s="362"/>
      <c r="B3444" s="611">
        <v>44291</v>
      </c>
      <c r="C3444" s="362" t="s">
        <v>84</v>
      </c>
      <c r="D3444" s="562">
        <v>202559072</v>
      </c>
      <c r="E3444" s="562">
        <v>6254940</v>
      </c>
      <c r="F3444" s="562">
        <v>208814000</v>
      </c>
      <c r="G3444" s="562">
        <f t="shared" si="133"/>
        <v>12</v>
      </c>
      <c r="H3444" s="562"/>
      <c r="I3444" s="562"/>
      <c r="J3444" s="562"/>
    </row>
    <row r="3445" spans="1:10" x14ac:dyDescent="0.25">
      <c r="A3445" s="362"/>
      <c r="B3445" s="611">
        <v>44291</v>
      </c>
      <c r="C3445" s="362" t="s">
        <v>4751</v>
      </c>
      <c r="D3445" s="562">
        <v>222763983</v>
      </c>
      <c r="E3445" s="562">
        <v>18375217</v>
      </c>
      <c r="F3445" s="562">
        <v>241139000</v>
      </c>
      <c r="G3445" s="562">
        <f t="shared" si="133"/>
        <v>200</v>
      </c>
      <c r="H3445" s="562"/>
      <c r="I3445" s="562"/>
      <c r="J3445" s="562"/>
    </row>
    <row r="3446" spans="1:10" x14ac:dyDescent="0.25">
      <c r="A3446" s="362"/>
      <c r="B3446" s="611">
        <v>44291</v>
      </c>
      <c r="C3446" s="362" t="s">
        <v>166</v>
      </c>
      <c r="D3446" s="562">
        <v>61137874</v>
      </c>
      <c r="E3446" s="562"/>
      <c r="F3446" s="562">
        <v>61135900</v>
      </c>
      <c r="G3446" s="562">
        <f t="shared" si="133"/>
        <v>1974</v>
      </c>
      <c r="H3446" s="562"/>
      <c r="I3446" s="562"/>
      <c r="J3446" s="562"/>
    </row>
    <row r="3447" spans="1:10" x14ac:dyDescent="0.25">
      <c r="A3447" s="362"/>
      <c r="B3447" s="611">
        <v>44291</v>
      </c>
      <c r="C3447" s="362" t="s">
        <v>3435</v>
      </c>
      <c r="D3447" s="562">
        <v>30853963</v>
      </c>
      <c r="E3447" s="562"/>
      <c r="F3447" s="562">
        <v>30854000</v>
      </c>
      <c r="G3447" s="562">
        <f t="shared" si="133"/>
        <v>-37</v>
      </c>
      <c r="H3447" s="562"/>
      <c r="I3447" s="562"/>
      <c r="J3447" s="562"/>
    </row>
    <row r="3448" spans="1:10" x14ac:dyDescent="0.25">
      <c r="A3448" s="362"/>
      <c r="B3448" s="611">
        <v>44291</v>
      </c>
      <c r="C3448" s="370" t="s">
        <v>85</v>
      </c>
      <c r="D3448" s="562">
        <v>37469600</v>
      </c>
      <c r="E3448" s="562"/>
      <c r="F3448" s="562">
        <v>37469600</v>
      </c>
      <c r="G3448" s="562">
        <f t="shared" si="133"/>
        <v>0</v>
      </c>
      <c r="H3448" s="562"/>
      <c r="I3448" s="562"/>
      <c r="J3448" s="562"/>
    </row>
    <row r="3449" spans="1:10" x14ac:dyDescent="0.25">
      <c r="A3449" s="532"/>
      <c r="B3449" s="532"/>
      <c r="C3449" s="532"/>
      <c r="D3449" s="564">
        <f>SUM(D3434:D3448)</f>
        <v>1664714334</v>
      </c>
      <c r="E3449" s="564">
        <f t="shared" ref="E3449:G3449" si="137">SUM(E3434:E3448)</f>
        <v>261574909</v>
      </c>
      <c r="F3449" s="564">
        <f t="shared" si="137"/>
        <v>1926287600</v>
      </c>
      <c r="G3449" s="564">
        <f t="shared" si="137"/>
        <v>1643</v>
      </c>
      <c r="H3449" s="564"/>
      <c r="I3449" s="564"/>
      <c r="J3449" s="564"/>
    </row>
    <row r="3450" spans="1:10" x14ac:dyDescent="0.25">
      <c r="A3450" s="362"/>
      <c r="B3450" s="611">
        <v>44292</v>
      </c>
      <c r="C3450" s="362" t="s">
        <v>86</v>
      </c>
      <c r="D3450" s="562">
        <v>105056453</v>
      </c>
      <c r="E3450" s="562">
        <v>88680191</v>
      </c>
      <c r="F3450" s="562">
        <v>193736600</v>
      </c>
      <c r="G3450" s="562">
        <f t="shared" si="133"/>
        <v>44</v>
      </c>
      <c r="H3450" s="562"/>
      <c r="I3450" s="562"/>
      <c r="J3450" s="562"/>
    </row>
    <row r="3451" spans="1:10" x14ac:dyDescent="0.25">
      <c r="A3451" s="362"/>
      <c r="B3451" s="611">
        <v>44292</v>
      </c>
      <c r="C3451" s="362" t="s">
        <v>87</v>
      </c>
      <c r="D3451" s="562">
        <v>219343095</v>
      </c>
      <c r="E3451" s="562">
        <v>10143540</v>
      </c>
      <c r="F3451" s="562">
        <v>229486800</v>
      </c>
      <c r="G3451" s="562">
        <f t="shared" si="133"/>
        <v>-165</v>
      </c>
      <c r="H3451" s="562"/>
      <c r="I3451" s="562"/>
      <c r="J3451" s="562"/>
    </row>
    <row r="3452" spans="1:10" x14ac:dyDescent="0.25">
      <c r="A3452" s="362"/>
      <c r="B3452" s="611">
        <v>44292</v>
      </c>
      <c r="C3452" s="362" t="s">
        <v>88</v>
      </c>
      <c r="D3452" s="562">
        <v>441104829</v>
      </c>
      <c r="E3452" s="562">
        <v>6288005</v>
      </c>
      <c r="F3452" s="562">
        <v>447392900</v>
      </c>
      <c r="G3452" s="562">
        <f t="shared" ref="G3452:G3515" si="138">D3452+E3452-F3452</f>
        <v>-66</v>
      </c>
      <c r="H3452" s="562"/>
      <c r="I3452" s="562"/>
      <c r="J3452" s="562"/>
    </row>
    <row r="3453" spans="1:10" x14ac:dyDescent="0.25">
      <c r="A3453" s="362"/>
      <c r="B3453" s="611">
        <v>44292</v>
      </c>
      <c r="C3453" s="362" t="s">
        <v>82</v>
      </c>
      <c r="D3453" s="562">
        <v>67689380</v>
      </c>
      <c r="E3453" s="562">
        <v>3195612</v>
      </c>
      <c r="F3453" s="562">
        <v>70885000</v>
      </c>
      <c r="G3453" s="562">
        <f t="shared" si="138"/>
        <v>-8</v>
      </c>
      <c r="H3453" s="562"/>
      <c r="I3453" s="562"/>
      <c r="J3453" s="562"/>
    </row>
    <row r="3454" spans="1:10" x14ac:dyDescent="0.25">
      <c r="A3454" s="362"/>
      <c r="B3454" s="611">
        <v>44292</v>
      </c>
      <c r="C3454" s="362" t="s">
        <v>80</v>
      </c>
      <c r="D3454" s="562">
        <v>337110805</v>
      </c>
      <c r="E3454" s="562">
        <v>3527040</v>
      </c>
      <c r="F3454" s="562">
        <v>340645900</v>
      </c>
      <c r="G3454" s="562">
        <f t="shared" si="138"/>
        <v>-8055</v>
      </c>
      <c r="H3454" s="562"/>
      <c r="I3454" s="562"/>
      <c r="J3454" s="562"/>
    </row>
    <row r="3455" spans="1:10" x14ac:dyDescent="0.25">
      <c r="A3455" s="362"/>
      <c r="B3455" s="611">
        <v>44292</v>
      </c>
      <c r="C3455" s="362" t="s">
        <v>83</v>
      </c>
      <c r="D3455" s="562">
        <v>256468202</v>
      </c>
      <c r="E3455" s="562">
        <v>12897298</v>
      </c>
      <c r="F3455" s="562">
        <v>269365500</v>
      </c>
      <c r="G3455" s="562">
        <f t="shared" si="138"/>
        <v>0</v>
      </c>
      <c r="H3455" s="562"/>
      <c r="I3455" s="562"/>
      <c r="J3455" s="562"/>
    </row>
    <row r="3456" spans="1:10" x14ac:dyDescent="0.25">
      <c r="A3456" s="362"/>
      <c r="B3456" s="611">
        <v>44292</v>
      </c>
      <c r="C3456" s="362" t="s">
        <v>78</v>
      </c>
      <c r="D3456" s="562">
        <v>82238983</v>
      </c>
      <c r="E3456" s="562">
        <v>1557317</v>
      </c>
      <c r="F3456" s="562">
        <v>83796300</v>
      </c>
      <c r="G3456" s="562">
        <f t="shared" si="138"/>
        <v>0</v>
      </c>
      <c r="H3456" s="562"/>
      <c r="I3456" s="562"/>
      <c r="J3456" s="562"/>
    </row>
    <row r="3457" spans="1:10" x14ac:dyDescent="0.25">
      <c r="A3457" s="362"/>
      <c r="B3457" s="611">
        <v>44292</v>
      </c>
      <c r="C3457" s="362" t="s">
        <v>141</v>
      </c>
      <c r="D3457" s="562">
        <v>85715843</v>
      </c>
      <c r="E3457" s="562">
        <v>3694920</v>
      </c>
      <c r="F3457" s="562">
        <v>89410800</v>
      </c>
      <c r="G3457" s="562">
        <f t="shared" si="138"/>
        <v>-37</v>
      </c>
      <c r="H3457" s="562"/>
      <c r="I3457" s="562"/>
      <c r="J3457" s="562"/>
    </row>
    <row r="3458" spans="1:10" x14ac:dyDescent="0.25">
      <c r="A3458" s="362"/>
      <c r="B3458" s="611">
        <v>44292</v>
      </c>
      <c r="C3458" s="362" t="s">
        <v>89</v>
      </c>
      <c r="D3458" s="562">
        <v>139758327</v>
      </c>
      <c r="E3458" s="562">
        <v>25999673</v>
      </c>
      <c r="F3458" s="562">
        <v>165758000</v>
      </c>
      <c r="G3458" s="562">
        <f t="shared" si="138"/>
        <v>0</v>
      </c>
      <c r="H3458" s="562"/>
      <c r="I3458" s="562"/>
      <c r="J3458" s="562"/>
    </row>
    <row r="3459" spans="1:10" x14ac:dyDescent="0.25">
      <c r="A3459" s="362"/>
      <c r="B3459" s="611">
        <v>44292</v>
      </c>
      <c r="C3459" s="362" t="s">
        <v>81</v>
      </c>
      <c r="D3459" s="562">
        <v>89053302</v>
      </c>
      <c r="E3459" s="562">
        <v>41435019</v>
      </c>
      <c r="F3459" s="562">
        <v>130488400</v>
      </c>
      <c r="G3459" s="562">
        <f t="shared" si="138"/>
        <v>-79</v>
      </c>
      <c r="H3459" s="562"/>
      <c r="I3459" s="562"/>
      <c r="J3459" s="562"/>
    </row>
    <row r="3460" spans="1:10" x14ac:dyDescent="0.25">
      <c r="A3460" s="362"/>
      <c r="B3460" s="611">
        <v>44292</v>
      </c>
      <c r="C3460" s="362" t="s">
        <v>84</v>
      </c>
      <c r="D3460" s="562">
        <v>211321958</v>
      </c>
      <c r="E3460" s="562">
        <v>10050948</v>
      </c>
      <c r="F3460" s="562">
        <v>221372100</v>
      </c>
      <c r="G3460" s="562">
        <f t="shared" si="138"/>
        <v>806</v>
      </c>
      <c r="H3460" s="562"/>
      <c r="I3460" s="562"/>
      <c r="J3460" s="562"/>
    </row>
    <row r="3461" spans="1:10" x14ac:dyDescent="0.25">
      <c r="A3461" s="362"/>
      <c r="B3461" s="611">
        <v>44292</v>
      </c>
      <c r="C3461" s="362" t="s">
        <v>4751</v>
      </c>
      <c r="D3461" s="562">
        <v>218038012</v>
      </c>
      <c r="E3461" s="562">
        <v>12195388</v>
      </c>
      <c r="F3461" s="562">
        <v>230238400</v>
      </c>
      <c r="G3461" s="562">
        <f t="shared" si="138"/>
        <v>-5000</v>
      </c>
      <c r="H3461" s="562"/>
      <c r="I3461" s="562"/>
      <c r="J3461" s="562"/>
    </row>
    <row r="3462" spans="1:10" x14ac:dyDescent="0.25">
      <c r="A3462" s="362"/>
      <c r="B3462" s="611">
        <v>44292</v>
      </c>
      <c r="C3462" s="362" t="s">
        <v>166</v>
      </c>
      <c r="D3462" s="562">
        <v>117178624</v>
      </c>
      <c r="E3462" s="562"/>
      <c r="F3462" s="562">
        <v>117179000</v>
      </c>
      <c r="G3462" s="562">
        <f t="shared" si="138"/>
        <v>-376</v>
      </c>
      <c r="H3462" s="562"/>
      <c r="I3462" s="562"/>
      <c r="J3462" s="562"/>
    </row>
    <row r="3463" spans="1:10" x14ac:dyDescent="0.25">
      <c r="A3463" s="362"/>
      <c r="B3463" s="611">
        <v>44292</v>
      </c>
      <c r="C3463" s="362" t="s">
        <v>3435</v>
      </c>
      <c r="D3463" s="562">
        <v>74076173</v>
      </c>
      <c r="E3463" s="562"/>
      <c r="F3463" s="562">
        <v>74076200</v>
      </c>
      <c r="G3463" s="562">
        <f t="shared" si="138"/>
        <v>-27</v>
      </c>
      <c r="H3463" s="562"/>
      <c r="I3463" s="562"/>
      <c r="J3463" s="562"/>
    </row>
    <row r="3464" spans="1:10" x14ac:dyDescent="0.25">
      <c r="A3464" s="362"/>
      <c r="B3464" s="611">
        <v>44292</v>
      </c>
      <c r="C3464" s="370" t="s">
        <v>85</v>
      </c>
      <c r="D3464" s="562">
        <v>27257600</v>
      </c>
      <c r="E3464" s="562"/>
      <c r="F3464" s="562">
        <v>27257600</v>
      </c>
      <c r="G3464" s="562">
        <f t="shared" si="138"/>
        <v>0</v>
      </c>
      <c r="H3464" s="562"/>
      <c r="I3464" s="562"/>
      <c r="J3464" s="562"/>
    </row>
    <row r="3465" spans="1:10" x14ac:dyDescent="0.25">
      <c r="A3465" s="532"/>
      <c r="B3465" s="532"/>
      <c r="C3465" s="532"/>
      <c r="D3465" s="564">
        <f>SUM(D3450:D3464)</f>
        <v>2471411586</v>
      </c>
      <c r="E3465" s="564">
        <f t="shared" ref="E3465:G3465" si="139">SUM(E3450:E3464)</f>
        <v>219664951</v>
      </c>
      <c r="F3465" s="564">
        <f t="shared" si="139"/>
        <v>2691089500</v>
      </c>
      <c r="G3465" s="564">
        <f t="shared" si="139"/>
        <v>-12963</v>
      </c>
      <c r="H3465" s="564"/>
      <c r="I3465" s="564"/>
      <c r="J3465" s="564"/>
    </row>
    <row r="3466" spans="1:10" x14ac:dyDescent="0.25">
      <c r="A3466" s="362"/>
      <c r="B3466" s="611">
        <v>44293</v>
      </c>
      <c r="C3466" s="362" t="s">
        <v>86</v>
      </c>
      <c r="D3466" s="562">
        <v>90169116</v>
      </c>
      <c r="E3466" s="562">
        <v>56256477</v>
      </c>
      <c r="F3466" s="562">
        <v>146425600</v>
      </c>
      <c r="G3466" s="562">
        <f t="shared" si="138"/>
        <v>-7</v>
      </c>
      <c r="H3466" s="562"/>
      <c r="I3466" s="562"/>
      <c r="J3466" s="562"/>
    </row>
    <row r="3467" spans="1:10" x14ac:dyDescent="0.25">
      <c r="A3467" s="362"/>
      <c r="B3467" s="611">
        <v>44293</v>
      </c>
      <c r="C3467" s="362" t="s">
        <v>87</v>
      </c>
      <c r="D3467" s="562">
        <v>115800023</v>
      </c>
      <c r="E3467" s="562">
        <v>12406742</v>
      </c>
      <c r="F3467" s="562">
        <v>128206300</v>
      </c>
      <c r="G3467" s="562">
        <f t="shared" si="138"/>
        <v>465</v>
      </c>
      <c r="H3467" s="562"/>
      <c r="I3467" s="562"/>
      <c r="J3467" s="562"/>
    </row>
    <row r="3468" spans="1:10" x14ac:dyDescent="0.25">
      <c r="A3468" s="362"/>
      <c r="B3468" s="611">
        <v>44293</v>
      </c>
      <c r="C3468" s="362" t="s">
        <v>88</v>
      </c>
      <c r="D3468" s="562">
        <v>299940674</v>
      </c>
      <c r="E3468" s="562">
        <v>53435597</v>
      </c>
      <c r="F3468" s="562">
        <v>353376300</v>
      </c>
      <c r="G3468" s="562">
        <f t="shared" si="138"/>
        <v>-29</v>
      </c>
      <c r="H3468" s="562"/>
      <c r="I3468" s="562"/>
      <c r="J3468" s="562"/>
    </row>
    <row r="3469" spans="1:10" x14ac:dyDescent="0.25">
      <c r="A3469" s="362"/>
      <c r="B3469" s="611">
        <v>44293</v>
      </c>
      <c r="C3469" s="362" t="s">
        <v>82</v>
      </c>
      <c r="D3469" s="562">
        <v>99363658</v>
      </c>
      <c r="E3469" s="562">
        <v>1834900</v>
      </c>
      <c r="F3469" s="562">
        <v>101198600</v>
      </c>
      <c r="G3469" s="562">
        <f t="shared" si="138"/>
        <v>-42</v>
      </c>
      <c r="H3469" s="562"/>
      <c r="I3469" s="562"/>
      <c r="J3469" s="562"/>
    </row>
    <row r="3470" spans="1:10" x14ac:dyDescent="0.25">
      <c r="A3470" s="362"/>
      <c r="B3470" s="611">
        <v>44293</v>
      </c>
      <c r="C3470" s="362" t="s">
        <v>80</v>
      </c>
      <c r="D3470" s="562">
        <v>262703577</v>
      </c>
      <c r="E3470" s="562"/>
      <c r="F3470" s="562">
        <v>262701500</v>
      </c>
      <c r="G3470" s="562">
        <f t="shared" si="138"/>
        <v>2077</v>
      </c>
      <c r="H3470" s="562"/>
      <c r="I3470" s="562"/>
      <c r="J3470" s="562"/>
    </row>
    <row r="3471" spans="1:10" x14ac:dyDescent="0.25">
      <c r="A3471" s="362"/>
      <c r="B3471" s="611">
        <v>44293</v>
      </c>
      <c r="C3471" s="362" t="s">
        <v>83</v>
      </c>
      <c r="D3471" s="562">
        <v>205085767</v>
      </c>
      <c r="E3471" s="562">
        <v>72165797</v>
      </c>
      <c r="F3471" s="562">
        <v>277251600</v>
      </c>
      <c r="G3471" s="562">
        <f t="shared" si="138"/>
        <v>-36</v>
      </c>
      <c r="H3471" s="562"/>
      <c r="I3471" s="562"/>
      <c r="J3471" s="562"/>
    </row>
    <row r="3472" spans="1:10" x14ac:dyDescent="0.25">
      <c r="A3472" s="362"/>
      <c r="B3472" s="611">
        <v>44293</v>
      </c>
      <c r="C3472" s="362" t="s">
        <v>78</v>
      </c>
      <c r="D3472" s="562">
        <v>79265879</v>
      </c>
      <c r="E3472" s="562">
        <v>3870221</v>
      </c>
      <c r="F3472" s="562">
        <v>83136100</v>
      </c>
      <c r="G3472" s="562">
        <f t="shared" si="138"/>
        <v>0</v>
      </c>
      <c r="H3472" s="562"/>
      <c r="I3472" s="562"/>
      <c r="J3472" s="562"/>
    </row>
    <row r="3473" spans="1:10" x14ac:dyDescent="0.25">
      <c r="A3473" s="362"/>
      <c r="B3473" s="611">
        <v>44293</v>
      </c>
      <c r="C3473" s="362" t="s">
        <v>141</v>
      </c>
      <c r="D3473" s="562">
        <v>64443591</v>
      </c>
      <c r="E3473" s="562">
        <v>2001425</v>
      </c>
      <c r="F3473" s="562">
        <v>66445100</v>
      </c>
      <c r="G3473" s="562">
        <f t="shared" si="138"/>
        <v>-84</v>
      </c>
      <c r="H3473" s="562"/>
      <c r="I3473" s="562"/>
      <c r="J3473" s="562"/>
    </row>
    <row r="3474" spans="1:10" x14ac:dyDescent="0.25">
      <c r="A3474" s="362"/>
      <c r="B3474" s="611">
        <v>44293</v>
      </c>
      <c r="C3474" s="362" t="s">
        <v>89</v>
      </c>
      <c r="D3474" s="562">
        <v>124141762</v>
      </c>
      <c r="E3474" s="562">
        <v>16336538</v>
      </c>
      <c r="F3474" s="562">
        <v>140478300</v>
      </c>
      <c r="G3474" s="562">
        <f t="shared" si="138"/>
        <v>0</v>
      </c>
      <c r="H3474" s="562"/>
      <c r="I3474" s="562"/>
      <c r="J3474" s="562"/>
    </row>
    <row r="3475" spans="1:10" x14ac:dyDescent="0.25">
      <c r="A3475" s="362"/>
      <c r="B3475" s="611">
        <v>44293</v>
      </c>
      <c r="C3475" s="362" t="s">
        <v>81</v>
      </c>
      <c r="D3475" s="562">
        <v>114651573</v>
      </c>
      <c r="E3475" s="562">
        <v>10062064</v>
      </c>
      <c r="F3475" s="562">
        <v>124713700</v>
      </c>
      <c r="G3475" s="562">
        <f t="shared" si="138"/>
        <v>-63</v>
      </c>
      <c r="H3475" s="562"/>
      <c r="I3475" s="562"/>
      <c r="J3475" s="562"/>
    </row>
    <row r="3476" spans="1:10" x14ac:dyDescent="0.25">
      <c r="A3476" s="362"/>
      <c r="B3476" s="611">
        <v>44293</v>
      </c>
      <c r="C3476" s="362" t="s">
        <v>84</v>
      </c>
      <c r="D3476" s="562">
        <v>299502350</v>
      </c>
      <c r="E3476" s="562">
        <v>10609588</v>
      </c>
      <c r="F3476" s="562">
        <v>310111900</v>
      </c>
      <c r="G3476" s="562">
        <f t="shared" si="138"/>
        <v>38</v>
      </c>
      <c r="H3476" s="562"/>
      <c r="I3476" s="562"/>
      <c r="J3476" s="562"/>
    </row>
    <row r="3477" spans="1:10" x14ac:dyDescent="0.25">
      <c r="A3477" s="362"/>
      <c r="B3477" s="611">
        <v>44293</v>
      </c>
      <c r="C3477" s="362" t="s">
        <v>4751</v>
      </c>
      <c r="D3477" s="562">
        <v>204525011</v>
      </c>
      <c r="E3477" s="562">
        <v>38786389</v>
      </c>
      <c r="F3477" s="562">
        <v>243311400</v>
      </c>
      <c r="G3477" s="562">
        <f t="shared" si="138"/>
        <v>0</v>
      </c>
      <c r="H3477" s="562"/>
      <c r="I3477" s="562"/>
      <c r="J3477" s="562"/>
    </row>
    <row r="3478" spans="1:10" x14ac:dyDescent="0.25">
      <c r="A3478" s="362"/>
      <c r="B3478" s="611">
        <v>44293</v>
      </c>
      <c r="C3478" s="362" t="s">
        <v>166</v>
      </c>
      <c r="D3478" s="562">
        <v>77522440</v>
      </c>
      <c r="E3478" s="562"/>
      <c r="F3478" s="562">
        <v>77522500</v>
      </c>
      <c r="G3478" s="562">
        <f t="shared" si="138"/>
        <v>-60</v>
      </c>
      <c r="H3478" s="562"/>
      <c r="I3478" s="562"/>
      <c r="J3478" s="562"/>
    </row>
    <row r="3479" spans="1:10" x14ac:dyDescent="0.25">
      <c r="A3479" s="362"/>
      <c r="B3479" s="611">
        <v>44293</v>
      </c>
      <c r="C3479" s="362" t="s">
        <v>3435</v>
      </c>
      <c r="D3479" s="562">
        <v>82954724</v>
      </c>
      <c r="E3479" s="562"/>
      <c r="F3479" s="562">
        <v>82954800</v>
      </c>
      <c r="G3479" s="562">
        <f t="shared" si="138"/>
        <v>-76</v>
      </c>
      <c r="H3479" s="562"/>
      <c r="I3479" s="562"/>
      <c r="J3479" s="562"/>
    </row>
    <row r="3480" spans="1:10" x14ac:dyDescent="0.25">
      <c r="A3480" s="362"/>
      <c r="B3480" s="611">
        <v>44293</v>
      </c>
      <c r="C3480" s="370" t="s">
        <v>85</v>
      </c>
      <c r="D3480" s="562">
        <v>38174400</v>
      </c>
      <c r="E3480" s="562"/>
      <c r="F3480" s="562">
        <v>38174400</v>
      </c>
      <c r="G3480" s="562">
        <f t="shared" si="138"/>
        <v>0</v>
      </c>
      <c r="H3480" s="562"/>
      <c r="I3480" s="562"/>
      <c r="J3480" s="562"/>
    </row>
    <row r="3481" spans="1:10" x14ac:dyDescent="0.25">
      <c r="A3481" s="532"/>
      <c r="B3481" s="532"/>
      <c r="C3481" s="532"/>
      <c r="D3481" s="564">
        <f>SUM(D3466:D3480)</f>
        <v>2158244545</v>
      </c>
      <c r="E3481" s="564">
        <f t="shared" ref="E3481:G3481" si="140">SUM(E3466:E3480)</f>
        <v>277765738</v>
      </c>
      <c r="F3481" s="564">
        <f t="shared" si="140"/>
        <v>2436008100</v>
      </c>
      <c r="G3481" s="564">
        <f t="shared" si="140"/>
        <v>2183</v>
      </c>
      <c r="H3481" s="564"/>
      <c r="I3481" s="564"/>
      <c r="J3481" s="564"/>
    </row>
    <row r="3482" spans="1:10" x14ac:dyDescent="0.25">
      <c r="A3482" s="362"/>
      <c r="B3482" s="611">
        <v>44294</v>
      </c>
      <c r="C3482" s="362" t="s">
        <v>86</v>
      </c>
      <c r="D3482" s="562">
        <v>95268966</v>
      </c>
      <c r="E3482" s="562">
        <v>34527213</v>
      </c>
      <c r="F3482" s="562">
        <v>129796200</v>
      </c>
      <c r="G3482" s="562">
        <f t="shared" si="138"/>
        <v>-21</v>
      </c>
      <c r="H3482" s="562"/>
      <c r="I3482" s="562"/>
      <c r="J3482" s="562"/>
    </row>
    <row r="3483" spans="1:10" x14ac:dyDescent="0.25">
      <c r="A3483" s="362"/>
      <c r="B3483" s="611">
        <v>44294</v>
      </c>
      <c r="C3483" s="362" t="s">
        <v>87</v>
      </c>
      <c r="D3483" s="562">
        <v>85020541</v>
      </c>
      <c r="E3483" s="562"/>
      <c r="F3483" s="562">
        <v>323999100</v>
      </c>
      <c r="G3483" s="562">
        <f t="shared" si="138"/>
        <v>-238978559</v>
      </c>
      <c r="H3483" s="562"/>
      <c r="I3483" s="562"/>
      <c r="J3483" s="562"/>
    </row>
    <row r="3484" spans="1:10" x14ac:dyDescent="0.25">
      <c r="A3484" s="362"/>
      <c r="B3484" s="611">
        <v>44294</v>
      </c>
      <c r="C3484" s="362" t="s">
        <v>88</v>
      </c>
      <c r="D3484" s="562">
        <v>212255036</v>
      </c>
      <c r="E3484" s="562">
        <v>62298323</v>
      </c>
      <c r="F3484" s="562">
        <v>274288600</v>
      </c>
      <c r="G3484" s="562">
        <f t="shared" si="138"/>
        <v>264759</v>
      </c>
      <c r="H3484" s="562"/>
      <c r="I3484" s="562"/>
      <c r="J3484" s="562"/>
    </row>
    <row r="3485" spans="1:10" x14ac:dyDescent="0.25">
      <c r="A3485" s="362"/>
      <c r="B3485" s="611">
        <v>44294</v>
      </c>
      <c r="C3485" s="362" t="s">
        <v>82</v>
      </c>
      <c r="D3485" s="562">
        <v>161732319</v>
      </c>
      <c r="E3485" s="562">
        <v>847820</v>
      </c>
      <c r="F3485" s="562">
        <v>162580200</v>
      </c>
      <c r="G3485" s="562">
        <f t="shared" si="138"/>
        <v>-61</v>
      </c>
      <c r="H3485" s="562"/>
      <c r="I3485" s="562"/>
      <c r="J3485" s="562"/>
    </row>
    <row r="3486" spans="1:10" x14ac:dyDescent="0.25">
      <c r="A3486" s="362"/>
      <c r="B3486" s="611">
        <v>44294</v>
      </c>
      <c r="C3486" s="362" t="s">
        <v>80</v>
      </c>
      <c r="D3486" s="562">
        <v>181978357</v>
      </c>
      <c r="E3486" s="562">
        <v>118643</v>
      </c>
      <c r="F3486" s="562">
        <v>182097000</v>
      </c>
      <c r="G3486" s="562">
        <f t="shared" si="138"/>
        <v>0</v>
      </c>
      <c r="H3486" s="562"/>
      <c r="I3486" s="562"/>
      <c r="J3486" s="562"/>
    </row>
    <row r="3487" spans="1:10" x14ac:dyDescent="0.25">
      <c r="A3487" s="362"/>
      <c r="B3487" s="611">
        <v>44294</v>
      </c>
      <c r="C3487" s="362" t="s">
        <v>83</v>
      </c>
      <c r="D3487" s="562">
        <v>180366662</v>
      </c>
      <c r="E3487" s="562">
        <v>112333038</v>
      </c>
      <c r="F3487" s="562">
        <v>292699700</v>
      </c>
      <c r="G3487" s="562">
        <f t="shared" si="138"/>
        <v>0</v>
      </c>
      <c r="H3487" s="562"/>
      <c r="I3487" s="562"/>
      <c r="J3487" s="562"/>
    </row>
    <row r="3488" spans="1:10" x14ac:dyDescent="0.25">
      <c r="A3488" s="362"/>
      <c r="B3488" s="611">
        <v>44294</v>
      </c>
      <c r="C3488" s="362" t="s">
        <v>78</v>
      </c>
      <c r="D3488" s="562">
        <v>114788139</v>
      </c>
      <c r="E3488" s="562"/>
      <c r="F3488" s="562">
        <v>116133800</v>
      </c>
      <c r="G3488" s="562">
        <f t="shared" si="138"/>
        <v>-1345661</v>
      </c>
      <c r="H3488" s="562"/>
      <c r="I3488" s="562"/>
      <c r="J3488" s="562"/>
    </row>
    <row r="3489" spans="1:10" x14ac:dyDescent="0.25">
      <c r="A3489" s="362"/>
      <c r="B3489" s="611">
        <v>44294</v>
      </c>
      <c r="C3489" s="362" t="s">
        <v>141</v>
      </c>
      <c r="D3489" s="562">
        <v>101916844</v>
      </c>
      <c r="E3489" s="562"/>
      <c r="F3489" s="562">
        <v>101916900</v>
      </c>
      <c r="G3489" s="562">
        <f t="shared" si="138"/>
        <v>-56</v>
      </c>
      <c r="H3489" s="562"/>
      <c r="I3489" s="562"/>
      <c r="J3489" s="562"/>
    </row>
    <row r="3490" spans="1:10" x14ac:dyDescent="0.25">
      <c r="A3490" s="362"/>
      <c r="B3490" s="611">
        <v>44294</v>
      </c>
      <c r="C3490" s="362" t="s">
        <v>89</v>
      </c>
      <c r="D3490" s="562">
        <v>201155634</v>
      </c>
      <c r="E3490" s="562">
        <v>28240666</v>
      </c>
      <c r="F3490" s="562">
        <v>229396300</v>
      </c>
      <c r="G3490" s="562">
        <f t="shared" si="138"/>
        <v>0</v>
      </c>
      <c r="H3490" s="562"/>
      <c r="I3490" s="562"/>
      <c r="J3490" s="562"/>
    </row>
    <row r="3491" spans="1:10" x14ac:dyDescent="0.25">
      <c r="A3491" s="362"/>
      <c r="B3491" s="611">
        <v>44294</v>
      </c>
      <c r="C3491" s="362" t="s">
        <v>81</v>
      </c>
      <c r="D3491" s="562">
        <v>59592255</v>
      </c>
      <c r="E3491" s="562">
        <v>8580308</v>
      </c>
      <c r="F3491" s="562">
        <v>68172600</v>
      </c>
      <c r="G3491" s="562">
        <f t="shared" si="138"/>
        <v>-37</v>
      </c>
      <c r="H3491" s="562"/>
      <c r="I3491" s="562"/>
      <c r="J3491" s="562"/>
    </row>
    <row r="3492" spans="1:10" x14ac:dyDescent="0.25">
      <c r="A3492" s="362"/>
      <c r="B3492" s="611">
        <v>44294</v>
      </c>
      <c r="C3492" s="362" t="s">
        <v>84</v>
      </c>
      <c r="D3492" s="562">
        <v>353637531</v>
      </c>
      <c r="E3492" s="562">
        <v>13651643</v>
      </c>
      <c r="F3492" s="562">
        <v>367288600</v>
      </c>
      <c r="G3492" s="562">
        <f t="shared" si="138"/>
        <v>574</v>
      </c>
      <c r="H3492" s="562"/>
      <c r="I3492" s="562"/>
      <c r="J3492" s="562"/>
    </row>
    <row r="3493" spans="1:10" x14ac:dyDescent="0.25">
      <c r="A3493" s="362"/>
      <c r="B3493" s="611">
        <v>44294</v>
      </c>
      <c r="C3493" s="362" t="s">
        <v>4751</v>
      </c>
      <c r="D3493" s="562">
        <v>303462678</v>
      </c>
      <c r="E3493" s="562">
        <v>31833622</v>
      </c>
      <c r="F3493" s="562">
        <v>335296300</v>
      </c>
      <c r="G3493" s="562">
        <f t="shared" si="138"/>
        <v>0</v>
      </c>
      <c r="H3493" s="562"/>
      <c r="I3493" s="562"/>
      <c r="J3493" s="562"/>
    </row>
    <row r="3494" spans="1:10" x14ac:dyDescent="0.25">
      <c r="A3494" s="362"/>
      <c r="B3494" s="611">
        <v>44294</v>
      </c>
      <c r="C3494" s="362" t="s">
        <v>166</v>
      </c>
      <c r="D3494" s="562">
        <v>86164813</v>
      </c>
      <c r="E3494" s="562"/>
      <c r="F3494" s="562">
        <v>86165000</v>
      </c>
      <c r="G3494" s="562">
        <f t="shared" si="138"/>
        <v>-187</v>
      </c>
      <c r="H3494" s="562"/>
      <c r="I3494" s="562"/>
      <c r="J3494" s="562"/>
    </row>
    <row r="3495" spans="1:10" x14ac:dyDescent="0.25">
      <c r="A3495" s="362"/>
      <c r="B3495" s="611">
        <v>44294</v>
      </c>
      <c r="C3495" s="362" t="s">
        <v>3435</v>
      </c>
      <c r="D3495" s="562">
        <v>112348256</v>
      </c>
      <c r="E3495" s="562"/>
      <c r="F3495" s="562">
        <v>112348300</v>
      </c>
      <c r="G3495" s="562">
        <f t="shared" si="138"/>
        <v>-44</v>
      </c>
      <c r="H3495" s="562"/>
      <c r="I3495" s="562"/>
      <c r="J3495" s="562"/>
    </row>
    <row r="3496" spans="1:10" x14ac:dyDescent="0.25">
      <c r="A3496" s="362"/>
      <c r="B3496" s="611">
        <v>44294</v>
      </c>
      <c r="C3496" s="370" t="s">
        <v>85</v>
      </c>
      <c r="D3496" s="562">
        <v>22874600</v>
      </c>
      <c r="E3496" s="562"/>
      <c r="F3496" s="562">
        <v>22874600</v>
      </c>
      <c r="G3496" s="562">
        <f t="shared" si="138"/>
        <v>0</v>
      </c>
      <c r="H3496" s="562"/>
      <c r="I3496" s="562"/>
      <c r="J3496" s="562"/>
    </row>
    <row r="3497" spans="1:10" x14ac:dyDescent="0.25">
      <c r="A3497" s="532"/>
      <c r="B3497" s="532"/>
      <c r="C3497" s="532"/>
      <c r="D3497" s="564">
        <f>SUM(D3482:D3496)</f>
        <v>2272562631</v>
      </c>
      <c r="E3497" s="564">
        <f t="shared" ref="E3497:G3497" si="141">SUM(E3482:E3496)</f>
        <v>292431276</v>
      </c>
      <c r="F3497" s="564">
        <f t="shared" si="141"/>
        <v>2805053200</v>
      </c>
      <c r="G3497" s="564">
        <f t="shared" si="141"/>
        <v>-240059293</v>
      </c>
      <c r="H3497" s="564"/>
      <c r="I3497" s="564"/>
      <c r="J3497" s="564"/>
    </row>
    <row r="3498" spans="1:10" x14ac:dyDescent="0.25">
      <c r="A3498" s="362"/>
      <c r="B3498" s="611">
        <v>44295</v>
      </c>
      <c r="C3498" s="362" t="s">
        <v>86</v>
      </c>
      <c r="D3498" s="562">
        <v>43314672</v>
      </c>
      <c r="E3498" s="562">
        <v>30676230</v>
      </c>
      <c r="F3498" s="562">
        <v>73990900</v>
      </c>
      <c r="G3498" s="562">
        <f t="shared" si="138"/>
        <v>2</v>
      </c>
      <c r="H3498" s="562"/>
      <c r="I3498" s="562"/>
      <c r="J3498" s="562"/>
    </row>
    <row r="3499" spans="1:10" x14ac:dyDescent="0.25">
      <c r="A3499" s="362"/>
      <c r="B3499" s="611">
        <v>44295</v>
      </c>
      <c r="C3499" s="362" t="s">
        <v>87</v>
      </c>
      <c r="D3499" s="562">
        <v>160334541</v>
      </c>
      <c r="E3499" s="562">
        <v>186884524</v>
      </c>
      <c r="F3499" s="562">
        <v>347218500</v>
      </c>
      <c r="G3499" s="562">
        <f t="shared" si="138"/>
        <v>565</v>
      </c>
      <c r="H3499" s="562"/>
      <c r="I3499" s="562"/>
      <c r="J3499" s="562"/>
    </row>
    <row r="3500" spans="1:10" x14ac:dyDescent="0.25">
      <c r="A3500" s="362"/>
      <c r="B3500" s="611">
        <v>44295</v>
      </c>
      <c r="C3500" s="362" t="s">
        <v>88</v>
      </c>
      <c r="D3500" s="562">
        <v>90889579</v>
      </c>
      <c r="E3500" s="562">
        <v>56338747</v>
      </c>
      <c r="F3500" s="562">
        <v>147228400</v>
      </c>
      <c r="G3500" s="562">
        <f t="shared" si="138"/>
        <v>-74</v>
      </c>
      <c r="H3500" s="562"/>
      <c r="I3500" s="562"/>
      <c r="J3500" s="562"/>
    </row>
    <row r="3501" spans="1:10" x14ac:dyDescent="0.25">
      <c r="A3501" s="362"/>
      <c r="B3501" s="611">
        <v>44295</v>
      </c>
      <c r="C3501" s="362" t="s">
        <v>82</v>
      </c>
      <c r="D3501" s="562">
        <v>52922229</v>
      </c>
      <c r="E3501" s="562">
        <v>4034123</v>
      </c>
      <c r="F3501" s="562">
        <v>56956400</v>
      </c>
      <c r="G3501" s="562">
        <f t="shared" si="138"/>
        <v>-48</v>
      </c>
      <c r="H3501" s="562"/>
      <c r="I3501" s="562"/>
      <c r="J3501" s="562"/>
    </row>
    <row r="3502" spans="1:10" x14ac:dyDescent="0.25">
      <c r="A3502" s="362"/>
      <c r="B3502" s="611">
        <v>44295</v>
      </c>
      <c r="C3502" s="362" t="s">
        <v>80</v>
      </c>
      <c r="D3502" s="562">
        <v>167460534</v>
      </c>
      <c r="E3502" s="562">
        <v>3478596</v>
      </c>
      <c r="F3502" s="562">
        <v>170969200</v>
      </c>
      <c r="G3502" s="562">
        <f t="shared" si="138"/>
        <v>-30070</v>
      </c>
      <c r="H3502" s="562"/>
      <c r="I3502" s="562"/>
      <c r="J3502" s="562"/>
    </row>
    <row r="3503" spans="1:10" x14ac:dyDescent="0.25">
      <c r="A3503" s="362"/>
      <c r="B3503" s="611">
        <v>44295</v>
      </c>
      <c r="C3503" s="362" t="s">
        <v>83</v>
      </c>
      <c r="D3503" s="562">
        <v>280305389</v>
      </c>
      <c r="E3503" s="562">
        <v>7164218</v>
      </c>
      <c r="F3503" s="562">
        <v>287469200</v>
      </c>
      <c r="G3503" s="562">
        <f t="shared" si="138"/>
        <v>407</v>
      </c>
      <c r="H3503" s="562"/>
      <c r="I3503" s="562"/>
      <c r="J3503" s="562"/>
    </row>
    <row r="3504" spans="1:10" x14ac:dyDescent="0.25">
      <c r="A3504" s="362"/>
      <c r="B3504" s="611">
        <v>44295</v>
      </c>
      <c r="C3504" s="362" t="s">
        <v>78</v>
      </c>
      <c r="D3504" s="562">
        <v>87109853</v>
      </c>
      <c r="E3504" s="562">
        <v>4979547</v>
      </c>
      <c r="F3504" s="562">
        <v>92089400</v>
      </c>
      <c r="G3504" s="562">
        <f t="shared" si="138"/>
        <v>0</v>
      </c>
      <c r="H3504" s="562"/>
      <c r="I3504" s="562"/>
      <c r="J3504" s="562"/>
    </row>
    <row r="3505" spans="1:10" x14ac:dyDescent="0.25">
      <c r="A3505" s="362"/>
      <c r="B3505" s="611">
        <v>44295</v>
      </c>
      <c r="C3505" s="362" t="s">
        <v>141</v>
      </c>
      <c r="D3505" s="562">
        <v>73030266</v>
      </c>
      <c r="E3505" s="562">
        <v>7824180</v>
      </c>
      <c r="F3505" s="562">
        <v>80854500</v>
      </c>
      <c r="G3505" s="562">
        <f t="shared" si="138"/>
        <v>-54</v>
      </c>
      <c r="H3505" s="562"/>
      <c r="I3505" s="562"/>
      <c r="J3505" s="562"/>
    </row>
    <row r="3506" spans="1:10" x14ac:dyDescent="0.25">
      <c r="A3506" s="362"/>
      <c r="B3506" s="611">
        <v>44295</v>
      </c>
      <c r="C3506" s="362" t="s">
        <v>89</v>
      </c>
      <c r="D3506" s="562">
        <v>224362572</v>
      </c>
      <c r="E3506" s="562">
        <v>70535328</v>
      </c>
      <c r="F3506" s="562">
        <v>294897900</v>
      </c>
      <c r="G3506" s="562">
        <f t="shared" si="138"/>
        <v>0</v>
      </c>
      <c r="H3506" s="562"/>
      <c r="I3506" s="562"/>
      <c r="J3506" s="562"/>
    </row>
    <row r="3507" spans="1:10" x14ac:dyDescent="0.25">
      <c r="A3507" s="362"/>
      <c r="B3507" s="611">
        <v>44295</v>
      </c>
      <c r="C3507" s="362" t="s">
        <v>81</v>
      </c>
      <c r="D3507" s="562">
        <v>123683836</v>
      </c>
      <c r="E3507" s="562">
        <v>6752321</v>
      </c>
      <c r="F3507" s="562">
        <v>130436200</v>
      </c>
      <c r="G3507" s="562">
        <f t="shared" si="138"/>
        <v>-43</v>
      </c>
      <c r="H3507" s="562"/>
      <c r="I3507" s="562"/>
      <c r="J3507" s="562"/>
    </row>
    <row r="3508" spans="1:10" x14ac:dyDescent="0.25">
      <c r="A3508" s="362"/>
      <c r="B3508" s="611">
        <v>44295</v>
      </c>
      <c r="C3508" s="362" t="s">
        <v>84</v>
      </c>
      <c r="D3508" s="562">
        <v>324760795</v>
      </c>
      <c r="E3508" s="562">
        <v>10615802</v>
      </c>
      <c r="F3508" s="562">
        <v>335377200</v>
      </c>
      <c r="G3508" s="562">
        <f t="shared" si="138"/>
        <v>-603</v>
      </c>
      <c r="H3508" s="562"/>
      <c r="I3508" s="562"/>
      <c r="J3508" s="562"/>
    </row>
    <row r="3509" spans="1:10" x14ac:dyDescent="0.25">
      <c r="A3509" s="362"/>
      <c r="B3509" s="611">
        <v>44295</v>
      </c>
      <c r="C3509" s="362" t="s">
        <v>4751</v>
      </c>
      <c r="D3509" s="562">
        <v>217851263</v>
      </c>
      <c r="E3509" s="562">
        <v>11868037</v>
      </c>
      <c r="F3509" s="562">
        <v>229719300</v>
      </c>
      <c r="G3509" s="562">
        <f t="shared" si="138"/>
        <v>0</v>
      </c>
      <c r="H3509" s="562"/>
      <c r="I3509" s="562"/>
      <c r="J3509" s="562"/>
    </row>
    <row r="3510" spans="1:10" x14ac:dyDescent="0.25">
      <c r="A3510" s="362"/>
      <c r="B3510" s="611">
        <v>44295</v>
      </c>
      <c r="C3510" s="362" t="s">
        <v>166</v>
      </c>
      <c r="D3510" s="562"/>
      <c r="E3510" s="562"/>
      <c r="F3510" s="562"/>
      <c r="G3510" s="562">
        <f t="shared" si="138"/>
        <v>0</v>
      </c>
      <c r="H3510" s="562"/>
      <c r="I3510" s="562"/>
      <c r="J3510" s="562"/>
    </row>
    <row r="3511" spans="1:10" x14ac:dyDescent="0.25">
      <c r="A3511" s="362"/>
      <c r="B3511" s="611">
        <v>44295</v>
      </c>
      <c r="C3511" s="362" t="s">
        <v>3435</v>
      </c>
      <c r="D3511" s="562">
        <v>114705925</v>
      </c>
      <c r="E3511" s="562"/>
      <c r="F3511" s="562">
        <v>114706000</v>
      </c>
      <c r="G3511" s="562">
        <f t="shared" si="138"/>
        <v>-75</v>
      </c>
      <c r="H3511" s="562"/>
      <c r="I3511" s="562"/>
      <c r="J3511" s="562"/>
    </row>
    <row r="3512" spans="1:10" x14ac:dyDescent="0.25">
      <c r="A3512" s="362"/>
      <c r="B3512" s="611">
        <v>44295</v>
      </c>
      <c r="C3512" s="370" t="s">
        <v>85</v>
      </c>
      <c r="D3512" s="562">
        <v>25426900</v>
      </c>
      <c r="E3512" s="562"/>
      <c r="F3512" s="562">
        <v>25426900</v>
      </c>
      <c r="G3512" s="562">
        <f t="shared" si="138"/>
        <v>0</v>
      </c>
      <c r="H3512" s="562"/>
      <c r="I3512" s="562"/>
      <c r="J3512" s="562"/>
    </row>
    <row r="3513" spans="1:10" x14ac:dyDescent="0.25">
      <c r="A3513" s="532"/>
      <c r="B3513" s="532"/>
      <c r="C3513" s="532"/>
      <c r="D3513" s="564">
        <f>SUM(D3498:D3512)</f>
        <v>1986158354</v>
      </c>
      <c r="E3513" s="564">
        <f t="shared" ref="E3513:G3513" si="142">SUM(E3498:E3512)</f>
        <v>401151653</v>
      </c>
      <c r="F3513" s="564">
        <f t="shared" si="142"/>
        <v>2387340000</v>
      </c>
      <c r="G3513" s="564">
        <f t="shared" si="142"/>
        <v>-29993</v>
      </c>
      <c r="H3513" s="564"/>
      <c r="I3513" s="564"/>
      <c r="J3513" s="564"/>
    </row>
    <row r="3514" spans="1:10" x14ac:dyDescent="0.25">
      <c r="A3514" s="362"/>
      <c r="B3514" s="611">
        <v>44296</v>
      </c>
      <c r="C3514" s="362" t="s">
        <v>86</v>
      </c>
      <c r="D3514" s="562">
        <v>42770195</v>
      </c>
      <c r="E3514" s="562">
        <v>164430730</v>
      </c>
      <c r="F3514" s="562">
        <v>207201000</v>
      </c>
      <c r="G3514" s="562">
        <f t="shared" si="138"/>
        <v>-75</v>
      </c>
      <c r="H3514" s="562"/>
      <c r="I3514" s="562"/>
      <c r="J3514" s="562"/>
    </row>
    <row r="3515" spans="1:10" x14ac:dyDescent="0.25">
      <c r="A3515" s="362"/>
      <c r="B3515" s="611">
        <v>44296</v>
      </c>
      <c r="C3515" s="362" t="s">
        <v>87</v>
      </c>
      <c r="D3515" s="562">
        <v>80168533</v>
      </c>
      <c r="E3515" s="562">
        <v>163829417</v>
      </c>
      <c r="F3515" s="562">
        <v>243998100</v>
      </c>
      <c r="G3515" s="562">
        <f t="shared" si="138"/>
        <v>-150</v>
      </c>
      <c r="H3515" s="562"/>
      <c r="I3515" s="562"/>
      <c r="J3515" s="562"/>
    </row>
    <row r="3516" spans="1:10" x14ac:dyDescent="0.25">
      <c r="A3516" s="362"/>
      <c r="B3516" s="611">
        <v>44296</v>
      </c>
      <c r="C3516" s="362" t="s">
        <v>88</v>
      </c>
      <c r="D3516" s="562">
        <v>200378911</v>
      </c>
      <c r="E3516" s="562">
        <v>95569489</v>
      </c>
      <c r="F3516" s="562">
        <v>295948600</v>
      </c>
      <c r="G3516" s="562">
        <f t="shared" ref="G3516:G3579" si="143">D3516+E3516-F3516</f>
        <v>-200</v>
      </c>
      <c r="H3516" s="562"/>
      <c r="I3516" s="562"/>
      <c r="J3516" s="562"/>
    </row>
    <row r="3517" spans="1:10" x14ac:dyDescent="0.25">
      <c r="A3517" s="362"/>
      <c r="B3517" s="611">
        <v>44296</v>
      </c>
      <c r="C3517" s="362" t="s">
        <v>82</v>
      </c>
      <c r="D3517" s="562">
        <v>63154656</v>
      </c>
      <c r="E3517" s="562">
        <v>22444588</v>
      </c>
      <c r="F3517" s="562">
        <v>85599200</v>
      </c>
      <c r="G3517" s="562">
        <f t="shared" si="143"/>
        <v>44</v>
      </c>
      <c r="H3517" s="562"/>
      <c r="I3517" s="562"/>
      <c r="J3517" s="562"/>
    </row>
    <row r="3518" spans="1:10" x14ac:dyDescent="0.25">
      <c r="A3518" s="362"/>
      <c r="B3518" s="611">
        <v>44296</v>
      </c>
      <c r="C3518" s="362" t="s">
        <v>80</v>
      </c>
      <c r="D3518" s="562">
        <v>322418889</v>
      </c>
      <c r="E3518" s="562"/>
      <c r="F3518" s="562">
        <v>322418500</v>
      </c>
      <c r="G3518" s="562">
        <f t="shared" si="143"/>
        <v>389</v>
      </c>
      <c r="H3518" s="562"/>
      <c r="I3518" s="562"/>
      <c r="J3518" s="562"/>
    </row>
    <row r="3519" spans="1:10" x14ac:dyDescent="0.25">
      <c r="A3519" s="362"/>
      <c r="B3519" s="611">
        <v>44296</v>
      </c>
      <c r="C3519" s="362" t="s">
        <v>83</v>
      </c>
      <c r="D3519" s="562">
        <v>185622354</v>
      </c>
      <c r="E3519" s="562">
        <v>23010413</v>
      </c>
      <c r="F3519" s="562">
        <v>208632800</v>
      </c>
      <c r="G3519" s="562">
        <f t="shared" si="143"/>
        <v>-33</v>
      </c>
      <c r="H3519" s="562"/>
      <c r="I3519" s="562"/>
      <c r="J3519" s="562"/>
    </row>
    <row r="3520" spans="1:10" x14ac:dyDescent="0.25">
      <c r="A3520" s="362"/>
      <c r="B3520" s="611">
        <v>44296</v>
      </c>
      <c r="C3520" s="362" t="s">
        <v>78</v>
      </c>
      <c r="D3520" s="562">
        <v>218456749</v>
      </c>
      <c r="E3520" s="562">
        <v>7260651</v>
      </c>
      <c r="F3520" s="562">
        <v>225717400</v>
      </c>
      <c r="G3520" s="562">
        <f t="shared" si="143"/>
        <v>0</v>
      </c>
      <c r="H3520" s="562"/>
      <c r="I3520" s="562"/>
      <c r="J3520" s="562"/>
    </row>
    <row r="3521" spans="1:10" x14ac:dyDescent="0.25">
      <c r="A3521" s="362"/>
      <c r="B3521" s="611">
        <v>44296</v>
      </c>
      <c r="C3521" s="362" t="s">
        <v>141</v>
      </c>
      <c r="D3521" s="562">
        <v>45686695</v>
      </c>
      <c r="E3521" s="562">
        <v>6787603</v>
      </c>
      <c r="F3521" s="562">
        <v>52474300</v>
      </c>
      <c r="G3521" s="562">
        <f t="shared" si="143"/>
        <v>-2</v>
      </c>
      <c r="H3521" s="562"/>
      <c r="I3521" s="562"/>
      <c r="J3521" s="562"/>
    </row>
    <row r="3522" spans="1:10" x14ac:dyDescent="0.25">
      <c r="A3522" s="362"/>
      <c r="B3522" s="611">
        <v>44296</v>
      </c>
      <c r="C3522" s="362" t="s">
        <v>89</v>
      </c>
      <c r="D3522" s="562">
        <v>150805925</v>
      </c>
      <c r="E3522" s="562">
        <v>29788975</v>
      </c>
      <c r="F3522" s="562">
        <v>180594900</v>
      </c>
      <c r="G3522" s="562">
        <f t="shared" si="143"/>
        <v>0</v>
      </c>
      <c r="H3522" s="562"/>
      <c r="I3522" s="562"/>
      <c r="J3522" s="562"/>
    </row>
    <row r="3523" spans="1:10" x14ac:dyDescent="0.25">
      <c r="A3523" s="362"/>
      <c r="B3523" s="611">
        <v>44296</v>
      </c>
      <c r="C3523" s="362" t="s">
        <v>81</v>
      </c>
      <c r="D3523" s="562">
        <v>136053803</v>
      </c>
      <c r="E3523" s="562">
        <v>5870577</v>
      </c>
      <c r="F3523" s="562">
        <v>141924400</v>
      </c>
      <c r="G3523" s="562">
        <f t="shared" si="143"/>
        <v>-20</v>
      </c>
      <c r="H3523" s="562"/>
      <c r="I3523" s="562"/>
      <c r="J3523" s="562"/>
    </row>
    <row r="3524" spans="1:10" x14ac:dyDescent="0.25">
      <c r="A3524" s="362"/>
      <c r="B3524" s="611">
        <v>44296</v>
      </c>
      <c r="C3524" s="362" t="s">
        <v>84</v>
      </c>
      <c r="D3524" s="562">
        <v>167269723</v>
      </c>
      <c r="E3524" s="562">
        <v>20030847</v>
      </c>
      <c r="F3524" s="562">
        <v>187300700</v>
      </c>
      <c r="G3524" s="562">
        <f t="shared" si="143"/>
        <v>-130</v>
      </c>
      <c r="H3524" s="562"/>
      <c r="I3524" s="562"/>
      <c r="J3524" s="562"/>
    </row>
    <row r="3525" spans="1:10" x14ac:dyDescent="0.25">
      <c r="A3525" s="362"/>
      <c r="B3525" s="611">
        <v>44296</v>
      </c>
      <c r="C3525" s="362" t="s">
        <v>4751</v>
      </c>
      <c r="D3525" s="562">
        <v>238283386</v>
      </c>
      <c r="E3525" s="562">
        <v>5702114</v>
      </c>
      <c r="F3525" s="562">
        <v>243985500</v>
      </c>
      <c r="G3525" s="562">
        <f t="shared" si="143"/>
        <v>0</v>
      </c>
      <c r="H3525" s="562"/>
      <c r="I3525" s="562"/>
      <c r="J3525" s="562"/>
    </row>
    <row r="3526" spans="1:10" x14ac:dyDescent="0.25">
      <c r="A3526" s="362"/>
      <c r="B3526" s="611">
        <v>44296</v>
      </c>
      <c r="C3526" s="362" t="s">
        <v>166</v>
      </c>
      <c r="D3526" s="562"/>
      <c r="E3526" s="562"/>
      <c r="F3526" s="562"/>
      <c r="G3526" s="562">
        <f t="shared" si="143"/>
        <v>0</v>
      </c>
      <c r="H3526" s="562"/>
      <c r="I3526" s="562"/>
      <c r="J3526" s="562"/>
    </row>
    <row r="3527" spans="1:10" x14ac:dyDescent="0.25">
      <c r="A3527" s="362"/>
      <c r="B3527" s="611">
        <v>44296</v>
      </c>
      <c r="C3527" s="362" t="s">
        <v>3435</v>
      </c>
      <c r="D3527" s="562"/>
      <c r="E3527" s="562"/>
      <c r="F3527" s="562"/>
      <c r="G3527" s="562">
        <f t="shared" si="143"/>
        <v>0</v>
      </c>
      <c r="H3527" s="562"/>
      <c r="I3527" s="562"/>
      <c r="J3527" s="562"/>
    </row>
    <row r="3528" spans="1:10" x14ac:dyDescent="0.25">
      <c r="A3528" s="362"/>
      <c r="B3528" s="611">
        <v>44296</v>
      </c>
      <c r="C3528" s="370" t="s">
        <v>85</v>
      </c>
      <c r="D3528" s="562">
        <v>29953900</v>
      </c>
      <c r="E3528" s="562"/>
      <c r="F3528" s="562">
        <v>29953900</v>
      </c>
      <c r="G3528" s="562">
        <f t="shared" si="143"/>
        <v>0</v>
      </c>
      <c r="H3528" s="562"/>
      <c r="I3528" s="562"/>
      <c r="J3528" s="562"/>
    </row>
    <row r="3529" spans="1:10" x14ac:dyDescent="0.25">
      <c r="A3529" s="532"/>
      <c r="B3529" s="532"/>
      <c r="C3529" s="532"/>
      <c r="D3529" s="564"/>
      <c r="E3529" s="564"/>
      <c r="F3529" s="564"/>
      <c r="G3529" s="564"/>
      <c r="H3529" s="564"/>
      <c r="I3529" s="564"/>
      <c r="J3529" s="564"/>
    </row>
    <row r="3530" spans="1:10" x14ac:dyDescent="0.25">
      <c r="A3530" s="362"/>
      <c r="B3530" s="611">
        <v>44298</v>
      </c>
      <c r="C3530" s="362" t="s">
        <v>86</v>
      </c>
      <c r="D3530" s="562">
        <v>53104383</v>
      </c>
      <c r="E3530" s="562">
        <v>9025224</v>
      </c>
      <c r="F3530" s="562">
        <v>62129800</v>
      </c>
      <c r="G3530" s="562">
        <f t="shared" si="143"/>
        <v>-193</v>
      </c>
      <c r="H3530" s="562"/>
      <c r="I3530" s="562"/>
      <c r="J3530" s="562"/>
    </row>
    <row r="3531" spans="1:10" x14ac:dyDescent="0.25">
      <c r="A3531" s="362"/>
      <c r="B3531" s="611">
        <v>44298</v>
      </c>
      <c r="C3531" s="362" t="s">
        <v>87</v>
      </c>
      <c r="D3531" s="562">
        <v>106871709</v>
      </c>
      <c r="E3531" s="562">
        <v>8976018</v>
      </c>
      <c r="F3531" s="562">
        <v>115847900</v>
      </c>
      <c r="G3531" s="562">
        <f t="shared" si="143"/>
        <v>-173</v>
      </c>
      <c r="H3531" s="562"/>
      <c r="I3531" s="562"/>
      <c r="J3531" s="562"/>
    </row>
    <row r="3532" spans="1:10" x14ac:dyDescent="0.25">
      <c r="A3532" s="362"/>
      <c r="B3532" s="611">
        <v>44298</v>
      </c>
      <c r="C3532" s="362" t="s">
        <v>88</v>
      </c>
      <c r="D3532" s="562">
        <v>179195148</v>
      </c>
      <c r="E3532" s="562">
        <v>54456106</v>
      </c>
      <c r="F3532" s="562">
        <v>233651300</v>
      </c>
      <c r="G3532" s="562">
        <f t="shared" si="143"/>
        <v>-46</v>
      </c>
      <c r="H3532" s="562"/>
      <c r="I3532" s="562"/>
      <c r="J3532" s="562"/>
    </row>
    <row r="3533" spans="1:10" x14ac:dyDescent="0.25">
      <c r="A3533" s="362"/>
      <c r="B3533" s="611">
        <v>44298</v>
      </c>
      <c r="C3533" s="362" t="s">
        <v>82</v>
      </c>
      <c r="D3533" s="562">
        <v>52589113</v>
      </c>
      <c r="E3533" s="562">
        <v>926596</v>
      </c>
      <c r="F3533" s="562">
        <v>53515800</v>
      </c>
      <c r="G3533" s="562">
        <f t="shared" si="143"/>
        <v>-91</v>
      </c>
      <c r="H3533" s="562"/>
      <c r="I3533" s="562"/>
      <c r="J3533" s="562"/>
    </row>
    <row r="3534" spans="1:10" x14ac:dyDescent="0.25">
      <c r="A3534" s="362"/>
      <c r="B3534" s="611">
        <v>44298</v>
      </c>
      <c r="C3534" s="362" t="s">
        <v>80</v>
      </c>
      <c r="D3534" s="562">
        <v>218808501</v>
      </c>
      <c r="E3534" s="562">
        <v>46716000</v>
      </c>
      <c r="F3534" s="562">
        <v>265514600</v>
      </c>
      <c r="G3534" s="562">
        <f t="shared" si="143"/>
        <v>9901</v>
      </c>
      <c r="H3534" s="562"/>
      <c r="I3534" s="562"/>
      <c r="J3534" s="562"/>
    </row>
    <row r="3535" spans="1:10" x14ac:dyDescent="0.25">
      <c r="A3535" s="362"/>
      <c r="B3535" s="611">
        <v>44298</v>
      </c>
      <c r="C3535" s="362" t="s">
        <v>83</v>
      </c>
      <c r="D3535" s="562">
        <v>299508400</v>
      </c>
      <c r="E3535" s="562">
        <v>179499629</v>
      </c>
      <c r="F3535" s="562">
        <v>479008000</v>
      </c>
      <c r="G3535" s="562">
        <f t="shared" si="143"/>
        <v>29</v>
      </c>
      <c r="H3535" s="562"/>
      <c r="I3535" s="562"/>
      <c r="J3535" s="562"/>
    </row>
    <row r="3536" spans="1:10" x14ac:dyDescent="0.25">
      <c r="A3536" s="362"/>
      <c r="B3536" s="611">
        <v>44298</v>
      </c>
      <c r="C3536" s="362" t="s">
        <v>78</v>
      </c>
      <c r="D3536" s="562">
        <v>152894408</v>
      </c>
      <c r="E3536" s="562">
        <v>974792</v>
      </c>
      <c r="F3536" s="562">
        <v>153869200</v>
      </c>
      <c r="G3536" s="562">
        <f t="shared" si="143"/>
        <v>0</v>
      </c>
      <c r="H3536" s="562"/>
      <c r="I3536" s="562"/>
      <c r="J3536" s="562"/>
    </row>
    <row r="3537" spans="1:10" x14ac:dyDescent="0.25">
      <c r="A3537" s="362"/>
      <c r="B3537" s="611">
        <v>44298</v>
      </c>
      <c r="C3537" s="362" t="s">
        <v>141</v>
      </c>
      <c r="D3537" s="562">
        <v>108871727</v>
      </c>
      <c r="E3537" s="562">
        <v>12525060</v>
      </c>
      <c r="F3537" s="562">
        <v>121396800</v>
      </c>
      <c r="G3537" s="562">
        <f t="shared" si="143"/>
        <v>-13</v>
      </c>
      <c r="H3537" s="562"/>
      <c r="I3537" s="562"/>
      <c r="J3537" s="562"/>
    </row>
    <row r="3538" spans="1:10" x14ac:dyDescent="0.25">
      <c r="A3538" s="362"/>
      <c r="B3538" s="611">
        <v>44298</v>
      </c>
      <c r="C3538" s="362" t="s">
        <v>89</v>
      </c>
      <c r="D3538" s="942">
        <v>131934111</v>
      </c>
      <c r="E3538" s="942">
        <v>20354489</v>
      </c>
      <c r="F3538" s="562">
        <v>152288600</v>
      </c>
      <c r="G3538" s="562">
        <f t="shared" si="143"/>
        <v>0</v>
      </c>
      <c r="H3538" s="562"/>
      <c r="I3538" s="562"/>
      <c r="J3538" s="562"/>
    </row>
    <row r="3539" spans="1:10" x14ac:dyDescent="0.25">
      <c r="A3539" s="362"/>
      <c r="B3539" s="611">
        <v>44298</v>
      </c>
      <c r="C3539" s="362" t="s">
        <v>81</v>
      </c>
      <c r="D3539" s="562">
        <v>74694009</v>
      </c>
      <c r="E3539" s="562">
        <v>19587799</v>
      </c>
      <c r="F3539" s="562">
        <v>94045800</v>
      </c>
      <c r="G3539" s="562">
        <f t="shared" si="143"/>
        <v>236008</v>
      </c>
      <c r="H3539" s="562"/>
      <c r="I3539" s="562"/>
      <c r="J3539" s="562"/>
    </row>
    <row r="3540" spans="1:10" x14ac:dyDescent="0.25">
      <c r="A3540" s="362"/>
      <c r="B3540" s="611">
        <v>44298</v>
      </c>
      <c r="C3540" s="362" t="s">
        <v>84</v>
      </c>
      <c r="D3540" s="562">
        <v>164792759</v>
      </c>
      <c r="E3540" s="562">
        <v>10087881</v>
      </c>
      <c r="F3540" s="562">
        <v>174880600</v>
      </c>
      <c r="G3540" s="562">
        <f t="shared" si="143"/>
        <v>40</v>
      </c>
      <c r="H3540" s="562"/>
      <c r="I3540" s="562"/>
      <c r="J3540" s="562"/>
    </row>
    <row r="3541" spans="1:10" x14ac:dyDescent="0.25">
      <c r="A3541" s="362"/>
      <c r="B3541" s="611">
        <v>44298</v>
      </c>
      <c r="C3541" s="362" t="s">
        <v>4751</v>
      </c>
      <c r="D3541" s="562">
        <v>165060952</v>
      </c>
      <c r="E3541" s="562">
        <v>12597148</v>
      </c>
      <c r="F3541" s="562">
        <v>177658100</v>
      </c>
      <c r="G3541" s="562">
        <f t="shared" si="143"/>
        <v>0</v>
      </c>
      <c r="H3541" s="562"/>
      <c r="I3541" s="562"/>
      <c r="J3541" s="562"/>
    </row>
    <row r="3542" spans="1:10" x14ac:dyDescent="0.25">
      <c r="A3542" s="362"/>
      <c r="B3542" s="611">
        <v>44298</v>
      </c>
      <c r="C3542" s="362" t="s">
        <v>166</v>
      </c>
      <c r="D3542" s="562">
        <v>104368500</v>
      </c>
      <c r="E3542" s="562"/>
      <c r="F3542" s="562">
        <v>104368500</v>
      </c>
      <c r="G3542" s="562">
        <f t="shared" si="143"/>
        <v>0</v>
      </c>
      <c r="H3542" s="562"/>
      <c r="I3542" s="562"/>
      <c r="J3542" s="562"/>
    </row>
    <row r="3543" spans="1:10" x14ac:dyDescent="0.25">
      <c r="A3543" s="362"/>
      <c r="B3543" s="611">
        <v>44298</v>
      </c>
      <c r="C3543" s="362" t="s">
        <v>3435</v>
      </c>
      <c r="D3543" s="562">
        <v>30982983</v>
      </c>
      <c r="E3543" s="562"/>
      <c r="F3543" s="562">
        <v>30983000</v>
      </c>
      <c r="G3543" s="562">
        <f t="shared" si="143"/>
        <v>-17</v>
      </c>
      <c r="H3543" s="562"/>
      <c r="I3543" s="562"/>
      <c r="J3543" s="562"/>
    </row>
    <row r="3544" spans="1:10" x14ac:dyDescent="0.25">
      <c r="A3544" s="362"/>
      <c r="B3544" s="611">
        <v>44298</v>
      </c>
      <c r="C3544" s="370" t="s">
        <v>85</v>
      </c>
      <c r="D3544" s="562">
        <v>45971700</v>
      </c>
      <c r="E3544" s="562"/>
      <c r="F3544" s="562">
        <v>45971700</v>
      </c>
      <c r="G3544" s="562">
        <f t="shared" si="143"/>
        <v>0</v>
      </c>
      <c r="H3544" s="562"/>
      <c r="I3544" s="562"/>
      <c r="J3544" s="562"/>
    </row>
    <row r="3545" spans="1:10" x14ac:dyDescent="0.25">
      <c r="A3545" s="532"/>
      <c r="B3545" s="532"/>
      <c r="C3545" s="532"/>
      <c r="D3545" s="564"/>
      <c r="E3545" s="564"/>
      <c r="F3545" s="564"/>
      <c r="G3545" s="564"/>
      <c r="H3545" s="564"/>
      <c r="I3545" s="564"/>
      <c r="J3545" s="564"/>
    </row>
    <row r="3546" spans="1:10" x14ac:dyDescent="0.25">
      <c r="A3546" s="362"/>
      <c r="B3546" s="611">
        <v>44299</v>
      </c>
      <c r="C3546" s="362" t="s">
        <v>86</v>
      </c>
      <c r="D3546" s="562">
        <v>30061668</v>
      </c>
      <c r="E3546" s="562">
        <v>26709369</v>
      </c>
      <c r="F3546" s="562">
        <v>56771300</v>
      </c>
      <c r="G3546" s="562">
        <f t="shared" si="143"/>
        <v>-263</v>
      </c>
      <c r="H3546" s="562"/>
      <c r="I3546" s="562"/>
      <c r="J3546" s="562"/>
    </row>
    <row r="3547" spans="1:10" x14ac:dyDescent="0.25">
      <c r="A3547" s="362"/>
      <c r="B3547" s="611">
        <v>44299</v>
      </c>
      <c r="C3547" s="362" t="s">
        <v>87</v>
      </c>
      <c r="D3547" s="562">
        <v>82601847</v>
      </c>
      <c r="E3547" s="562">
        <v>41594206</v>
      </c>
      <c r="F3547" s="562">
        <v>124196200</v>
      </c>
      <c r="G3547" s="562">
        <f t="shared" si="143"/>
        <v>-147</v>
      </c>
      <c r="H3547" s="562"/>
      <c r="I3547" s="562"/>
      <c r="J3547" s="562"/>
    </row>
    <row r="3548" spans="1:10" x14ac:dyDescent="0.25">
      <c r="A3548" s="362"/>
      <c r="B3548" s="611">
        <v>44299</v>
      </c>
      <c r="C3548" s="362" t="s">
        <v>88</v>
      </c>
      <c r="D3548" s="562">
        <v>118476761</v>
      </c>
      <c r="E3548" s="562">
        <v>92551565</v>
      </c>
      <c r="F3548" s="562">
        <v>211028400</v>
      </c>
      <c r="G3548" s="562">
        <f t="shared" si="143"/>
        <v>-74</v>
      </c>
      <c r="H3548" s="562"/>
      <c r="I3548" s="562"/>
      <c r="J3548" s="562"/>
    </row>
    <row r="3549" spans="1:10" x14ac:dyDescent="0.25">
      <c r="A3549" s="362"/>
      <c r="B3549" s="611">
        <v>44299</v>
      </c>
      <c r="C3549" s="362" t="s">
        <v>82</v>
      </c>
      <c r="D3549" s="562">
        <v>149977201</v>
      </c>
      <c r="E3549" s="562">
        <v>954826</v>
      </c>
      <c r="F3549" s="562">
        <v>150932100</v>
      </c>
      <c r="G3549" s="562">
        <f t="shared" si="143"/>
        <v>-73</v>
      </c>
      <c r="H3549" s="562"/>
      <c r="I3549" s="562"/>
      <c r="J3549" s="562"/>
    </row>
    <row r="3550" spans="1:10" x14ac:dyDescent="0.25">
      <c r="A3550" s="362"/>
      <c r="B3550" s="611">
        <v>44299</v>
      </c>
      <c r="C3550" s="362" t="s">
        <v>80</v>
      </c>
      <c r="D3550" s="562">
        <v>213507300</v>
      </c>
      <c r="E3550" s="562">
        <v>13990800</v>
      </c>
      <c r="F3550" s="562">
        <v>227468200</v>
      </c>
      <c r="G3550" s="562">
        <f t="shared" si="143"/>
        <v>29900</v>
      </c>
      <c r="H3550" s="562"/>
      <c r="I3550" s="562"/>
      <c r="J3550" s="562"/>
    </row>
    <row r="3551" spans="1:10" x14ac:dyDescent="0.25">
      <c r="A3551" s="362"/>
      <c r="B3551" s="611">
        <v>44299</v>
      </c>
      <c r="C3551" s="362" t="s">
        <v>83</v>
      </c>
      <c r="D3551" s="562">
        <v>273203826</v>
      </c>
      <c r="E3551" s="562">
        <v>8850674</v>
      </c>
      <c r="F3551" s="562">
        <v>282054500</v>
      </c>
      <c r="G3551" s="562">
        <f t="shared" si="143"/>
        <v>0</v>
      </c>
      <c r="H3551" s="562"/>
      <c r="I3551" s="562"/>
      <c r="J3551" s="562"/>
    </row>
    <row r="3552" spans="1:10" x14ac:dyDescent="0.25">
      <c r="A3552" s="362"/>
      <c r="B3552" s="611">
        <v>44299</v>
      </c>
      <c r="C3552" s="362" t="s">
        <v>78</v>
      </c>
      <c r="D3552" s="562">
        <v>67966427</v>
      </c>
      <c r="E3552" s="562">
        <v>2344573</v>
      </c>
      <c r="F3552" s="562">
        <v>70311000</v>
      </c>
      <c r="G3552" s="562">
        <f t="shared" si="143"/>
        <v>0</v>
      </c>
      <c r="H3552" s="562"/>
      <c r="I3552" s="562"/>
      <c r="J3552" s="562"/>
    </row>
    <row r="3553" spans="1:10" x14ac:dyDescent="0.25">
      <c r="A3553" s="362"/>
      <c r="B3553" s="611">
        <v>44299</v>
      </c>
      <c r="C3553" s="362" t="s">
        <v>141</v>
      </c>
      <c r="D3553" s="562">
        <v>33009183</v>
      </c>
      <c r="E3553" s="562">
        <v>3334100</v>
      </c>
      <c r="F3553" s="562">
        <v>36343300</v>
      </c>
      <c r="G3553" s="562">
        <f t="shared" si="143"/>
        <v>-17</v>
      </c>
      <c r="H3553" s="562"/>
      <c r="I3553" s="562"/>
      <c r="J3553" s="562"/>
    </row>
    <row r="3554" spans="1:10" x14ac:dyDescent="0.25">
      <c r="A3554" s="362"/>
      <c r="B3554" s="611">
        <v>44299</v>
      </c>
      <c r="C3554" s="362" t="s">
        <v>89</v>
      </c>
      <c r="D3554" s="562">
        <v>103948147</v>
      </c>
      <c r="E3554" s="562">
        <v>40520053</v>
      </c>
      <c r="F3554" s="562">
        <v>144468200</v>
      </c>
      <c r="G3554" s="562">
        <f t="shared" si="143"/>
        <v>0</v>
      </c>
      <c r="H3554" s="562"/>
      <c r="I3554" s="562"/>
      <c r="J3554" s="562"/>
    </row>
    <row r="3555" spans="1:10" x14ac:dyDescent="0.25">
      <c r="A3555" s="362"/>
      <c r="B3555" s="611">
        <v>44299</v>
      </c>
      <c r="C3555" s="362" t="s">
        <v>81</v>
      </c>
      <c r="D3555" s="562">
        <v>83379117</v>
      </c>
      <c r="E3555" s="562">
        <v>30206415</v>
      </c>
      <c r="F3555" s="562">
        <v>113585500</v>
      </c>
      <c r="G3555" s="562">
        <f t="shared" si="143"/>
        <v>32</v>
      </c>
      <c r="H3555" s="562"/>
      <c r="I3555" s="562"/>
      <c r="J3555" s="562"/>
    </row>
    <row r="3556" spans="1:10" x14ac:dyDescent="0.25">
      <c r="A3556" s="362"/>
      <c r="B3556" s="611">
        <v>44299</v>
      </c>
      <c r="C3556" s="362" t="s">
        <v>84</v>
      </c>
      <c r="D3556" s="562">
        <v>207866303</v>
      </c>
      <c r="E3556" s="562">
        <v>12438243</v>
      </c>
      <c r="F3556" s="562">
        <v>220304700</v>
      </c>
      <c r="G3556" s="562">
        <f t="shared" si="143"/>
        <v>-154</v>
      </c>
      <c r="H3556" s="562"/>
      <c r="I3556" s="562"/>
      <c r="J3556" s="562"/>
    </row>
    <row r="3557" spans="1:10" x14ac:dyDescent="0.25">
      <c r="A3557" s="362"/>
      <c r="B3557" s="611">
        <v>44299</v>
      </c>
      <c r="C3557" s="362" t="s">
        <v>4751</v>
      </c>
      <c r="D3557" s="562">
        <v>182398471</v>
      </c>
      <c r="E3557" s="562">
        <v>12634729</v>
      </c>
      <c r="F3557" s="562">
        <v>195033200</v>
      </c>
      <c r="G3557" s="562">
        <f t="shared" si="143"/>
        <v>0</v>
      </c>
      <c r="H3557" s="562"/>
      <c r="I3557" s="562"/>
      <c r="J3557" s="562"/>
    </row>
    <row r="3558" spans="1:10" x14ac:dyDescent="0.25">
      <c r="A3558" s="362"/>
      <c r="B3558" s="611">
        <v>44299</v>
      </c>
      <c r="C3558" s="362" t="s">
        <v>166</v>
      </c>
      <c r="D3558" s="562">
        <v>90284540</v>
      </c>
      <c r="E3558" s="562"/>
      <c r="F3558" s="562">
        <v>90284600</v>
      </c>
      <c r="G3558" s="562">
        <f t="shared" si="143"/>
        <v>-60</v>
      </c>
      <c r="H3558" s="562"/>
      <c r="I3558" s="562"/>
      <c r="J3558" s="562"/>
    </row>
    <row r="3559" spans="1:10" x14ac:dyDescent="0.25">
      <c r="A3559" s="362"/>
      <c r="B3559" s="611">
        <v>44299</v>
      </c>
      <c r="C3559" s="362" t="s">
        <v>3435</v>
      </c>
      <c r="D3559" s="562">
        <v>31463895</v>
      </c>
      <c r="E3559" s="562"/>
      <c r="F3559" s="562">
        <v>31463900</v>
      </c>
      <c r="G3559" s="562">
        <f t="shared" si="143"/>
        <v>-5</v>
      </c>
      <c r="H3559" s="562"/>
      <c r="I3559" s="562"/>
      <c r="J3559" s="562"/>
    </row>
    <row r="3560" spans="1:10" x14ac:dyDescent="0.25">
      <c r="A3560" s="362"/>
      <c r="B3560" s="611">
        <v>44299</v>
      </c>
      <c r="C3560" s="370" t="s">
        <v>85</v>
      </c>
      <c r="D3560" s="562">
        <v>27019000</v>
      </c>
      <c r="E3560" s="562"/>
      <c r="F3560" s="562">
        <v>27019000</v>
      </c>
      <c r="G3560" s="562">
        <f t="shared" si="143"/>
        <v>0</v>
      </c>
      <c r="H3560" s="562"/>
      <c r="I3560" s="562"/>
      <c r="J3560" s="562"/>
    </row>
    <row r="3561" spans="1:10" x14ac:dyDescent="0.25">
      <c r="A3561" s="532"/>
      <c r="B3561" s="532"/>
      <c r="C3561" s="532"/>
      <c r="D3561" s="564">
        <f>SUM(D3546:D3560)</f>
        <v>1695163686</v>
      </c>
      <c r="E3561" s="564">
        <f t="shared" ref="E3561:G3561" si="144">SUM(E3546:E3560)</f>
        <v>286129553</v>
      </c>
      <c r="F3561" s="564">
        <f t="shared" si="144"/>
        <v>1981264100</v>
      </c>
      <c r="G3561" s="564">
        <f t="shared" si="144"/>
        <v>29139</v>
      </c>
      <c r="H3561" s="564"/>
      <c r="I3561" s="564"/>
      <c r="J3561" s="564"/>
    </row>
    <row r="3562" spans="1:10" x14ac:dyDescent="0.25">
      <c r="A3562" s="362"/>
      <c r="B3562" s="611">
        <v>44300</v>
      </c>
      <c r="C3562" s="362" t="s">
        <v>86</v>
      </c>
      <c r="D3562" s="562">
        <v>76170848</v>
      </c>
      <c r="E3562" s="562">
        <v>143960374</v>
      </c>
      <c r="F3562" s="562">
        <v>220132200</v>
      </c>
      <c r="G3562" s="562">
        <f t="shared" si="143"/>
        <v>-978</v>
      </c>
      <c r="H3562" s="562"/>
      <c r="I3562" s="562"/>
      <c r="J3562" s="562"/>
    </row>
    <row r="3563" spans="1:10" x14ac:dyDescent="0.25">
      <c r="A3563" s="362"/>
      <c r="B3563" s="611">
        <v>44300</v>
      </c>
      <c r="C3563" s="362" t="s">
        <v>87</v>
      </c>
      <c r="D3563" s="562">
        <v>116635530</v>
      </c>
      <c r="E3563" s="562">
        <v>133804564</v>
      </c>
      <c r="F3563" s="562">
        <v>250440600</v>
      </c>
      <c r="G3563" s="562">
        <f t="shared" si="143"/>
        <v>-506</v>
      </c>
      <c r="H3563" s="562"/>
      <c r="I3563" s="562"/>
      <c r="J3563" s="562"/>
    </row>
    <row r="3564" spans="1:10" x14ac:dyDescent="0.25">
      <c r="A3564" s="362"/>
      <c r="B3564" s="611">
        <v>44300</v>
      </c>
      <c r="C3564" s="362" t="s">
        <v>88</v>
      </c>
      <c r="D3564" s="562">
        <v>247900989</v>
      </c>
      <c r="E3564" s="562">
        <v>12186805</v>
      </c>
      <c r="F3564" s="562">
        <v>260087800</v>
      </c>
      <c r="G3564" s="562">
        <f t="shared" si="143"/>
        <v>-6</v>
      </c>
      <c r="H3564" s="562"/>
      <c r="I3564" s="562"/>
      <c r="J3564" s="562"/>
    </row>
    <row r="3565" spans="1:10" x14ac:dyDescent="0.25">
      <c r="A3565" s="362"/>
      <c r="B3565" s="611">
        <v>44300</v>
      </c>
      <c r="C3565" s="362" t="s">
        <v>82</v>
      </c>
      <c r="D3565" s="562">
        <v>101024772</v>
      </c>
      <c r="E3565" s="562">
        <v>3372240</v>
      </c>
      <c r="F3565" s="562">
        <v>104397300</v>
      </c>
      <c r="G3565" s="562">
        <f t="shared" si="143"/>
        <v>-288</v>
      </c>
      <c r="H3565" s="562"/>
      <c r="I3565" s="562"/>
      <c r="J3565" s="562"/>
    </row>
    <row r="3566" spans="1:10" x14ac:dyDescent="0.25">
      <c r="A3566" s="362"/>
      <c r="B3566" s="611">
        <v>44300</v>
      </c>
      <c r="C3566" s="362" t="s">
        <v>80</v>
      </c>
      <c r="D3566" s="562">
        <v>328505058</v>
      </c>
      <c r="E3566" s="562">
        <v>8544000</v>
      </c>
      <c r="F3566" s="562">
        <v>337049300</v>
      </c>
      <c r="G3566" s="562">
        <f t="shared" si="143"/>
        <v>-242</v>
      </c>
      <c r="H3566" s="562"/>
      <c r="I3566" s="562"/>
      <c r="J3566" s="562"/>
    </row>
    <row r="3567" spans="1:10" x14ac:dyDescent="0.25">
      <c r="A3567" s="362"/>
      <c r="B3567" s="611">
        <v>44300</v>
      </c>
      <c r="C3567" s="362" t="s">
        <v>83</v>
      </c>
      <c r="D3567" s="562">
        <v>153729313</v>
      </c>
      <c r="E3567" s="562">
        <v>148238987</v>
      </c>
      <c r="F3567" s="562">
        <v>301968300</v>
      </c>
      <c r="G3567" s="562">
        <f t="shared" si="143"/>
        <v>0</v>
      </c>
      <c r="H3567" s="562"/>
      <c r="I3567" s="562"/>
      <c r="J3567" s="562"/>
    </row>
    <row r="3568" spans="1:10" x14ac:dyDescent="0.25">
      <c r="A3568" s="362"/>
      <c r="B3568" s="611">
        <v>44300</v>
      </c>
      <c r="C3568" s="362" t="s">
        <v>78</v>
      </c>
      <c r="D3568" s="562">
        <v>100752984</v>
      </c>
      <c r="E3568" s="562">
        <v>740616</v>
      </c>
      <c r="F3568" s="562">
        <v>101493600</v>
      </c>
      <c r="G3568" s="562">
        <f t="shared" si="143"/>
        <v>0</v>
      </c>
      <c r="H3568" s="562"/>
      <c r="I3568" s="562"/>
      <c r="J3568" s="562"/>
    </row>
    <row r="3569" spans="1:12" x14ac:dyDescent="0.25">
      <c r="A3569" s="362"/>
      <c r="B3569" s="611">
        <v>44300</v>
      </c>
      <c r="C3569" s="362" t="s">
        <v>141</v>
      </c>
      <c r="D3569" s="562">
        <v>130755108</v>
      </c>
      <c r="E3569" s="562">
        <v>3540046</v>
      </c>
      <c r="F3569" s="562">
        <v>134295200</v>
      </c>
      <c r="G3569" s="562">
        <f t="shared" si="143"/>
        <v>-46</v>
      </c>
      <c r="H3569" s="562"/>
      <c r="I3569" s="562"/>
      <c r="J3569" s="562"/>
    </row>
    <row r="3570" spans="1:12" x14ac:dyDescent="0.25">
      <c r="A3570" s="362"/>
      <c r="B3570" s="611">
        <v>44300</v>
      </c>
      <c r="C3570" s="362" t="s">
        <v>89</v>
      </c>
      <c r="D3570" s="562">
        <v>150737243</v>
      </c>
      <c r="E3570" s="562">
        <v>34333657</v>
      </c>
      <c r="F3570" s="562">
        <v>185070900</v>
      </c>
      <c r="G3570" s="562">
        <f t="shared" si="143"/>
        <v>0</v>
      </c>
      <c r="H3570" s="562"/>
      <c r="I3570" s="562"/>
      <c r="J3570" s="562"/>
    </row>
    <row r="3571" spans="1:12" x14ac:dyDescent="0.25">
      <c r="A3571" s="362"/>
      <c r="B3571" s="611">
        <v>44300</v>
      </c>
      <c r="C3571" s="362" t="s">
        <v>81</v>
      </c>
      <c r="D3571" s="562">
        <v>56093517</v>
      </c>
      <c r="E3571" s="562">
        <v>47834285</v>
      </c>
      <c r="F3571" s="562">
        <v>103927800</v>
      </c>
      <c r="G3571" s="562">
        <f t="shared" si="143"/>
        <v>2</v>
      </c>
      <c r="H3571" s="562"/>
      <c r="I3571" s="562"/>
      <c r="J3571" s="562"/>
    </row>
    <row r="3572" spans="1:12" x14ac:dyDescent="0.25">
      <c r="A3572" s="362"/>
      <c r="B3572" s="611">
        <v>44300</v>
      </c>
      <c r="C3572" s="362" t="s">
        <v>84</v>
      </c>
      <c r="D3572" s="562">
        <v>494179297</v>
      </c>
      <c r="E3572" s="562">
        <v>7644847</v>
      </c>
      <c r="F3572" s="562">
        <v>501824700</v>
      </c>
      <c r="G3572" s="562">
        <f t="shared" si="143"/>
        <v>-556</v>
      </c>
      <c r="H3572" s="562"/>
      <c r="I3572" s="562"/>
      <c r="J3572" s="562"/>
      <c r="L3572" t="s">
        <v>6090</v>
      </c>
    </row>
    <row r="3573" spans="1:12" x14ac:dyDescent="0.25">
      <c r="A3573" s="362"/>
      <c r="B3573" s="611">
        <v>44300</v>
      </c>
      <c r="C3573" s="362" t="s">
        <v>4751</v>
      </c>
      <c r="D3573" s="562">
        <v>201154646</v>
      </c>
      <c r="E3573" s="562">
        <v>9626854</v>
      </c>
      <c r="F3573" s="562">
        <v>210781500</v>
      </c>
      <c r="G3573" s="562">
        <f t="shared" si="143"/>
        <v>0</v>
      </c>
      <c r="H3573" s="562"/>
      <c r="I3573" s="562"/>
      <c r="J3573" s="562"/>
    </row>
    <row r="3574" spans="1:12" x14ac:dyDescent="0.25">
      <c r="A3574" s="362"/>
      <c r="B3574" s="611">
        <v>44300</v>
      </c>
      <c r="C3574" s="362" t="s">
        <v>166</v>
      </c>
      <c r="D3574" s="562">
        <v>53634527</v>
      </c>
      <c r="E3574" s="562"/>
      <c r="F3574" s="562">
        <v>53634600</v>
      </c>
      <c r="G3574" s="562">
        <f t="shared" si="143"/>
        <v>-73</v>
      </c>
      <c r="H3574" s="562"/>
      <c r="I3574" s="562"/>
      <c r="J3574" s="562"/>
    </row>
    <row r="3575" spans="1:12" x14ac:dyDescent="0.25">
      <c r="A3575" s="362"/>
      <c r="B3575" s="611">
        <v>44300</v>
      </c>
      <c r="C3575" s="362" t="s">
        <v>3435</v>
      </c>
      <c r="D3575" s="562">
        <v>97155151</v>
      </c>
      <c r="E3575" s="562"/>
      <c r="F3575" s="562">
        <v>97155200</v>
      </c>
      <c r="G3575" s="562">
        <f t="shared" si="143"/>
        <v>-49</v>
      </c>
      <c r="H3575" s="562"/>
      <c r="I3575" s="562"/>
      <c r="J3575" s="562"/>
    </row>
    <row r="3576" spans="1:12" x14ac:dyDescent="0.25">
      <c r="A3576" s="362"/>
      <c r="B3576" s="611">
        <v>44300</v>
      </c>
      <c r="C3576" s="370" t="s">
        <v>85</v>
      </c>
      <c r="D3576" s="562">
        <v>37757900</v>
      </c>
      <c r="E3576" s="562"/>
      <c r="F3576" s="562">
        <v>37757900</v>
      </c>
      <c r="G3576" s="562">
        <f t="shared" si="143"/>
        <v>0</v>
      </c>
      <c r="H3576" s="562"/>
      <c r="I3576" s="562"/>
      <c r="J3576" s="562"/>
    </row>
    <row r="3577" spans="1:12" x14ac:dyDescent="0.25">
      <c r="A3577" s="532"/>
      <c r="B3577" s="532"/>
      <c r="C3577" s="532"/>
      <c r="D3577" s="564">
        <f>SUM(D3562:D3576)</f>
        <v>2346186883</v>
      </c>
      <c r="E3577" s="564">
        <f t="shared" ref="E3577:G3577" si="145">SUM(E3562:E3576)</f>
        <v>553827275</v>
      </c>
      <c r="F3577" s="564">
        <f t="shared" si="145"/>
        <v>2900016900</v>
      </c>
      <c r="G3577" s="564">
        <f t="shared" si="145"/>
        <v>-2742</v>
      </c>
      <c r="H3577" s="564"/>
      <c r="I3577" s="564"/>
      <c r="J3577" s="564"/>
    </row>
    <row r="3578" spans="1:12" x14ac:dyDescent="0.25">
      <c r="A3578" s="362"/>
      <c r="B3578" s="611">
        <v>44301</v>
      </c>
      <c r="C3578" s="362" t="s">
        <v>86</v>
      </c>
      <c r="D3578" s="562">
        <v>103255331</v>
      </c>
      <c r="E3578" s="562">
        <v>123058610</v>
      </c>
      <c r="F3578" s="562">
        <v>226314000</v>
      </c>
      <c r="G3578" s="562">
        <f t="shared" si="143"/>
        <v>-59</v>
      </c>
      <c r="H3578" s="562"/>
      <c r="I3578" s="562"/>
      <c r="J3578" s="562"/>
    </row>
    <row r="3579" spans="1:12" x14ac:dyDescent="0.25">
      <c r="A3579" s="362"/>
      <c r="B3579" s="611">
        <v>44301</v>
      </c>
      <c r="C3579" s="362" t="s">
        <v>87</v>
      </c>
      <c r="D3579" s="562">
        <v>94308618</v>
      </c>
      <c r="E3579" s="562">
        <v>171378730</v>
      </c>
      <c r="F3579" s="562">
        <v>265687300</v>
      </c>
      <c r="G3579" s="562">
        <f t="shared" si="143"/>
        <v>48</v>
      </c>
      <c r="H3579" s="562"/>
      <c r="I3579" s="562"/>
      <c r="J3579" s="562"/>
    </row>
    <row r="3580" spans="1:12" x14ac:dyDescent="0.25">
      <c r="A3580" s="362"/>
      <c r="B3580" s="611">
        <v>44301</v>
      </c>
      <c r="C3580" s="362" t="s">
        <v>88</v>
      </c>
      <c r="D3580" s="562">
        <v>252550575</v>
      </c>
      <c r="E3580" s="562">
        <v>12792400</v>
      </c>
      <c r="F3580" s="562">
        <v>265343100</v>
      </c>
      <c r="G3580" s="562">
        <f t="shared" ref="G3580:G3643" si="146">D3580+E3580-F3580</f>
        <v>-125</v>
      </c>
      <c r="H3580" s="562"/>
      <c r="I3580" s="562"/>
      <c r="J3580" s="562"/>
    </row>
    <row r="3581" spans="1:12" x14ac:dyDescent="0.25">
      <c r="A3581" s="362"/>
      <c r="B3581" s="611">
        <v>44301</v>
      </c>
      <c r="C3581" s="362" t="s">
        <v>82</v>
      </c>
      <c r="D3581" s="562">
        <v>90039044</v>
      </c>
      <c r="E3581" s="562">
        <v>46802166</v>
      </c>
      <c r="F3581" s="562">
        <v>136841300</v>
      </c>
      <c r="G3581" s="562">
        <f t="shared" si="146"/>
        <v>-90</v>
      </c>
      <c r="H3581" s="562"/>
      <c r="I3581" s="562"/>
      <c r="J3581" s="562"/>
    </row>
    <row r="3582" spans="1:12" x14ac:dyDescent="0.25">
      <c r="A3582" s="362"/>
      <c r="B3582" s="611">
        <v>44301</v>
      </c>
      <c r="C3582" s="362" t="s">
        <v>80</v>
      </c>
      <c r="D3582" s="562">
        <v>278322108</v>
      </c>
      <c r="E3582" s="562">
        <v>46716000</v>
      </c>
      <c r="F3582" s="562">
        <v>325019800</v>
      </c>
      <c r="G3582" s="562">
        <f t="shared" si="146"/>
        <v>18308</v>
      </c>
      <c r="H3582" s="562"/>
      <c r="I3582" s="562"/>
      <c r="J3582" s="562"/>
    </row>
    <row r="3583" spans="1:12" x14ac:dyDescent="0.25">
      <c r="A3583" s="362"/>
      <c r="B3583" s="611">
        <v>44301</v>
      </c>
      <c r="C3583" s="362" t="s">
        <v>83</v>
      </c>
      <c r="D3583" s="562">
        <v>138282267</v>
      </c>
      <c r="E3583" s="562">
        <v>9972129</v>
      </c>
      <c r="F3583" s="562">
        <v>148259400</v>
      </c>
      <c r="G3583" s="562">
        <f t="shared" si="146"/>
        <v>-5004</v>
      </c>
      <c r="H3583" s="562"/>
      <c r="I3583" s="562"/>
      <c r="J3583" s="562"/>
    </row>
    <row r="3584" spans="1:12" x14ac:dyDescent="0.25">
      <c r="A3584" s="362"/>
      <c r="B3584" s="611">
        <v>44301</v>
      </c>
      <c r="C3584" s="362" t="s">
        <v>78</v>
      </c>
      <c r="D3584" s="562">
        <v>111823467</v>
      </c>
      <c r="E3584" s="562">
        <v>3317233</v>
      </c>
      <c r="F3584" s="562">
        <v>115140700</v>
      </c>
      <c r="G3584" s="562">
        <f t="shared" si="146"/>
        <v>0</v>
      </c>
      <c r="H3584" s="562"/>
      <c r="I3584" s="562"/>
      <c r="J3584" s="562"/>
    </row>
    <row r="3585" spans="1:10" x14ac:dyDescent="0.25">
      <c r="A3585" s="362"/>
      <c r="B3585" s="611">
        <v>44301</v>
      </c>
      <c r="C3585" s="362" t="s">
        <v>141</v>
      </c>
      <c r="D3585" s="562">
        <v>82611127</v>
      </c>
      <c r="E3585" s="562">
        <v>2429501</v>
      </c>
      <c r="F3585" s="562">
        <v>85040700</v>
      </c>
      <c r="G3585" s="562">
        <f t="shared" si="146"/>
        <v>-72</v>
      </c>
      <c r="H3585" s="562"/>
      <c r="I3585" s="562"/>
      <c r="J3585" s="562"/>
    </row>
    <row r="3586" spans="1:10" x14ac:dyDescent="0.25">
      <c r="A3586" s="362"/>
      <c r="B3586" s="611">
        <v>44301</v>
      </c>
      <c r="C3586" s="362" t="s">
        <v>89</v>
      </c>
      <c r="D3586" s="562">
        <v>151728629</v>
      </c>
      <c r="E3586" s="562">
        <v>35314571</v>
      </c>
      <c r="F3586" s="562">
        <v>187043200</v>
      </c>
      <c r="G3586" s="562">
        <f t="shared" si="146"/>
        <v>0</v>
      </c>
      <c r="H3586" s="562"/>
      <c r="I3586" s="562"/>
      <c r="J3586" s="562"/>
    </row>
    <row r="3587" spans="1:10" x14ac:dyDescent="0.25">
      <c r="A3587" s="362"/>
      <c r="B3587" s="611">
        <v>44301</v>
      </c>
      <c r="C3587" s="362" t="s">
        <v>81</v>
      </c>
      <c r="D3587" s="562">
        <v>131509653</v>
      </c>
      <c r="E3587" s="562">
        <v>86650832</v>
      </c>
      <c r="F3587" s="562">
        <v>218160500</v>
      </c>
      <c r="G3587" s="562">
        <f t="shared" si="146"/>
        <v>-15</v>
      </c>
      <c r="H3587" s="562"/>
      <c r="I3587" s="562"/>
      <c r="J3587" s="562"/>
    </row>
    <row r="3588" spans="1:10" x14ac:dyDescent="0.25">
      <c r="A3588" s="362"/>
      <c r="B3588" s="611">
        <v>44301</v>
      </c>
      <c r="C3588" s="362" t="s">
        <v>84</v>
      </c>
      <c r="D3588" s="562">
        <v>226718701</v>
      </c>
      <c r="E3588" s="562">
        <v>15320760</v>
      </c>
      <c r="F3588" s="562">
        <v>242039500</v>
      </c>
      <c r="G3588" s="562">
        <f t="shared" si="146"/>
        <v>-39</v>
      </c>
      <c r="H3588" s="562"/>
      <c r="I3588" s="562"/>
      <c r="J3588" s="562"/>
    </row>
    <row r="3589" spans="1:10" x14ac:dyDescent="0.25">
      <c r="A3589" s="362"/>
      <c r="B3589" s="611">
        <v>44301</v>
      </c>
      <c r="C3589" s="362" t="s">
        <v>4751</v>
      </c>
      <c r="D3589" s="562">
        <v>180667715</v>
      </c>
      <c r="E3589" s="562">
        <v>6041385</v>
      </c>
      <c r="F3589" s="562">
        <v>186709100</v>
      </c>
      <c r="G3589" s="562">
        <f t="shared" si="146"/>
        <v>0</v>
      </c>
      <c r="H3589" s="562"/>
      <c r="I3589" s="562"/>
      <c r="J3589" s="562"/>
    </row>
    <row r="3590" spans="1:10" x14ac:dyDescent="0.25">
      <c r="A3590" s="362"/>
      <c r="B3590" s="611">
        <v>44301</v>
      </c>
      <c r="C3590" s="362" t="s">
        <v>166</v>
      </c>
      <c r="D3590" s="562">
        <v>117902228</v>
      </c>
      <c r="E3590" s="562"/>
      <c r="F3590" s="562">
        <v>117902300</v>
      </c>
      <c r="G3590" s="562">
        <f t="shared" si="146"/>
        <v>-72</v>
      </c>
      <c r="H3590" s="562"/>
      <c r="I3590" s="562"/>
      <c r="J3590" s="562"/>
    </row>
    <row r="3591" spans="1:10" x14ac:dyDescent="0.25">
      <c r="A3591" s="362"/>
      <c r="B3591" s="611">
        <v>44301</v>
      </c>
      <c r="C3591" s="362" t="s">
        <v>3435</v>
      </c>
      <c r="D3591" s="562">
        <v>90739765</v>
      </c>
      <c r="E3591" s="562"/>
      <c r="F3591" s="562">
        <v>90739800</v>
      </c>
      <c r="G3591" s="562">
        <f t="shared" si="146"/>
        <v>-35</v>
      </c>
      <c r="H3591" s="362"/>
      <c r="I3591" s="362"/>
      <c r="J3591" s="362"/>
    </row>
    <row r="3592" spans="1:10" x14ac:dyDescent="0.25">
      <c r="A3592" s="362"/>
      <c r="B3592" s="611">
        <v>44301</v>
      </c>
      <c r="C3592" s="370" t="s">
        <v>85</v>
      </c>
      <c r="D3592" s="562">
        <v>19542000</v>
      </c>
      <c r="E3592" s="562"/>
      <c r="F3592" s="562">
        <v>19542000</v>
      </c>
      <c r="G3592" s="562">
        <f t="shared" si="146"/>
        <v>0</v>
      </c>
      <c r="H3592" s="362"/>
      <c r="I3592" s="362"/>
      <c r="J3592" s="362"/>
    </row>
    <row r="3593" spans="1:10" x14ac:dyDescent="0.25">
      <c r="A3593" s="532"/>
      <c r="B3593" s="532"/>
      <c r="C3593" s="532"/>
      <c r="D3593" s="564">
        <f>SUM(D3578:D3592)</f>
        <v>2070001228</v>
      </c>
      <c r="E3593" s="564">
        <f t="shared" ref="E3593:G3593" si="147">SUM(E3578:E3592)</f>
        <v>559794317</v>
      </c>
      <c r="F3593" s="564">
        <f t="shared" si="147"/>
        <v>2629782700</v>
      </c>
      <c r="G3593" s="564">
        <f t="shared" si="147"/>
        <v>12845</v>
      </c>
      <c r="H3593" s="532"/>
      <c r="I3593" s="532"/>
      <c r="J3593" s="532"/>
    </row>
    <row r="3594" spans="1:10" x14ac:dyDescent="0.25">
      <c r="A3594" s="362"/>
      <c r="B3594" s="611">
        <v>44302</v>
      </c>
      <c r="C3594" s="362" t="s">
        <v>86</v>
      </c>
      <c r="D3594" s="562">
        <v>34965765</v>
      </c>
      <c r="E3594" s="562">
        <v>78675548</v>
      </c>
      <c r="F3594" s="562">
        <v>113641300</v>
      </c>
      <c r="G3594" s="562">
        <f t="shared" si="146"/>
        <v>13</v>
      </c>
      <c r="H3594" s="362"/>
      <c r="I3594" s="362"/>
      <c r="J3594" s="362"/>
    </row>
    <row r="3595" spans="1:10" x14ac:dyDescent="0.25">
      <c r="A3595" s="362"/>
      <c r="B3595" s="611">
        <v>44302</v>
      </c>
      <c r="C3595" s="362" t="s">
        <v>87</v>
      </c>
      <c r="D3595" s="562">
        <v>141557530</v>
      </c>
      <c r="E3595" s="562">
        <v>83775102</v>
      </c>
      <c r="F3595" s="562">
        <v>225332800</v>
      </c>
      <c r="G3595" s="562">
        <f t="shared" si="146"/>
        <v>-168</v>
      </c>
      <c r="H3595" s="362"/>
      <c r="I3595" s="362"/>
      <c r="J3595" s="362"/>
    </row>
    <row r="3596" spans="1:10" x14ac:dyDescent="0.25">
      <c r="A3596" s="362"/>
      <c r="B3596" s="611">
        <v>44302</v>
      </c>
      <c r="C3596" s="362" t="s">
        <v>88</v>
      </c>
      <c r="D3596" s="562">
        <v>146381227</v>
      </c>
      <c r="E3596" s="562">
        <v>79475763</v>
      </c>
      <c r="F3596" s="562">
        <v>225857000</v>
      </c>
      <c r="G3596" s="562">
        <f t="shared" si="146"/>
        <v>-10</v>
      </c>
      <c r="H3596" s="362"/>
      <c r="I3596" s="362"/>
      <c r="J3596" s="362"/>
    </row>
    <row r="3597" spans="1:10" x14ac:dyDescent="0.25">
      <c r="A3597" s="362"/>
      <c r="B3597" s="611">
        <v>44302</v>
      </c>
      <c r="C3597" s="362" t="s">
        <v>82</v>
      </c>
      <c r="D3597" s="562">
        <v>83877973</v>
      </c>
      <c r="E3597" s="562">
        <v>2758400</v>
      </c>
      <c r="F3597" s="562">
        <v>86636400</v>
      </c>
      <c r="G3597" s="562">
        <f t="shared" si="146"/>
        <v>-27</v>
      </c>
      <c r="H3597" s="362"/>
      <c r="I3597" s="362"/>
      <c r="J3597" s="362"/>
    </row>
    <row r="3598" spans="1:10" x14ac:dyDescent="0.25">
      <c r="A3598" s="362"/>
      <c r="B3598" s="611">
        <v>44302</v>
      </c>
      <c r="C3598" s="362" t="s">
        <v>80</v>
      </c>
      <c r="D3598" s="562">
        <v>200489168</v>
      </c>
      <c r="E3598" s="562">
        <v>4512619</v>
      </c>
      <c r="F3598" s="562">
        <v>205011800</v>
      </c>
      <c r="G3598" s="562">
        <f t="shared" si="146"/>
        <v>-10013</v>
      </c>
      <c r="H3598" s="362"/>
      <c r="I3598" s="362"/>
      <c r="J3598" s="362"/>
    </row>
    <row r="3599" spans="1:10" x14ac:dyDescent="0.25">
      <c r="A3599" s="362"/>
      <c r="B3599" s="611">
        <v>44302</v>
      </c>
      <c r="C3599" s="362" t="s">
        <v>83</v>
      </c>
      <c r="D3599" s="562">
        <v>141420882</v>
      </c>
      <c r="E3599" s="562">
        <v>209051076</v>
      </c>
      <c r="F3599" s="562">
        <v>350472000</v>
      </c>
      <c r="G3599" s="562">
        <f t="shared" si="146"/>
        <v>-42</v>
      </c>
      <c r="H3599" s="362"/>
      <c r="I3599" s="362"/>
      <c r="J3599" s="362"/>
    </row>
    <row r="3600" spans="1:10" x14ac:dyDescent="0.25">
      <c r="A3600" s="362"/>
      <c r="B3600" s="611">
        <v>44302</v>
      </c>
      <c r="C3600" s="362" t="s">
        <v>78</v>
      </c>
      <c r="D3600" s="562">
        <v>138176318</v>
      </c>
      <c r="E3600" s="562">
        <v>5652782</v>
      </c>
      <c r="F3600" s="562">
        <v>143829100</v>
      </c>
      <c r="G3600" s="562">
        <f t="shared" si="146"/>
        <v>0</v>
      </c>
      <c r="H3600" s="362"/>
      <c r="I3600" s="362"/>
      <c r="J3600" s="362"/>
    </row>
    <row r="3601" spans="1:10" x14ac:dyDescent="0.25">
      <c r="A3601" s="362"/>
      <c r="B3601" s="611">
        <v>44302</v>
      </c>
      <c r="C3601" s="362" t="s">
        <v>141</v>
      </c>
      <c r="D3601" s="562">
        <v>98023326</v>
      </c>
      <c r="E3601" s="562">
        <v>500000</v>
      </c>
      <c r="F3601" s="562">
        <v>98523400</v>
      </c>
      <c r="G3601" s="562">
        <f t="shared" si="146"/>
        <v>-74</v>
      </c>
      <c r="H3601" s="362"/>
      <c r="I3601" s="362"/>
      <c r="J3601" s="362"/>
    </row>
    <row r="3602" spans="1:10" x14ac:dyDescent="0.25">
      <c r="A3602" s="362"/>
      <c r="B3602" s="611">
        <v>44302</v>
      </c>
      <c r="C3602" s="362" t="s">
        <v>89</v>
      </c>
      <c r="D3602" s="562">
        <v>138260118</v>
      </c>
      <c r="E3602" s="562">
        <v>153305682</v>
      </c>
      <c r="F3602" s="562">
        <v>291565800</v>
      </c>
      <c r="G3602" s="562">
        <f t="shared" si="146"/>
        <v>0</v>
      </c>
      <c r="H3602" s="362"/>
      <c r="I3602" s="362"/>
      <c r="J3602" s="362"/>
    </row>
    <row r="3603" spans="1:10" x14ac:dyDescent="0.25">
      <c r="A3603" s="362"/>
      <c r="B3603" s="611">
        <v>44302</v>
      </c>
      <c r="C3603" s="362" t="s">
        <v>81</v>
      </c>
      <c r="D3603" s="562">
        <v>71811176</v>
      </c>
      <c r="E3603" s="562">
        <v>9874490</v>
      </c>
      <c r="F3603" s="562">
        <v>81685700</v>
      </c>
      <c r="G3603" s="562">
        <f t="shared" si="146"/>
        <v>-34</v>
      </c>
      <c r="H3603" s="362"/>
      <c r="I3603" s="362"/>
      <c r="J3603" s="362"/>
    </row>
    <row r="3604" spans="1:10" x14ac:dyDescent="0.25">
      <c r="A3604" s="362"/>
      <c r="B3604" s="611">
        <v>44302</v>
      </c>
      <c r="C3604" s="362" t="s">
        <v>84</v>
      </c>
      <c r="D3604" s="562">
        <v>226664839</v>
      </c>
      <c r="E3604" s="562">
        <v>7796665</v>
      </c>
      <c r="F3604" s="562">
        <v>234461500</v>
      </c>
      <c r="G3604" s="562">
        <f t="shared" si="146"/>
        <v>4</v>
      </c>
      <c r="H3604" s="362"/>
      <c r="I3604" s="362"/>
      <c r="J3604" s="362"/>
    </row>
    <row r="3605" spans="1:10" x14ac:dyDescent="0.25">
      <c r="A3605" s="362"/>
      <c r="B3605" s="611">
        <v>44302</v>
      </c>
      <c r="C3605" s="362" t="s">
        <v>4751</v>
      </c>
      <c r="D3605" s="562">
        <v>212427501</v>
      </c>
      <c r="E3605" s="562">
        <v>70265599</v>
      </c>
      <c r="F3605" s="562">
        <v>282693100</v>
      </c>
      <c r="G3605" s="562">
        <f t="shared" si="146"/>
        <v>0</v>
      </c>
      <c r="H3605" s="362"/>
      <c r="I3605" s="362"/>
      <c r="J3605" s="362"/>
    </row>
    <row r="3606" spans="1:10" x14ac:dyDescent="0.25">
      <c r="A3606" s="362"/>
      <c r="B3606" s="611">
        <v>44302</v>
      </c>
      <c r="C3606" s="362" t="s">
        <v>166</v>
      </c>
      <c r="D3606" s="562">
        <v>37451846</v>
      </c>
      <c r="E3606" s="562"/>
      <c r="F3606" s="562">
        <v>37451900</v>
      </c>
      <c r="G3606" s="562">
        <f t="shared" si="146"/>
        <v>-54</v>
      </c>
      <c r="H3606" s="362"/>
      <c r="I3606" s="362"/>
      <c r="J3606" s="362"/>
    </row>
    <row r="3607" spans="1:10" x14ac:dyDescent="0.25">
      <c r="A3607" s="362"/>
      <c r="B3607" s="611">
        <v>44302</v>
      </c>
      <c r="C3607" s="362" t="s">
        <v>3435</v>
      </c>
      <c r="D3607" s="562">
        <v>46672925</v>
      </c>
      <c r="E3607" s="562"/>
      <c r="F3607" s="562">
        <v>46673000</v>
      </c>
      <c r="G3607" s="562">
        <f t="shared" si="146"/>
        <v>-75</v>
      </c>
      <c r="H3607" s="362"/>
      <c r="I3607" s="362"/>
      <c r="J3607" s="362"/>
    </row>
    <row r="3608" spans="1:10" x14ac:dyDescent="0.25">
      <c r="A3608" s="362"/>
      <c r="B3608" s="611">
        <v>44302</v>
      </c>
      <c r="C3608" s="370" t="s">
        <v>85</v>
      </c>
      <c r="D3608" s="562">
        <v>20064000</v>
      </c>
      <c r="E3608" s="562"/>
      <c r="F3608" s="562">
        <v>20064000</v>
      </c>
      <c r="G3608" s="562">
        <f t="shared" si="146"/>
        <v>0</v>
      </c>
      <c r="H3608" s="362"/>
      <c r="I3608" s="362"/>
      <c r="J3608" s="362"/>
    </row>
    <row r="3609" spans="1:10" x14ac:dyDescent="0.25">
      <c r="A3609" s="532"/>
      <c r="B3609" s="532"/>
      <c r="C3609" s="532"/>
      <c r="D3609" s="564">
        <f>SUM(D3594:D3608)</f>
        <v>1738244594</v>
      </c>
      <c r="E3609" s="564">
        <f t="shared" ref="E3609:G3609" si="148">SUM(E3594:E3608)</f>
        <v>705643726</v>
      </c>
      <c r="F3609" s="564">
        <f t="shared" si="148"/>
        <v>2443898800</v>
      </c>
      <c r="G3609" s="564">
        <f t="shared" si="148"/>
        <v>-10480</v>
      </c>
      <c r="H3609" s="532"/>
      <c r="I3609" s="532"/>
      <c r="J3609" s="532"/>
    </row>
    <row r="3610" spans="1:10" x14ac:dyDescent="0.25">
      <c r="A3610" s="362"/>
      <c r="B3610" s="611">
        <v>44303</v>
      </c>
      <c r="C3610" s="362" t="s">
        <v>86</v>
      </c>
      <c r="D3610" s="562">
        <v>60033637</v>
      </c>
      <c r="E3610" s="562">
        <v>14129560</v>
      </c>
      <c r="F3610" s="562">
        <v>74163200</v>
      </c>
      <c r="G3610" s="562">
        <f t="shared" si="146"/>
        <v>-3</v>
      </c>
      <c r="H3610" s="362"/>
      <c r="I3610" s="362"/>
      <c r="J3610" s="362"/>
    </row>
    <row r="3611" spans="1:10" x14ac:dyDescent="0.25">
      <c r="A3611" s="362"/>
      <c r="B3611" s="611">
        <v>44303</v>
      </c>
      <c r="C3611" s="362" t="s">
        <v>87</v>
      </c>
      <c r="D3611" s="562">
        <v>103939520</v>
      </c>
      <c r="E3611" s="562">
        <v>217712240</v>
      </c>
      <c r="F3611" s="562">
        <v>321651800</v>
      </c>
      <c r="G3611" s="562">
        <f t="shared" si="146"/>
        <v>-40</v>
      </c>
      <c r="H3611" s="362"/>
      <c r="I3611" s="362"/>
      <c r="J3611" s="362"/>
    </row>
    <row r="3612" spans="1:10" x14ac:dyDescent="0.25">
      <c r="A3612" s="362"/>
      <c r="B3612" s="611">
        <v>44303</v>
      </c>
      <c r="C3612" s="362" t="s">
        <v>88</v>
      </c>
      <c r="D3612" s="562">
        <v>231477617</v>
      </c>
      <c r="E3612" s="562">
        <v>64241983</v>
      </c>
      <c r="F3612" s="562">
        <v>295719700</v>
      </c>
      <c r="G3612" s="562">
        <f t="shared" si="146"/>
        <v>-100</v>
      </c>
      <c r="H3612" s="362"/>
      <c r="I3612" s="362"/>
      <c r="J3612" s="362"/>
    </row>
    <row r="3613" spans="1:10" x14ac:dyDescent="0.25">
      <c r="A3613" s="362"/>
      <c r="B3613" s="611">
        <v>44303</v>
      </c>
      <c r="C3613" s="362" t="s">
        <v>82</v>
      </c>
      <c r="D3613" s="562">
        <v>46742846</v>
      </c>
      <c r="E3613" s="562">
        <v>7147380</v>
      </c>
      <c r="F3613" s="562">
        <v>53890700</v>
      </c>
      <c r="G3613" s="562">
        <f t="shared" si="146"/>
        <v>-474</v>
      </c>
      <c r="H3613" s="362"/>
      <c r="I3613" s="362"/>
      <c r="J3613" s="362"/>
    </row>
    <row r="3614" spans="1:10" x14ac:dyDescent="0.25">
      <c r="A3614" s="362"/>
      <c r="B3614" s="611">
        <v>44303</v>
      </c>
      <c r="C3614" s="362" t="s">
        <v>80</v>
      </c>
      <c r="D3614" s="562">
        <v>247061900</v>
      </c>
      <c r="E3614" s="562">
        <v>13884000</v>
      </c>
      <c r="F3614" s="562">
        <v>260945900</v>
      </c>
      <c r="G3614" s="562">
        <f t="shared" si="146"/>
        <v>0</v>
      </c>
      <c r="H3614" s="362"/>
      <c r="I3614" s="362"/>
      <c r="J3614" s="362"/>
    </row>
    <row r="3615" spans="1:10" x14ac:dyDescent="0.25">
      <c r="A3615" s="362"/>
      <c r="B3615" s="611">
        <v>44303</v>
      </c>
      <c r="C3615" s="362" t="s">
        <v>83</v>
      </c>
      <c r="D3615" s="562">
        <v>304587744</v>
      </c>
      <c r="E3615" s="562">
        <v>20841510</v>
      </c>
      <c r="F3615" s="562">
        <v>325429300</v>
      </c>
      <c r="G3615" s="562">
        <f t="shared" si="146"/>
        <v>-46</v>
      </c>
      <c r="H3615" s="362"/>
      <c r="I3615" s="362"/>
      <c r="J3615" s="362"/>
    </row>
    <row r="3616" spans="1:10" x14ac:dyDescent="0.25">
      <c r="A3616" s="362"/>
      <c r="B3616" s="611">
        <v>44303</v>
      </c>
      <c r="C3616" s="362" t="s">
        <v>78</v>
      </c>
      <c r="D3616" s="562">
        <v>127052476</v>
      </c>
      <c r="E3616" s="562">
        <v>2061924</v>
      </c>
      <c r="F3616" s="562">
        <v>129114400</v>
      </c>
      <c r="G3616" s="562">
        <f t="shared" si="146"/>
        <v>0</v>
      </c>
      <c r="H3616" s="362"/>
      <c r="I3616" s="362"/>
      <c r="J3616" s="362"/>
    </row>
    <row r="3617" spans="1:10" x14ac:dyDescent="0.25">
      <c r="A3617" s="362"/>
      <c r="B3617" s="611">
        <v>44303</v>
      </c>
      <c r="C3617" s="362" t="s">
        <v>141</v>
      </c>
      <c r="D3617" s="562">
        <v>38777668</v>
      </c>
      <c r="E3617" s="562">
        <v>2017293</v>
      </c>
      <c r="F3617" s="562">
        <v>40795000</v>
      </c>
      <c r="G3617" s="562">
        <f t="shared" si="146"/>
        <v>-39</v>
      </c>
      <c r="H3617" s="362"/>
      <c r="I3617" s="362"/>
      <c r="J3617" s="362"/>
    </row>
    <row r="3618" spans="1:10" x14ac:dyDescent="0.25">
      <c r="A3618" s="362"/>
      <c r="B3618" s="611">
        <v>44303</v>
      </c>
      <c r="C3618" s="362" t="s">
        <v>89</v>
      </c>
      <c r="D3618" s="562">
        <v>117236050</v>
      </c>
      <c r="E3618" s="562">
        <v>106688050</v>
      </c>
      <c r="F3618" s="562">
        <v>223924100</v>
      </c>
      <c r="G3618" s="562">
        <f t="shared" si="146"/>
        <v>0</v>
      </c>
      <c r="H3618" s="362"/>
      <c r="I3618" s="362"/>
      <c r="J3618" s="362"/>
    </row>
    <row r="3619" spans="1:10" x14ac:dyDescent="0.25">
      <c r="A3619" s="362"/>
      <c r="B3619" s="611">
        <v>44303</v>
      </c>
      <c r="C3619" s="362" t="s">
        <v>81</v>
      </c>
      <c r="D3619" s="562">
        <v>77908416</v>
      </c>
      <c r="E3619" s="562">
        <v>5662629</v>
      </c>
      <c r="F3619" s="562">
        <v>83571100</v>
      </c>
      <c r="G3619" s="562">
        <f t="shared" si="146"/>
        <v>-55</v>
      </c>
      <c r="H3619" s="362"/>
      <c r="I3619" s="362"/>
      <c r="J3619" s="362"/>
    </row>
    <row r="3620" spans="1:10" x14ac:dyDescent="0.25">
      <c r="A3620" s="362"/>
      <c r="B3620" s="611">
        <v>44303</v>
      </c>
      <c r="C3620" s="362" t="s">
        <v>84</v>
      </c>
      <c r="D3620" s="562">
        <v>290529284</v>
      </c>
      <c r="E3620" s="562">
        <v>10775625</v>
      </c>
      <c r="F3620" s="562">
        <v>301304800</v>
      </c>
      <c r="G3620" s="562">
        <f t="shared" si="146"/>
        <v>109</v>
      </c>
      <c r="H3620" s="362"/>
      <c r="I3620" s="362"/>
      <c r="J3620" s="362"/>
    </row>
    <row r="3621" spans="1:10" x14ac:dyDescent="0.25">
      <c r="A3621" s="362"/>
      <c r="B3621" s="611">
        <v>44303</v>
      </c>
      <c r="C3621" s="362" t="s">
        <v>4751</v>
      </c>
      <c r="D3621" s="562">
        <v>226691671</v>
      </c>
      <c r="E3621" s="562">
        <v>42500529</v>
      </c>
      <c r="F3621" s="562">
        <v>269192200</v>
      </c>
      <c r="G3621" s="562">
        <f t="shared" si="146"/>
        <v>0</v>
      </c>
      <c r="H3621" s="362"/>
      <c r="I3621" s="362"/>
      <c r="J3621" s="362"/>
    </row>
    <row r="3622" spans="1:10" x14ac:dyDescent="0.25">
      <c r="A3622" s="362"/>
      <c r="B3622" s="611">
        <v>44303</v>
      </c>
      <c r="C3622" s="362" t="s">
        <v>166</v>
      </c>
      <c r="D3622" s="562"/>
      <c r="E3622" s="562"/>
      <c r="F3622" s="562"/>
      <c r="G3622" s="562">
        <f t="shared" si="146"/>
        <v>0</v>
      </c>
      <c r="H3622" s="362"/>
      <c r="I3622" s="362"/>
      <c r="J3622" s="362"/>
    </row>
    <row r="3623" spans="1:10" x14ac:dyDescent="0.25">
      <c r="A3623" s="362"/>
      <c r="B3623" s="611">
        <v>44303</v>
      </c>
      <c r="C3623" s="362" t="s">
        <v>3435</v>
      </c>
      <c r="D3623" s="562"/>
      <c r="E3623" s="562"/>
      <c r="F3623" s="562"/>
      <c r="G3623" s="562">
        <f t="shared" si="146"/>
        <v>0</v>
      </c>
      <c r="H3623" s="362"/>
      <c r="I3623" s="362"/>
      <c r="J3623" s="362"/>
    </row>
    <row r="3624" spans="1:10" x14ac:dyDescent="0.25">
      <c r="A3624" s="362"/>
      <c r="B3624" s="611">
        <v>44303</v>
      </c>
      <c r="C3624" s="370" t="s">
        <v>85</v>
      </c>
      <c r="D3624" s="562">
        <v>25745200</v>
      </c>
      <c r="E3624" s="562"/>
      <c r="F3624" s="562">
        <v>25745200</v>
      </c>
      <c r="G3624" s="562">
        <f t="shared" si="146"/>
        <v>0</v>
      </c>
      <c r="H3624" s="362"/>
      <c r="I3624" s="362"/>
      <c r="J3624" s="362"/>
    </row>
    <row r="3625" spans="1:10" x14ac:dyDescent="0.25">
      <c r="A3625" s="532"/>
      <c r="B3625" s="532"/>
      <c r="C3625" s="532"/>
      <c r="D3625" s="564">
        <f>SUM(D3610:D3624)</f>
        <v>1897784029</v>
      </c>
      <c r="E3625" s="564">
        <f t="shared" ref="E3625:G3625" si="149">SUM(E3610:E3624)</f>
        <v>507662723</v>
      </c>
      <c r="F3625" s="564">
        <f t="shared" si="149"/>
        <v>2405447400</v>
      </c>
      <c r="G3625" s="564">
        <f t="shared" si="149"/>
        <v>-648</v>
      </c>
      <c r="H3625" s="532"/>
      <c r="I3625" s="532"/>
      <c r="J3625" s="532"/>
    </row>
    <row r="3626" spans="1:10" x14ac:dyDescent="0.25">
      <c r="A3626" s="362"/>
      <c r="B3626" s="611">
        <v>44305</v>
      </c>
      <c r="C3626" s="362" t="s">
        <v>86</v>
      </c>
      <c r="D3626" s="562">
        <v>65449411</v>
      </c>
      <c r="E3626" s="562">
        <v>37529100</v>
      </c>
      <c r="F3626" s="562">
        <v>102981900</v>
      </c>
      <c r="G3626" s="562">
        <f t="shared" si="146"/>
        <v>-3389</v>
      </c>
      <c r="H3626" s="362"/>
      <c r="I3626" s="362"/>
      <c r="J3626" s="362"/>
    </row>
    <row r="3627" spans="1:10" x14ac:dyDescent="0.25">
      <c r="A3627" s="362"/>
      <c r="B3627" s="611">
        <v>44305</v>
      </c>
      <c r="C3627" s="362" t="s">
        <v>87</v>
      </c>
      <c r="D3627" s="562">
        <v>104625791</v>
      </c>
      <c r="E3627" s="562">
        <v>214142371</v>
      </c>
      <c r="F3627" s="562">
        <v>318768300</v>
      </c>
      <c r="G3627" s="562">
        <f t="shared" si="146"/>
        <v>-138</v>
      </c>
      <c r="H3627" s="362"/>
      <c r="I3627" s="362"/>
      <c r="J3627" s="362"/>
    </row>
    <row r="3628" spans="1:10" x14ac:dyDescent="0.25">
      <c r="A3628" s="362"/>
      <c r="B3628" s="611">
        <v>44305</v>
      </c>
      <c r="C3628" s="362" t="s">
        <v>88</v>
      </c>
      <c r="D3628" s="562">
        <v>212656131</v>
      </c>
      <c r="E3628" s="562">
        <v>24469300</v>
      </c>
      <c r="F3628" s="562">
        <v>237125500</v>
      </c>
      <c r="G3628" s="562">
        <f t="shared" si="146"/>
        <v>-69</v>
      </c>
      <c r="H3628" s="362"/>
      <c r="I3628" s="362"/>
      <c r="J3628" s="362"/>
    </row>
    <row r="3629" spans="1:10" x14ac:dyDescent="0.25">
      <c r="A3629" s="362"/>
      <c r="B3629" s="611">
        <v>44305</v>
      </c>
      <c r="C3629" s="362" t="s">
        <v>82</v>
      </c>
      <c r="D3629" s="562">
        <v>60801052</v>
      </c>
      <c r="E3629" s="562">
        <v>8391765</v>
      </c>
      <c r="F3629" s="562">
        <v>69192900</v>
      </c>
      <c r="G3629" s="562">
        <f t="shared" si="146"/>
        <v>-83</v>
      </c>
      <c r="H3629" s="362"/>
      <c r="I3629" s="362"/>
      <c r="J3629" s="362"/>
    </row>
    <row r="3630" spans="1:10" x14ac:dyDescent="0.25">
      <c r="A3630" s="362"/>
      <c r="B3630" s="611">
        <v>44305</v>
      </c>
      <c r="C3630" s="362" t="s">
        <v>80</v>
      </c>
      <c r="D3630" s="562">
        <v>284354734</v>
      </c>
      <c r="E3630" s="562">
        <v>6024400</v>
      </c>
      <c r="F3630" s="562">
        <v>290377200</v>
      </c>
      <c r="G3630" s="562">
        <f t="shared" si="146"/>
        <v>1934</v>
      </c>
      <c r="H3630" s="362"/>
      <c r="I3630" s="362"/>
      <c r="J3630" s="362"/>
    </row>
    <row r="3631" spans="1:10" x14ac:dyDescent="0.25">
      <c r="A3631" s="362"/>
      <c r="B3631" s="611">
        <v>44305</v>
      </c>
      <c r="C3631" s="362" t="s">
        <v>83</v>
      </c>
      <c r="D3631" s="562">
        <v>274585949</v>
      </c>
      <c r="E3631" s="562">
        <v>9728098</v>
      </c>
      <c r="F3631" s="562">
        <v>284314100</v>
      </c>
      <c r="G3631" s="562">
        <f t="shared" si="146"/>
        <v>-53</v>
      </c>
      <c r="H3631" s="362"/>
      <c r="I3631" s="362"/>
      <c r="J3631" s="362"/>
    </row>
    <row r="3632" spans="1:10" x14ac:dyDescent="0.25">
      <c r="A3632" s="362"/>
      <c r="B3632" s="611">
        <v>44305</v>
      </c>
      <c r="C3632" s="362" t="s">
        <v>78</v>
      </c>
      <c r="D3632" s="562">
        <v>76671783</v>
      </c>
      <c r="E3632" s="562">
        <v>1151217</v>
      </c>
      <c r="F3632" s="562">
        <v>77823000</v>
      </c>
      <c r="G3632" s="562">
        <f t="shared" si="146"/>
        <v>0</v>
      </c>
      <c r="H3632" s="362"/>
      <c r="I3632" s="362"/>
      <c r="J3632" s="362"/>
    </row>
    <row r="3633" spans="1:10" x14ac:dyDescent="0.25">
      <c r="A3633" s="362"/>
      <c r="B3633" s="611">
        <v>44305</v>
      </c>
      <c r="C3633" s="362" t="s">
        <v>141</v>
      </c>
      <c r="D3633" s="562">
        <v>39029697</v>
      </c>
      <c r="E3633" s="562">
        <v>3343941</v>
      </c>
      <c r="F3633" s="562">
        <v>42373700</v>
      </c>
      <c r="G3633" s="562">
        <f t="shared" si="146"/>
        <v>-62</v>
      </c>
      <c r="H3633" s="362"/>
      <c r="I3633" s="362"/>
      <c r="J3633" s="362"/>
    </row>
    <row r="3634" spans="1:10" x14ac:dyDescent="0.25">
      <c r="A3634" s="362"/>
      <c r="B3634" s="611">
        <v>44305</v>
      </c>
      <c r="C3634" s="362" t="s">
        <v>89</v>
      </c>
      <c r="D3634" s="562">
        <v>131422199</v>
      </c>
      <c r="E3634" s="562">
        <v>27043601</v>
      </c>
      <c r="F3634" s="562">
        <v>158465800</v>
      </c>
      <c r="G3634" s="562">
        <f t="shared" si="146"/>
        <v>0</v>
      </c>
      <c r="H3634" s="362"/>
      <c r="I3634" s="362"/>
      <c r="J3634" s="362"/>
    </row>
    <row r="3635" spans="1:10" x14ac:dyDescent="0.25">
      <c r="A3635" s="362"/>
      <c r="B3635" s="611">
        <v>44305</v>
      </c>
      <c r="C3635" s="362" t="s">
        <v>81</v>
      </c>
      <c r="D3635" s="562">
        <v>113187882</v>
      </c>
      <c r="E3635" s="562">
        <v>13371272</v>
      </c>
      <c r="F3635" s="562">
        <v>126559100</v>
      </c>
      <c r="G3635" s="562">
        <f t="shared" si="146"/>
        <v>54</v>
      </c>
      <c r="H3635" s="362"/>
      <c r="I3635" s="362"/>
      <c r="J3635" s="362"/>
    </row>
    <row r="3636" spans="1:10" x14ac:dyDescent="0.25">
      <c r="A3636" s="362"/>
      <c r="B3636" s="611">
        <v>44305</v>
      </c>
      <c r="C3636" s="362" t="s">
        <v>84</v>
      </c>
      <c r="D3636" s="562">
        <v>179226389</v>
      </c>
      <c r="E3636" s="562">
        <v>7860371</v>
      </c>
      <c r="F3636" s="562">
        <v>187086800</v>
      </c>
      <c r="G3636" s="562">
        <f t="shared" si="146"/>
        <v>-40</v>
      </c>
      <c r="H3636" s="362"/>
      <c r="I3636" s="362"/>
      <c r="J3636" s="362"/>
    </row>
    <row r="3637" spans="1:10" x14ac:dyDescent="0.25">
      <c r="A3637" s="362"/>
      <c r="B3637" s="611">
        <v>44305</v>
      </c>
      <c r="C3637" s="362" t="s">
        <v>4751</v>
      </c>
      <c r="D3637" s="562">
        <v>232383810</v>
      </c>
      <c r="E3637" s="562">
        <v>21242290</v>
      </c>
      <c r="F3637" s="562">
        <v>253626100</v>
      </c>
      <c r="G3637" s="562">
        <f t="shared" si="146"/>
        <v>0</v>
      </c>
      <c r="H3637" s="362"/>
      <c r="I3637" s="362"/>
      <c r="J3637" s="362"/>
    </row>
    <row r="3638" spans="1:10" x14ac:dyDescent="0.25">
      <c r="A3638" s="362"/>
      <c r="B3638" s="611">
        <v>44305</v>
      </c>
      <c r="C3638" s="362" t="s">
        <v>166</v>
      </c>
      <c r="D3638" s="562">
        <v>61431410</v>
      </c>
      <c r="E3638" s="562"/>
      <c r="F3638" s="562">
        <v>61431500</v>
      </c>
      <c r="G3638" s="562">
        <f t="shared" si="146"/>
        <v>-90</v>
      </c>
      <c r="H3638" s="362"/>
      <c r="I3638" s="362"/>
      <c r="J3638" s="362"/>
    </row>
    <row r="3639" spans="1:10" x14ac:dyDescent="0.25">
      <c r="A3639" s="362"/>
      <c r="B3639" s="611">
        <v>44305</v>
      </c>
      <c r="C3639" s="362" t="s">
        <v>3435</v>
      </c>
      <c r="D3639" s="562">
        <v>60254537</v>
      </c>
      <c r="E3639" s="562"/>
      <c r="F3639" s="562">
        <v>60254600</v>
      </c>
      <c r="G3639" s="562">
        <f t="shared" si="146"/>
        <v>-63</v>
      </c>
      <c r="H3639" s="362"/>
      <c r="I3639" s="362"/>
      <c r="J3639" s="362"/>
    </row>
    <row r="3640" spans="1:10" x14ac:dyDescent="0.25">
      <c r="A3640" s="362"/>
      <c r="B3640" s="611">
        <v>44305</v>
      </c>
      <c r="C3640" s="370" t="s">
        <v>85</v>
      </c>
      <c r="D3640" s="562">
        <v>45690100</v>
      </c>
      <c r="E3640" s="562"/>
      <c r="F3640" s="562">
        <v>45690100</v>
      </c>
      <c r="G3640" s="562">
        <f t="shared" si="146"/>
        <v>0</v>
      </c>
      <c r="H3640" s="362"/>
      <c r="I3640" s="362"/>
      <c r="J3640" s="362"/>
    </row>
    <row r="3641" spans="1:10" x14ac:dyDescent="0.25">
      <c r="A3641" s="532"/>
      <c r="B3641" s="532"/>
      <c r="C3641" s="532"/>
      <c r="D3641" s="564">
        <f>SUM(D3626:D3640)</f>
        <v>1941770875</v>
      </c>
      <c r="E3641" s="564">
        <f t="shared" ref="E3641:G3641" si="150">SUM(E3626:E3640)</f>
        <v>374297726</v>
      </c>
      <c r="F3641" s="564">
        <f t="shared" si="150"/>
        <v>2316070600</v>
      </c>
      <c r="G3641" s="564">
        <f t="shared" si="150"/>
        <v>-1999</v>
      </c>
      <c r="H3641" s="532"/>
      <c r="I3641" s="532"/>
      <c r="J3641" s="532"/>
    </row>
    <row r="3642" spans="1:10" x14ac:dyDescent="0.25">
      <c r="A3642" s="362"/>
      <c r="B3642" s="611">
        <v>44306</v>
      </c>
      <c r="C3642" s="362" t="s">
        <v>86</v>
      </c>
      <c r="D3642" s="562">
        <v>126434926</v>
      </c>
      <c r="E3642" s="562">
        <v>61802801</v>
      </c>
      <c r="F3642" s="562">
        <v>102981900</v>
      </c>
      <c r="G3642" s="562">
        <f t="shared" si="146"/>
        <v>85255827</v>
      </c>
      <c r="H3642" s="362"/>
      <c r="I3642" s="362"/>
      <c r="J3642" s="362"/>
    </row>
    <row r="3643" spans="1:10" x14ac:dyDescent="0.25">
      <c r="A3643" s="362"/>
      <c r="B3643" s="611">
        <v>44306</v>
      </c>
      <c r="C3643" s="362" t="s">
        <v>87</v>
      </c>
      <c r="D3643" s="562">
        <v>86562315</v>
      </c>
      <c r="E3643" s="562">
        <v>207062207</v>
      </c>
      <c r="F3643" s="562">
        <v>293624600</v>
      </c>
      <c r="G3643" s="562">
        <f t="shared" si="146"/>
        <v>-78</v>
      </c>
      <c r="H3643" s="362"/>
      <c r="I3643" s="362"/>
      <c r="J3643" s="362"/>
    </row>
    <row r="3644" spans="1:10" x14ac:dyDescent="0.25">
      <c r="A3644" s="362"/>
      <c r="B3644" s="611">
        <v>44306</v>
      </c>
      <c r="C3644" s="362" t="s">
        <v>88</v>
      </c>
      <c r="D3644" s="562">
        <v>177527531</v>
      </c>
      <c r="E3644" s="562">
        <v>37566540</v>
      </c>
      <c r="F3644" s="562">
        <v>215094100</v>
      </c>
      <c r="G3644" s="562">
        <f t="shared" ref="G3644:G3688" si="151">D3644+E3644-F3644</f>
        <v>-29</v>
      </c>
      <c r="H3644" s="362"/>
      <c r="I3644" s="362"/>
      <c r="J3644" s="362"/>
    </row>
    <row r="3645" spans="1:10" x14ac:dyDescent="0.25">
      <c r="A3645" s="362"/>
      <c r="B3645" s="611">
        <v>44306</v>
      </c>
      <c r="C3645" s="362" t="s">
        <v>82</v>
      </c>
      <c r="D3645" s="562">
        <v>57914175</v>
      </c>
      <c r="E3645" s="562">
        <v>4912749</v>
      </c>
      <c r="F3645" s="562">
        <v>62827000</v>
      </c>
      <c r="G3645" s="562">
        <f t="shared" si="151"/>
        <v>-76</v>
      </c>
      <c r="H3645" s="362"/>
      <c r="I3645" s="362"/>
      <c r="J3645" s="362"/>
    </row>
    <row r="3646" spans="1:10" x14ac:dyDescent="0.25">
      <c r="A3646" s="362"/>
      <c r="B3646" s="611">
        <v>44306</v>
      </c>
      <c r="C3646" s="362" t="s">
        <v>80</v>
      </c>
      <c r="D3646" s="562">
        <v>342542240</v>
      </c>
      <c r="E3646" s="562">
        <v>46716000</v>
      </c>
      <c r="F3646" s="562">
        <v>389259000</v>
      </c>
      <c r="G3646" s="562">
        <f t="shared" si="151"/>
        <v>-760</v>
      </c>
      <c r="H3646" s="362"/>
      <c r="I3646" s="362"/>
      <c r="J3646" s="362"/>
    </row>
    <row r="3647" spans="1:10" x14ac:dyDescent="0.25">
      <c r="A3647" s="362"/>
      <c r="B3647" s="611">
        <v>44306</v>
      </c>
      <c r="C3647" s="362" t="s">
        <v>83</v>
      </c>
      <c r="D3647" s="562">
        <v>312181378</v>
      </c>
      <c r="E3647" s="562">
        <v>14942306</v>
      </c>
      <c r="F3647" s="562">
        <v>327123700</v>
      </c>
      <c r="G3647" s="562">
        <f t="shared" si="151"/>
        <v>-16</v>
      </c>
      <c r="H3647" s="362"/>
      <c r="I3647" s="362"/>
      <c r="J3647" s="362"/>
    </row>
    <row r="3648" spans="1:10" x14ac:dyDescent="0.25">
      <c r="A3648" s="362"/>
      <c r="B3648" s="611">
        <v>44306</v>
      </c>
      <c r="C3648" s="362" t="s">
        <v>78</v>
      </c>
      <c r="D3648" s="562">
        <v>164820570</v>
      </c>
      <c r="E3648" s="562">
        <v>4591430</v>
      </c>
      <c r="F3648" s="562">
        <v>169422000</v>
      </c>
      <c r="G3648" s="562">
        <f t="shared" si="151"/>
        <v>-10000</v>
      </c>
      <c r="H3648" s="362"/>
      <c r="I3648" s="362"/>
      <c r="J3648" s="362"/>
    </row>
    <row r="3649" spans="1:10" x14ac:dyDescent="0.25">
      <c r="A3649" s="362"/>
      <c r="B3649" s="611">
        <v>44306</v>
      </c>
      <c r="C3649" s="362" t="s">
        <v>141</v>
      </c>
      <c r="D3649" s="562">
        <v>109371064</v>
      </c>
      <c r="E3649" s="562">
        <v>1157928</v>
      </c>
      <c r="F3649" s="562">
        <v>110529000</v>
      </c>
      <c r="G3649" s="562">
        <f t="shared" si="151"/>
        <v>-8</v>
      </c>
      <c r="H3649" s="362"/>
      <c r="I3649" s="362"/>
      <c r="J3649" s="362"/>
    </row>
    <row r="3650" spans="1:10" x14ac:dyDescent="0.25">
      <c r="A3650" s="362"/>
      <c r="B3650" s="611">
        <v>44306</v>
      </c>
      <c r="C3650" s="362" t="s">
        <v>89</v>
      </c>
      <c r="D3650" s="562">
        <v>174191712</v>
      </c>
      <c r="E3650" s="562">
        <v>38267888</v>
      </c>
      <c r="F3650" s="562">
        <v>212459600</v>
      </c>
      <c r="G3650" s="562">
        <f t="shared" si="151"/>
        <v>0</v>
      </c>
      <c r="H3650" s="362"/>
      <c r="I3650" s="362"/>
      <c r="J3650" s="362"/>
    </row>
    <row r="3651" spans="1:10" x14ac:dyDescent="0.25">
      <c r="A3651" s="362"/>
      <c r="B3651" s="611">
        <v>44306</v>
      </c>
      <c r="C3651" s="362" t="s">
        <v>81</v>
      </c>
      <c r="D3651" s="562">
        <v>81457516</v>
      </c>
      <c r="E3651" s="562">
        <v>24646074</v>
      </c>
      <c r="F3651" s="562">
        <v>106103600</v>
      </c>
      <c r="G3651" s="562">
        <f t="shared" si="151"/>
        <v>-10</v>
      </c>
      <c r="H3651" s="362"/>
      <c r="I3651" s="362"/>
      <c r="J3651" s="362"/>
    </row>
    <row r="3652" spans="1:10" x14ac:dyDescent="0.25">
      <c r="A3652" s="362"/>
      <c r="B3652" s="611">
        <v>44306</v>
      </c>
      <c r="C3652" s="362" t="s">
        <v>84</v>
      </c>
      <c r="D3652" s="562">
        <v>254873378</v>
      </c>
      <c r="E3652" s="562">
        <v>6285420</v>
      </c>
      <c r="F3652" s="562">
        <v>261158800</v>
      </c>
      <c r="G3652" s="562">
        <f t="shared" si="151"/>
        <v>-2</v>
      </c>
      <c r="H3652" s="362"/>
      <c r="I3652" s="362"/>
      <c r="J3652" s="362"/>
    </row>
    <row r="3653" spans="1:10" x14ac:dyDescent="0.25">
      <c r="A3653" s="362"/>
      <c r="B3653" s="611">
        <v>44306</v>
      </c>
      <c r="C3653" s="362" t="s">
        <v>4751</v>
      </c>
      <c r="D3653" s="562">
        <v>310421540</v>
      </c>
      <c r="E3653" s="562">
        <v>37560860</v>
      </c>
      <c r="F3653" s="562">
        <v>347982400</v>
      </c>
      <c r="G3653" s="562">
        <f t="shared" si="151"/>
        <v>0</v>
      </c>
      <c r="H3653" s="362"/>
      <c r="I3653" s="362"/>
      <c r="J3653" s="362"/>
    </row>
    <row r="3654" spans="1:10" x14ac:dyDescent="0.25">
      <c r="A3654" s="362"/>
      <c r="B3654" s="611">
        <v>44306</v>
      </c>
      <c r="C3654" s="362" t="s">
        <v>166</v>
      </c>
      <c r="D3654" s="562">
        <v>78665466</v>
      </c>
      <c r="E3654" s="562"/>
      <c r="F3654" s="562">
        <v>78665500</v>
      </c>
      <c r="G3654" s="562">
        <f t="shared" si="151"/>
        <v>-34</v>
      </c>
      <c r="H3654" s="362"/>
      <c r="I3654" s="362"/>
      <c r="J3654" s="362"/>
    </row>
    <row r="3655" spans="1:10" x14ac:dyDescent="0.25">
      <c r="A3655" s="362"/>
      <c r="B3655" s="611">
        <v>44306</v>
      </c>
      <c r="C3655" s="362" t="s">
        <v>3435</v>
      </c>
      <c r="D3655" s="562">
        <v>56307895</v>
      </c>
      <c r="E3655" s="562"/>
      <c r="F3655" s="562">
        <v>56307900</v>
      </c>
      <c r="G3655" s="562">
        <f t="shared" si="151"/>
        <v>-5</v>
      </c>
      <c r="H3655" s="362"/>
      <c r="I3655" s="362"/>
      <c r="J3655" s="362"/>
    </row>
    <row r="3656" spans="1:10" x14ac:dyDescent="0.25">
      <c r="A3656" s="362"/>
      <c r="B3656" s="611">
        <v>44306</v>
      </c>
      <c r="C3656" s="370" t="s">
        <v>85</v>
      </c>
      <c r="D3656" s="562">
        <v>28949000</v>
      </c>
      <c r="E3656" s="562"/>
      <c r="F3656" s="562">
        <v>28949000</v>
      </c>
      <c r="G3656" s="562">
        <f t="shared" si="151"/>
        <v>0</v>
      </c>
      <c r="H3656" s="362"/>
      <c r="I3656" s="362"/>
      <c r="J3656" s="362"/>
    </row>
    <row r="3657" spans="1:10" x14ac:dyDescent="0.25">
      <c r="A3657" s="532"/>
      <c r="B3657" s="532"/>
      <c r="C3657" s="532"/>
      <c r="D3657" s="564">
        <f>SUM(D3642:D3656)</f>
        <v>2362220706</v>
      </c>
      <c r="E3657" s="564">
        <f t="shared" ref="E3657:G3657" si="152">SUM(E3642:E3656)</f>
        <v>485512203</v>
      </c>
      <c r="F3657" s="564">
        <f t="shared" si="152"/>
        <v>2762488100</v>
      </c>
      <c r="G3657" s="564">
        <f t="shared" si="152"/>
        <v>85244809</v>
      </c>
      <c r="H3657" s="532"/>
      <c r="I3657" s="532"/>
      <c r="J3657" s="532"/>
    </row>
    <row r="3658" spans="1:10" x14ac:dyDescent="0.25">
      <c r="A3658" s="362"/>
      <c r="B3658" s="611">
        <v>44307</v>
      </c>
      <c r="C3658" s="362" t="s">
        <v>86</v>
      </c>
      <c r="D3658" s="562">
        <v>58225333</v>
      </c>
      <c r="E3658" s="562">
        <v>81407080</v>
      </c>
      <c r="F3658" s="562">
        <v>139632500</v>
      </c>
      <c r="G3658" s="562">
        <f t="shared" si="151"/>
        <v>-87</v>
      </c>
      <c r="H3658" s="362"/>
      <c r="I3658" s="362"/>
      <c r="J3658" s="362"/>
    </row>
    <row r="3659" spans="1:10" x14ac:dyDescent="0.25">
      <c r="A3659" s="362"/>
      <c r="B3659" s="611">
        <v>44307</v>
      </c>
      <c r="C3659" s="362" t="s">
        <v>87</v>
      </c>
      <c r="D3659" s="562">
        <v>142505193</v>
      </c>
      <c r="E3659" s="562">
        <v>131442192</v>
      </c>
      <c r="F3659" s="562">
        <v>273947400</v>
      </c>
      <c r="G3659" s="562">
        <f t="shared" si="151"/>
        <v>-15</v>
      </c>
      <c r="H3659" s="362"/>
      <c r="I3659" s="362"/>
      <c r="J3659" s="362"/>
    </row>
    <row r="3660" spans="1:10" x14ac:dyDescent="0.25">
      <c r="A3660" s="362"/>
      <c r="B3660" s="611">
        <v>44307</v>
      </c>
      <c r="C3660" s="362" t="s">
        <v>88</v>
      </c>
      <c r="D3660" s="562">
        <v>144329462</v>
      </c>
      <c r="E3660" s="562">
        <v>15912022</v>
      </c>
      <c r="F3660" s="562">
        <v>160241500</v>
      </c>
      <c r="G3660" s="562">
        <f t="shared" si="151"/>
        <v>-16</v>
      </c>
      <c r="H3660" s="362"/>
      <c r="I3660" s="362"/>
      <c r="J3660" s="362"/>
    </row>
    <row r="3661" spans="1:10" x14ac:dyDescent="0.25">
      <c r="A3661" s="362"/>
      <c r="B3661" s="611">
        <v>44307</v>
      </c>
      <c r="C3661" s="362" t="s">
        <v>82</v>
      </c>
      <c r="D3661" s="562">
        <v>123006115</v>
      </c>
      <c r="E3661" s="562">
        <v>9096295</v>
      </c>
      <c r="F3661" s="562">
        <v>132102500</v>
      </c>
      <c r="G3661" s="562">
        <f t="shared" si="151"/>
        <v>-90</v>
      </c>
      <c r="H3661" s="362"/>
      <c r="I3661" s="362"/>
      <c r="J3661" s="362"/>
    </row>
    <row r="3662" spans="1:10" x14ac:dyDescent="0.25">
      <c r="A3662" s="362"/>
      <c r="B3662" s="611">
        <v>44307</v>
      </c>
      <c r="C3662" s="362" t="s">
        <v>80</v>
      </c>
      <c r="D3662" s="562">
        <v>394754504</v>
      </c>
      <c r="E3662" s="562"/>
      <c r="F3662" s="562">
        <v>394750300</v>
      </c>
      <c r="G3662" s="562">
        <f t="shared" si="151"/>
        <v>4204</v>
      </c>
      <c r="H3662" s="362"/>
      <c r="I3662" s="362"/>
      <c r="J3662" s="362"/>
    </row>
    <row r="3663" spans="1:10" x14ac:dyDescent="0.25">
      <c r="A3663" s="362"/>
      <c r="B3663" s="611">
        <v>44307</v>
      </c>
      <c r="C3663" s="362" t="s">
        <v>83</v>
      </c>
      <c r="D3663" s="562">
        <v>316869052</v>
      </c>
      <c r="E3663" s="562">
        <v>10209615</v>
      </c>
      <c r="F3663" s="562">
        <v>327078700</v>
      </c>
      <c r="G3663" s="562">
        <f t="shared" si="151"/>
        <v>-33</v>
      </c>
      <c r="H3663" s="362"/>
      <c r="I3663" s="362"/>
      <c r="J3663" s="362"/>
    </row>
    <row r="3664" spans="1:10" x14ac:dyDescent="0.25">
      <c r="A3664" s="362"/>
      <c r="B3664" s="611">
        <v>44307</v>
      </c>
      <c r="C3664" s="362" t="s">
        <v>78</v>
      </c>
      <c r="D3664" s="562">
        <v>93217137</v>
      </c>
      <c r="E3664" s="562">
        <v>7250763</v>
      </c>
      <c r="F3664" s="562">
        <v>100467900</v>
      </c>
      <c r="G3664" s="562">
        <f t="shared" si="151"/>
        <v>0</v>
      </c>
      <c r="H3664" s="362"/>
      <c r="I3664" s="362"/>
      <c r="J3664" s="362"/>
    </row>
    <row r="3665" spans="1:10" x14ac:dyDescent="0.25">
      <c r="A3665" s="362"/>
      <c r="B3665" s="611">
        <v>44307</v>
      </c>
      <c r="C3665" s="362" t="s">
        <v>141</v>
      </c>
      <c r="D3665" s="562">
        <v>104387502</v>
      </c>
      <c r="E3665" s="562">
        <v>7824899</v>
      </c>
      <c r="F3665" s="562">
        <v>112212500</v>
      </c>
      <c r="G3665" s="562">
        <f t="shared" si="151"/>
        <v>-99</v>
      </c>
      <c r="H3665" s="362"/>
      <c r="I3665" s="362"/>
      <c r="J3665" s="362"/>
    </row>
    <row r="3666" spans="1:10" x14ac:dyDescent="0.25">
      <c r="A3666" s="362"/>
      <c r="B3666" s="611">
        <v>44307</v>
      </c>
      <c r="C3666" s="362" t="s">
        <v>89</v>
      </c>
      <c r="D3666" s="562">
        <v>136893954</v>
      </c>
      <c r="E3666" s="562">
        <v>23449346</v>
      </c>
      <c r="F3666" s="562">
        <v>160343500</v>
      </c>
      <c r="G3666" s="562">
        <f t="shared" si="151"/>
        <v>-200</v>
      </c>
      <c r="H3666" s="362"/>
      <c r="I3666" s="362"/>
      <c r="J3666" s="362"/>
    </row>
    <row r="3667" spans="1:10" x14ac:dyDescent="0.25">
      <c r="A3667" s="362"/>
      <c r="B3667" s="611">
        <v>44307</v>
      </c>
      <c r="C3667" s="362" t="s">
        <v>81</v>
      </c>
      <c r="D3667" s="562">
        <v>99791599</v>
      </c>
      <c r="E3667" s="562">
        <v>23025517</v>
      </c>
      <c r="F3667" s="562">
        <v>122817200</v>
      </c>
      <c r="G3667" s="562">
        <f t="shared" si="151"/>
        <v>-84</v>
      </c>
      <c r="H3667" s="362"/>
      <c r="I3667" s="362"/>
      <c r="J3667" s="362"/>
    </row>
    <row r="3668" spans="1:10" x14ac:dyDescent="0.25">
      <c r="A3668" s="362"/>
      <c r="B3668" s="611">
        <v>44307</v>
      </c>
      <c r="C3668" s="362" t="s">
        <v>84</v>
      </c>
      <c r="D3668" s="562">
        <v>267035315</v>
      </c>
      <c r="E3668" s="562">
        <v>13260966</v>
      </c>
      <c r="F3668" s="562">
        <v>280296300</v>
      </c>
      <c r="G3668" s="562">
        <f t="shared" si="151"/>
        <v>-19</v>
      </c>
      <c r="H3668" s="362"/>
      <c r="I3668" s="362"/>
      <c r="J3668" s="362"/>
    </row>
    <row r="3669" spans="1:10" x14ac:dyDescent="0.25">
      <c r="A3669" s="362"/>
      <c r="B3669" s="611">
        <v>44307</v>
      </c>
      <c r="C3669" s="362" t="s">
        <v>4751</v>
      </c>
      <c r="D3669" s="562">
        <v>241808006</v>
      </c>
      <c r="E3669" s="562">
        <v>10913594</v>
      </c>
      <c r="F3669" s="562">
        <v>252721700</v>
      </c>
      <c r="G3669" s="562">
        <f t="shared" si="151"/>
        <v>-100</v>
      </c>
      <c r="H3669" s="362"/>
      <c r="I3669" s="362"/>
      <c r="J3669" s="362"/>
    </row>
    <row r="3670" spans="1:10" x14ac:dyDescent="0.25">
      <c r="A3670" s="362"/>
      <c r="B3670" s="611">
        <v>44307</v>
      </c>
      <c r="C3670" s="362" t="s">
        <v>166</v>
      </c>
      <c r="D3670" s="562">
        <v>54847833</v>
      </c>
      <c r="E3670" s="562"/>
      <c r="F3670" s="562">
        <v>54847900</v>
      </c>
      <c r="G3670" s="562">
        <f t="shared" si="151"/>
        <v>-67</v>
      </c>
      <c r="H3670" s="362"/>
      <c r="I3670" s="362"/>
      <c r="J3670" s="362"/>
    </row>
    <row r="3671" spans="1:10" x14ac:dyDescent="0.25">
      <c r="A3671" s="362"/>
      <c r="B3671" s="611">
        <v>44307</v>
      </c>
      <c r="C3671" s="362" t="s">
        <v>3435</v>
      </c>
      <c r="D3671" s="562">
        <v>52401844</v>
      </c>
      <c r="E3671" s="562"/>
      <c r="F3671" s="562">
        <v>52401900</v>
      </c>
      <c r="G3671" s="562">
        <f t="shared" si="151"/>
        <v>-56</v>
      </c>
      <c r="H3671" s="362"/>
      <c r="I3671" s="362"/>
      <c r="J3671" s="362"/>
    </row>
    <row r="3672" spans="1:10" x14ac:dyDescent="0.25">
      <c r="A3672" s="362"/>
      <c r="B3672" s="611">
        <v>44307</v>
      </c>
      <c r="C3672" s="370" t="s">
        <v>85</v>
      </c>
      <c r="D3672" s="562">
        <v>42768400</v>
      </c>
      <c r="E3672" s="562"/>
      <c r="F3672" s="562">
        <v>42768400</v>
      </c>
      <c r="G3672" s="562">
        <f t="shared" si="151"/>
        <v>0</v>
      </c>
      <c r="H3672" s="362"/>
      <c r="I3672" s="362"/>
      <c r="J3672" s="362"/>
    </row>
    <row r="3673" spans="1:10" x14ac:dyDescent="0.25">
      <c r="A3673" s="532"/>
      <c r="B3673" s="532"/>
      <c r="C3673" s="532"/>
      <c r="D3673" s="564">
        <f>SUM(D3658:D3672)</f>
        <v>2272841249</v>
      </c>
      <c r="E3673" s="564">
        <f t="shared" ref="E3673:G3673" si="153">SUM(E3658:E3672)</f>
        <v>333792289</v>
      </c>
      <c r="F3673" s="564">
        <f t="shared" si="153"/>
        <v>2606630200</v>
      </c>
      <c r="G3673" s="564">
        <f t="shared" si="153"/>
        <v>3338</v>
      </c>
      <c r="H3673" s="532"/>
      <c r="I3673" s="532"/>
      <c r="J3673" s="532"/>
    </row>
    <row r="3674" spans="1:10" x14ac:dyDescent="0.25">
      <c r="A3674" s="362"/>
      <c r="B3674" s="611">
        <v>44308</v>
      </c>
      <c r="C3674" s="362" t="s">
        <v>86</v>
      </c>
      <c r="D3674" s="562">
        <v>181901546</v>
      </c>
      <c r="E3674" s="562">
        <v>45754178</v>
      </c>
      <c r="F3674" s="562"/>
      <c r="G3674" s="562">
        <f t="shared" si="151"/>
        <v>227655724</v>
      </c>
      <c r="H3674" s="362"/>
      <c r="I3674" s="362"/>
      <c r="J3674" s="362"/>
    </row>
    <row r="3675" spans="1:10" x14ac:dyDescent="0.25">
      <c r="A3675" s="362"/>
      <c r="B3675" s="611">
        <v>44308</v>
      </c>
      <c r="C3675" s="362" t="s">
        <v>87</v>
      </c>
      <c r="D3675" s="562">
        <v>68229324</v>
      </c>
      <c r="E3675" s="562">
        <v>236470799</v>
      </c>
      <c r="F3675" s="562"/>
      <c r="G3675" s="562">
        <f t="shared" si="151"/>
        <v>304700123</v>
      </c>
      <c r="H3675" s="362"/>
      <c r="I3675" s="362"/>
      <c r="J3675" s="362"/>
    </row>
    <row r="3676" spans="1:10" x14ac:dyDescent="0.25">
      <c r="A3676" s="362"/>
      <c r="B3676" s="611">
        <v>44308</v>
      </c>
      <c r="C3676" s="362" t="s">
        <v>88</v>
      </c>
      <c r="D3676" s="562">
        <v>154646461</v>
      </c>
      <c r="E3676" s="562">
        <v>62181553</v>
      </c>
      <c r="F3676" s="562"/>
      <c r="G3676" s="562">
        <f t="shared" si="151"/>
        <v>216828014</v>
      </c>
      <c r="H3676" s="362"/>
      <c r="I3676" s="362"/>
      <c r="J3676" s="362"/>
    </row>
    <row r="3677" spans="1:10" x14ac:dyDescent="0.25">
      <c r="A3677" s="362"/>
      <c r="B3677" s="611">
        <v>44308</v>
      </c>
      <c r="C3677" s="362" t="s">
        <v>82</v>
      </c>
      <c r="D3677" s="562">
        <v>181126957</v>
      </c>
      <c r="E3677" s="562">
        <v>879367</v>
      </c>
      <c r="F3677" s="562"/>
      <c r="G3677" s="562">
        <f t="shared" si="151"/>
        <v>182006324</v>
      </c>
      <c r="H3677" s="362"/>
      <c r="I3677" s="362"/>
      <c r="J3677" s="362"/>
    </row>
    <row r="3678" spans="1:10" x14ac:dyDescent="0.25">
      <c r="A3678" s="362"/>
      <c r="B3678" s="611">
        <v>44308</v>
      </c>
      <c r="C3678" s="362" t="s">
        <v>80</v>
      </c>
      <c r="D3678" s="562">
        <v>217564910</v>
      </c>
      <c r="E3678" s="562">
        <v>1359280</v>
      </c>
      <c r="F3678" s="562"/>
      <c r="G3678" s="562">
        <f t="shared" si="151"/>
        <v>218924190</v>
      </c>
      <c r="H3678" s="362"/>
      <c r="I3678" s="362"/>
      <c r="J3678" s="362"/>
    </row>
    <row r="3679" spans="1:10" x14ac:dyDescent="0.25">
      <c r="A3679" s="362"/>
      <c r="B3679" s="611">
        <v>44308</v>
      </c>
      <c r="C3679" s="362" t="s">
        <v>83</v>
      </c>
      <c r="D3679" s="562">
        <v>227150026</v>
      </c>
      <c r="E3679" s="562">
        <v>4714964</v>
      </c>
      <c r="F3679" s="562"/>
      <c r="G3679" s="562">
        <f t="shared" si="151"/>
        <v>231864990</v>
      </c>
      <c r="H3679" s="362"/>
      <c r="I3679" s="362"/>
      <c r="J3679" s="362"/>
    </row>
    <row r="3680" spans="1:10" x14ac:dyDescent="0.25">
      <c r="A3680" s="362"/>
      <c r="B3680" s="611">
        <v>44308</v>
      </c>
      <c r="C3680" s="362" t="s">
        <v>78</v>
      </c>
      <c r="D3680" s="562">
        <v>105790077</v>
      </c>
      <c r="E3680" s="562">
        <v>1396723</v>
      </c>
      <c r="F3680" s="562"/>
      <c r="G3680" s="562">
        <f t="shared" si="151"/>
        <v>107186800</v>
      </c>
      <c r="H3680" s="362"/>
      <c r="I3680" s="362"/>
      <c r="J3680" s="362"/>
    </row>
    <row r="3681" spans="1:10" x14ac:dyDescent="0.25">
      <c r="A3681" s="362"/>
      <c r="B3681" s="611">
        <v>44308</v>
      </c>
      <c r="C3681" s="362" t="s">
        <v>141</v>
      </c>
      <c r="D3681" s="562">
        <v>77720599</v>
      </c>
      <c r="E3681" s="562">
        <v>10318452</v>
      </c>
      <c r="F3681" s="562"/>
      <c r="G3681" s="562">
        <f t="shared" si="151"/>
        <v>88039051</v>
      </c>
      <c r="H3681" s="362"/>
      <c r="I3681" s="362"/>
      <c r="J3681" s="362"/>
    </row>
    <row r="3682" spans="1:10" x14ac:dyDescent="0.25">
      <c r="A3682" s="362"/>
      <c r="B3682" s="611">
        <v>44308</v>
      </c>
      <c r="C3682" s="362" t="s">
        <v>89</v>
      </c>
      <c r="D3682" s="562">
        <v>246627700</v>
      </c>
      <c r="E3682" s="562">
        <v>23672800</v>
      </c>
      <c r="F3682" s="562"/>
      <c r="G3682" s="562">
        <f t="shared" si="151"/>
        <v>270300500</v>
      </c>
      <c r="H3682" s="362"/>
      <c r="I3682" s="362"/>
      <c r="J3682" s="362"/>
    </row>
    <row r="3683" spans="1:10" x14ac:dyDescent="0.25">
      <c r="A3683" s="362"/>
      <c r="B3683" s="611">
        <v>44308</v>
      </c>
      <c r="C3683" s="362" t="s">
        <v>81</v>
      </c>
      <c r="D3683" s="562">
        <v>61805771</v>
      </c>
      <c r="E3683" s="562">
        <v>9111989</v>
      </c>
      <c r="F3683" s="562"/>
      <c r="G3683" s="562">
        <f t="shared" si="151"/>
        <v>70917760</v>
      </c>
      <c r="H3683" s="362"/>
      <c r="I3683" s="362"/>
      <c r="J3683" s="362"/>
    </row>
    <row r="3684" spans="1:10" x14ac:dyDescent="0.25">
      <c r="A3684" s="362"/>
      <c r="B3684" s="611">
        <v>44308</v>
      </c>
      <c r="C3684" s="362" t="s">
        <v>84</v>
      </c>
      <c r="D3684" s="562">
        <v>384421817</v>
      </c>
      <c r="E3684" s="562">
        <v>17082980</v>
      </c>
      <c r="F3684" s="562"/>
      <c r="G3684" s="562">
        <f t="shared" si="151"/>
        <v>401504797</v>
      </c>
      <c r="H3684" s="362"/>
      <c r="I3684" s="362"/>
      <c r="J3684" s="362"/>
    </row>
    <row r="3685" spans="1:10" x14ac:dyDescent="0.25">
      <c r="A3685" s="362"/>
      <c r="B3685" s="611">
        <v>44308</v>
      </c>
      <c r="C3685" s="362" t="s">
        <v>4751</v>
      </c>
      <c r="D3685" s="562">
        <v>296743701</v>
      </c>
      <c r="E3685" s="562">
        <v>33000899</v>
      </c>
      <c r="F3685" s="562"/>
      <c r="G3685" s="562">
        <f t="shared" si="151"/>
        <v>329744600</v>
      </c>
      <c r="H3685" s="362"/>
      <c r="I3685" s="362"/>
      <c r="J3685" s="362"/>
    </row>
    <row r="3686" spans="1:10" x14ac:dyDescent="0.25">
      <c r="A3686" s="362"/>
      <c r="B3686" s="611">
        <v>44308</v>
      </c>
      <c r="C3686" s="362" t="s">
        <v>166</v>
      </c>
      <c r="D3686" s="562">
        <v>102172775</v>
      </c>
      <c r="E3686" s="562"/>
      <c r="F3686" s="562"/>
      <c r="G3686" s="562">
        <f t="shared" si="151"/>
        <v>102172775</v>
      </c>
      <c r="H3686" s="362"/>
      <c r="I3686" s="362"/>
      <c r="J3686" s="362"/>
    </row>
    <row r="3687" spans="1:10" x14ac:dyDescent="0.25">
      <c r="A3687" s="362"/>
      <c r="B3687" s="611">
        <v>44308</v>
      </c>
      <c r="C3687" s="362" t="s">
        <v>3435</v>
      </c>
      <c r="D3687" s="562">
        <v>91138056</v>
      </c>
      <c r="E3687" s="562"/>
      <c r="F3687" s="562"/>
      <c r="G3687" s="562">
        <f t="shared" si="151"/>
        <v>91138056</v>
      </c>
      <c r="H3687" s="362"/>
      <c r="I3687" s="362"/>
      <c r="J3687" s="362"/>
    </row>
    <row r="3688" spans="1:10" x14ac:dyDescent="0.25">
      <c r="A3688" s="362"/>
      <c r="B3688" s="611">
        <v>44308</v>
      </c>
      <c r="C3688" s="370" t="s">
        <v>85</v>
      </c>
      <c r="D3688" s="562">
        <v>26578700</v>
      </c>
      <c r="E3688" s="562"/>
      <c r="F3688" s="562"/>
      <c r="G3688" s="562">
        <f t="shared" si="151"/>
        <v>26578700</v>
      </c>
      <c r="H3688" s="562"/>
      <c r="I3688" s="362"/>
      <c r="J3688" s="362"/>
    </row>
    <row r="3689" spans="1:10" x14ac:dyDescent="0.25">
      <c r="A3689" s="532"/>
      <c r="B3689" s="532"/>
      <c r="C3689" s="532"/>
      <c r="D3689" s="564">
        <f>SUM(D3674:D3688)</f>
        <v>2423618420</v>
      </c>
      <c r="E3689" s="564">
        <f t="shared" ref="E3689:G3689" si="154">SUM(E3674:E3688)</f>
        <v>445943984</v>
      </c>
      <c r="F3689" s="564">
        <f t="shared" si="154"/>
        <v>0</v>
      </c>
      <c r="G3689" s="564">
        <f t="shared" si="154"/>
        <v>2869562404</v>
      </c>
      <c r="H3689" s="564"/>
      <c r="I3689" s="532"/>
      <c r="J3689" s="532"/>
    </row>
    <row r="3690" spans="1:10" x14ac:dyDescent="0.25">
      <c r="A3690" s="362"/>
      <c r="B3690" s="611">
        <v>44309</v>
      </c>
      <c r="C3690" s="362" t="s">
        <v>86</v>
      </c>
      <c r="D3690" s="562"/>
      <c r="E3690" s="562"/>
      <c r="F3690" s="562"/>
      <c r="G3690" s="562"/>
      <c r="H3690" s="562"/>
      <c r="I3690" s="362"/>
      <c r="J3690" s="362"/>
    </row>
    <row r="3691" spans="1:10" x14ac:dyDescent="0.25">
      <c r="A3691" s="362"/>
      <c r="B3691" s="611">
        <v>44309</v>
      </c>
      <c r="C3691" s="362" t="s">
        <v>87</v>
      </c>
      <c r="D3691" s="562"/>
      <c r="E3691" s="562"/>
      <c r="F3691" s="562"/>
      <c r="G3691" s="562"/>
      <c r="H3691" s="562"/>
      <c r="I3691" s="362"/>
      <c r="J3691" s="362"/>
    </row>
    <row r="3692" spans="1:10" x14ac:dyDescent="0.25">
      <c r="A3692" s="362"/>
      <c r="B3692" s="611">
        <v>44309</v>
      </c>
      <c r="C3692" s="362" t="s">
        <v>88</v>
      </c>
      <c r="D3692" s="562"/>
      <c r="E3692" s="562"/>
      <c r="F3692" s="562"/>
      <c r="G3692" s="562"/>
      <c r="H3692" s="562"/>
      <c r="I3692" s="362"/>
      <c r="J3692" s="362"/>
    </row>
    <row r="3693" spans="1:10" x14ac:dyDescent="0.25">
      <c r="A3693" s="362"/>
      <c r="B3693" s="611">
        <v>44309</v>
      </c>
      <c r="C3693" s="362" t="s">
        <v>82</v>
      </c>
      <c r="D3693" s="562"/>
      <c r="E3693" s="562"/>
      <c r="F3693" s="562"/>
      <c r="G3693" s="562"/>
      <c r="H3693" s="562"/>
      <c r="I3693" s="362"/>
      <c r="J3693" s="362"/>
    </row>
    <row r="3694" spans="1:10" x14ac:dyDescent="0.25">
      <c r="A3694" s="362"/>
      <c r="B3694" s="611">
        <v>44309</v>
      </c>
      <c r="C3694" s="362" t="s">
        <v>80</v>
      </c>
      <c r="D3694" s="562"/>
      <c r="E3694" s="562"/>
      <c r="F3694" s="562"/>
      <c r="G3694" s="562"/>
      <c r="H3694" s="562"/>
      <c r="I3694" s="362"/>
      <c r="J3694" s="362"/>
    </row>
    <row r="3695" spans="1:10" x14ac:dyDescent="0.25">
      <c r="A3695" s="362"/>
      <c r="B3695" s="611">
        <v>44309</v>
      </c>
      <c r="C3695" s="362" t="s">
        <v>83</v>
      </c>
      <c r="D3695" s="562"/>
      <c r="E3695" s="562"/>
      <c r="F3695" s="562"/>
      <c r="G3695" s="562"/>
      <c r="H3695" s="562"/>
      <c r="I3695" s="362"/>
      <c r="J3695" s="362"/>
    </row>
    <row r="3696" spans="1:10" x14ac:dyDescent="0.25">
      <c r="A3696" s="362"/>
      <c r="B3696" s="611">
        <v>44309</v>
      </c>
      <c r="C3696" s="362" t="s">
        <v>78</v>
      </c>
      <c r="D3696" s="562"/>
      <c r="E3696" s="562"/>
      <c r="F3696" s="562"/>
      <c r="G3696" s="562"/>
      <c r="H3696" s="562"/>
      <c r="I3696" s="362"/>
      <c r="J3696" s="362"/>
    </row>
    <row r="3697" spans="1:10" x14ac:dyDescent="0.25">
      <c r="A3697" s="362"/>
      <c r="B3697" s="611">
        <v>44309</v>
      </c>
      <c r="C3697" s="362" t="s">
        <v>141</v>
      </c>
      <c r="D3697" s="562"/>
      <c r="E3697" s="562"/>
      <c r="F3697" s="562"/>
      <c r="G3697" s="562"/>
      <c r="H3697" s="562"/>
      <c r="I3697" s="362"/>
      <c r="J3697" s="362"/>
    </row>
    <row r="3698" spans="1:10" x14ac:dyDescent="0.25">
      <c r="A3698" s="362"/>
      <c r="B3698" s="611">
        <v>44309</v>
      </c>
      <c r="C3698" s="362" t="s">
        <v>89</v>
      </c>
      <c r="D3698" s="562"/>
      <c r="E3698" s="562"/>
      <c r="F3698" s="562"/>
      <c r="G3698" s="562"/>
      <c r="H3698" s="562"/>
      <c r="I3698" s="362"/>
      <c r="J3698" s="362"/>
    </row>
    <row r="3699" spans="1:10" x14ac:dyDescent="0.25">
      <c r="A3699" s="362"/>
      <c r="B3699" s="611">
        <v>44309</v>
      </c>
      <c r="C3699" s="362" t="s">
        <v>81</v>
      </c>
      <c r="D3699" s="562"/>
      <c r="E3699" s="562"/>
      <c r="F3699" s="562"/>
      <c r="G3699" s="562"/>
      <c r="H3699" s="562"/>
      <c r="I3699" s="362"/>
      <c r="J3699" s="362"/>
    </row>
    <row r="3700" spans="1:10" x14ac:dyDescent="0.25">
      <c r="A3700" s="362"/>
      <c r="B3700" s="611">
        <v>44309</v>
      </c>
      <c r="C3700" s="362" t="s">
        <v>84</v>
      </c>
      <c r="D3700" s="562"/>
      <c r="E3700" s="562"/>
      <c r="F3700" s="562"/>
      <c r="G3700" s="562"/>
      <c r="H3700" s="562"/>
      <c r="I3700" s="362"/>
      <c r="J3700" s="362"/>
    </row>
    <row r="3701" spans="1:10" x14ac:dyDescent="0.25">
      <c r="A3701" s="362"/>
      <c r="B3701" s="611">
        <v>44309</v>
      </c>
      <c r="C3701" s="362" t="s">
        <v>4751</v>
      </c>
      <c r="D3701" s="562"/>
      <c r="E3701" s="562"/>
      <c r="F3701" s="562"/>
      <c r="G3701" s="562"/>
      <c r="H3701" s="562"/>
      <c r="I3701" s="362"/>
      <c r="J3701" s="362"/>
    </row>
    <row r="3702" spans="1:10" x14ac:dyDescent="0.25">
      <c r="A3702" s="362"/>
      <c r="B3702" s="611">
        <v>44309</v>
      </c>
      <c r="C3702" s="362" t="s">
        <v>166</v>
      </c>
      <c r="D3702" s="562"/>
      <c r="E3702" s="562"/>
      <c r="F3702" s="562"/>
      <c r="G3702" s="562"/>
      <c r="H3702" s="562"/>
      <c r="I3702" s="362"/>
      <c r="J3702" s="362"/>
    </row>
    <row r="3703" spans="1:10" x14ac:dyDescent="0.25">
      <c r="A3703" s="362"/>
      <c r="B3703" s="611">
        <v>44309</v>
      </c>
      <c r="C3703" s="362" t="s">
        <v>3435</v>
      </c>
      <c r="D3703" s="562"/>
      <c r="E3703" s="562"/>
      <c r="F3703" s="562"/>
      <c r="G3703" s="562"/>
      <c r="H3703" s="562"/>
      <c r="I3703" s="362"/>
      <c r="J3703" s="362"/>
    </row>
    <row r="3704" spans="1:10" x14ac:dyDescent="0.25">
      <c r="A3704" s="362"/>
      <c r="B3704" s="611">
        <v>44309</v>
      </c>
      <c r="C3704" s="370" t="s">
        <v>85</v>
      </c>
      <c r="D3704" s="562"/>
      <c r="E3704" s="562"/>
      <c r="F3704" s="562"/>
      <c r="G3704" s="562"/>
      <c r="H3704" s="562"/>
      <c r="I3704" s="362"/>
      <c r="J3704" s="362"/>
    </row>
    <row r="3705" spans="1:10" x14ac:dyDescent="0.25">
      <c r="A3705" s="532"/>
      <c r="B3705" s="532"/>
      <c r="C3705" s="532"/>
      <c r="D3705" s="564"/>
      <c r="E3705" s="564"/>
      <c r="F3705" s="564"/>
      <c r="G3705" s="564"/>
      <c r="H3705" s="564"/>
      <c r="I3705" s="532"/>
      <c r="J3705" s="532"/>
    </row>
    <row r="3706" spans="1:10" x14ac:dyDescent="0.25">
      <c r="A3706" s="362"/>
      <c r="B3706" s="611">
        <v>44310</v>
      </c>
      <c r="C3706" s="362" t="s">
        <v>86</v>
      </c>
      <c r="D3706" s="562"/>
      <c r="E3706" s="562"/>
      <c r="F3706" s="562"/>
      <c r="G3706" s="562"/>
      <c r="H3706" s="562"/>
      <c r="I3706" s="362"/>
      <c r="J3706" s="362"/>
    </row>
    <row r="3707" spans="1:10" x14ac:dyDescent="0.25">
      <c r="A3707" s="362"/>
      <c r="B3707" s="611">
        <v>44310</v>
      </c>
      <c r="C3707" s="362" t="s">
        <v>87</v>
      </c>
      <c r="D3707" s="562"/>
      <c r="E3707" s="562"/>
      <c r="F3707" s="562"/>
      <c r="G3707" s="562"/>
      <c r="H3707" s="562"/>
      <c r="I3707" s="362"/>
      <c r="J3707" s="362"/>
    </row>
    <row r="3708" spans="1:10" x14ac:dyDescent="0.25">
      <c r="A3708" s="362"/>
      <c r="B3708" s="611">
        <v>44310</v>
      </c>
      <c r="C3708" s="362" t="s">
        <v>88</v>
      </c>
      <c r="D3708" s="562"/>
      <c r="E3708" s="562"/>
      <c r="F3708" s="562"/>
      <c r="G3708" s="562"/>
      <c r="H3708" s="562"/>
      <c r="I3708" s="362"/>
      <c r="J3708" s="362"/>
    </row>
    <row r="3709" spans="1:10" x14ac:dyDescent="0.25">
      <c r="A3709" s="362"/>
      <c r="B3709" s="611">
        <v>44310</v>
      </c>
      <c r="C3709" s="362" t="s">
        <v>82</v>
      </c>
      <c r="D3709" s="562"/>
      <c r="E3709" s="562"/>
      <c r="F3709" s="562"/>
      <c r="G3709" s="562"/>
      <c r="H3709" s="562"/>
      <c r="I3709" s="362"/>
      <c r="J3709" s="362"/>
    </row>
    <row r="3710" spans="1:10" x14ac:dyDescent="0.25">
      <c r="A3710" s="362"/>
      <c r="B3710" s="611">
        <v>44310</v>
      </c>
      <c r="C3710" s="362" t="s">
        <v>80</v>
      </c>
      <c r="D3710" s="562"/>
      <c r="E3710" s="562"/>
      <c r="F3710" s="562"/>
      <c r="G3710" s="562"/>
      <c r="H3710" s="562"/>
      <c r="I3710" s="362"/>
      <c r="J3710" s="362"/>
    </row>
    <row r="3711" spans="1:10" x14ac:dyDescent="0.25">
      <c r="A3711" s="362"/>
      <c r="B3711" s="611">
        <v>44310</v>
      </c>
      <c r="C3711" s="362" t="s">
        <v>83</v>
      </c>
      <c r="D3711" s="562"/>
      <c r="E3711" s="562"/>
      <c r="F3711" s="562"/>
      <c r="G3711" s="562"/>
      <c r="H3711" s="562"/>
      <c r="I3711" s="362"/>
      <c r="J3711" s="362"/>
    </row>
    <row r="3712" spans="1:10" x14ac:dyDescent="0.25">
      <c r="A3712" s="362"/>
      <c r="B3712" s="611">
        <v>44310</v>
      </c>
      <c r="C3712" s="362" t="s">
        <v>78</v>
      </c>
      <c r="D3712" s="562"/>
      <c r="E3712" s="562"/>
      <c r="F3712" s="562"/>
      <c r="G3712" s="562"/>
      <c r="H3712" s="562"/>
      <c r="I3712" s="362"/>
      <c r="J3712" s="362"/>
    </row>
    <row r="3713" spans="1:10" x14ac:dyDescent="0.25">
      <c r="A3713" s="362"/>
      <c r="B3713" s="611">
        <v>44310</v>
      </c>
      <c r="C3713" s="362" t="s">
        <v>141</v>
      </c>
      <c r="D3713" s="562"/>
      <c r="E3713" s="562"/>
      <c r="F3713" s="562"/>
      <c r="G3713" s="562"/>
      <c r="H3713" s="562"/>
      <c r="I3713" s="362"/>
      <c r="J3713" s="362"/>
    </row>
    <row r="3714" spans="1:10" x14ac:dyDescent="0.25">
      <c r="A3714" s="362"/>
      <c r="B3714" s="611">
        <v>44310</v>
      </c>
      <c r="C3714" s="362" t="s">
        <v>89</v>
      </c>
      <c r="D3714" s="562"/>
      <c r="E3714" s="562"/>
      <c r="F3714" s="562"/>
      <c r="G3714" s="562"/>
      <c r="H3714" s="562"/>
      <c r="I3714" s="362"/>
      <c r="J3714" s="362"/>
    </row>
    <row r="3715" spans="1:10" x14ac:dyDescent="0.25">
      <c r="A3715" s="362"/>
      <c r="B3715" s="611">
        <v>44310</v>
      </c>
      <c r="C3715" s="362" t="s">
        <v>81</v>
      </c>
      <c r="D3715" s="562"/>
      <c r="E3715" s="562"/>
      <c r="F3715" s="562"/>
      <c r="G3715" s="562"/>
      <c r="H3715" s="562"/>
      <c r="I3715" s="362"/>
      <c r="J3715" s="362"/>
    </row>
    <row r="3716" spans="1:10" x14ac:dyDescent="0.25">
      <c r="A3716" s="362"/>
      <c r="B3716" s="611">
        <v>44310</v>
      </c>
      <c r="C3716" s="362" t="s">
        <v>84</v>
      </c>
      <c r="D3716" s="562"/>
      <c r="E3716" s="562"/>
      <c r="F3716" s="562"/>
      <c r="G3716" s="562"/>
      <c r="H3716" s="562"/>
      <c r="I3716" s="362"/>
      <c r="J3716" s="362"/>
    </row>
    <row r="3717" spans="1:10" x14ac:dyDescent="0.25">
      <c r="A3717" s="362"/>
      <c r="B3717" s="611">
        <v>44310</v>
      </c>
      <c r="C3717" s="362" t="s">
        <v>4751</v>
      </c>
      <c r="D3717" s="562"/>
      <c r="E3717" s="562"/>
      <c r="F3717" s="562"/>
      <c r="G3717" s="562"/>
      <c r="H3717" s="562"/>
      <c r="I3717" s="362"/>
      <c r="J3717" s="362"/>
    </row>
    <row r="3718" spans="1:10" x14ac:dyDescent="0.25">
      <c r="A3718" s="362"/>
      <c r="B3718" s="611">
        <v>44310</v>
      </c>
      <c r="C3718" s="362" t="s">
        <v>166</v>
      </c>
      <c r="D3718" s="562"/>
      <c r="E3718" s="562"/>
      <c r="F3718" s="562"/>
      <c r="G3718" s="562"/>
      <c r="H3718" s="562"/>
      <c r="I3718" s="362"/>
      <c r="J3718" s="362"/>
    </row>
    <row r="3719" spans="1:10" x14ac:dyDescent="0.25">
      <c r="A3719" s="362"/>
      <c r="B3719" s="611">
        <v>44310</v>
      </c>
      <c r="C3719" s="362" t="s">
        <v>3435</v>
      </c>
      <c r="D3719" s="562"/>
      <c r="E3719" s="562"/>
      <c r="F3719" s="562"/>
      <c r="G3719" s="562"/>
      <c r="H3719" s="562"/>
      <c r="I3719" s="362"/>
      <c r="J3719" s="362"/>
    </row>
    <row r="3720" spans="1:10" x14ac:dyDescent="0.25">
      <c r="A3720" s="362"/>
      <c r="B3720" s="611">
        <v>44310</v>
      </c>
      <c r="C3720" s="370" t="s">
        <v>85</v>
      </c>
      <c r="D3720" s="562"/>
      <c r="E3720" s="562"/>
      <c r="F3720" s="562"/>
      <c r="G3720" s="562"/>
      <c r="H3720" s="562"/>
      <c r="I3720" s="362"/>
      <c r="J3720" s="362"/>
    </row>
    <row r="3721" spans="1:10" x14ac:dyDescent="0.25">
      <c r="A3721" s="532"/>
      <c r="B3721" s="532"/>
      <c r="C3721" s="532"/>
      <c r="D3721" s="564"/>
      <c r="E3721" s="564"/>
      <c r="F3721" s="564"/>
      <c r="G3721" s="564"/>
      <c r="H3721" s="564"/>
      <c r="I3721" s="532"/>
      <c r="J3721" s="532"/>
    </row>
    <row r="3722" spans="1:10" x14ac:dyDescent="0.25">
      <c r="A3722" s="362"/>
      <c r="B3722" s="611">
        <v>44312</v>
      </c>
      <c r="C3722" s="362" t="s">
        <v>86</v>
      </c>
      <c r="D3722" s="562"/>
      <c r="E3722" s="562"/>
      <c r="F3722" s="562"/>
      <c r="G3722" s="562"/>
      <c r="H3722" s="562"/>
      <c r="I3722" s="362"/>
      <c r="J3722" s="362"/>
    </row>
    <row r="3723" spans="1:10" x14ac:dyDescent="0.25">
      <c r="A3723" s="362"/>
      <c r="B3723" s="611">
        <v>44312</v>
      </c>
      <c r="C3723" s="362" t="s">
        <v>87</v>
      </c>
      <c r="D3723" s="562"/>
      <c r="E3723" s="562"/>
      <c r="F3723" s="562"/>
      <c r="G3723" s="562"/>
      <c r="H3723" s="562"/>
      <c r="I3723" s="362"/>
      <c r="J3723" s="362"/>
    </row>
    <row r="3724" spans="1:10" x14ac:dyDescent="0.25">
      <c r="A3724" s="362"/>
      <c r="B3724" s="611">
        <v>44312</v>
      </c>
      <c r="C3724" s="362" t="s">
        <v>88</v>
      </c>
      <c r="D3724" s="562"/>
      <c r="E3724" s="562"/>
      <c r="F3724" s="562"/>
      <c r="G3724" s="562"/>
      <c r="H3724" s="562"/>
      <c r="I3724" s="362"/>
      <c r="J3724" s="362"/>
    </row>
    <row r="3725" spans="1:10" x14ac:dyDescent="0.25">
      <c r="A3725" s="362"/>
      <c r="B3725" s="611">
        <v>44312</v>
      </c>
      <c r="C3725" s="362" t="s">
        <v>82</v>
      </c>
      <c r="D3725" s="562"/>
      <c r="E3725" s="562"/>
      <c r="F3725" s="562"/>
      <c r="G3725" s="562"/>
      <c r="H3725" s="562"/>
      <c r="I3725" s="362"/>
      <c r="J3725" s="362"/>
    </row>
    <row r="3726" spans="1:10" x14ac:dyDescent="0.25">
      <c r="A3726" s="362"/>
      <c r="B3726" s="611">
        <v>44312</v>
      </c>
      <c r="C3726" s="362" t="s">
        <v>80</v>
      </c>
      <c r="D3726" s="562"/>
      <c r="E3726" s="562"/>
      <c r="F3726" s="562"/>
      <c r="G3726" s="562"/>
      <c r="H3726" s="562"/>
      <c r="I3726" s="362"/>
      <c r="J3726" s="362"/>
    </row>
    <row r="3727" spans="1:10" x14ac:dyDescent="0.25">
      <c r="A3727" s="362"/>
      <c r="B3727" s="611">
        <v>44312</v>
      </c>
      <c r="C3727" s="362" t="s">
        <v>83</v>
      </c>
      <c r="D3727" s="562"/>
      <c r="E3727" s="562"/>
      <c r="F3727" s="562"/>
      <c r="G3727" s="562"/>
      <c r="H3727" s="562"/>
      <c r="I3727" s="362"/>
      <c r="J3727" s="362"/>
    </row>
    <row r="3728" spans="1:10" x14ac:dyDescent="0.25">
      <c r="A3728" s="362"/>
      <c r="B3728" s="611">
        <v>44312</v>
      </c>
      <c r="C3728" s="362" t="s">
        <v>78</v>
      </c>
      <c r="D3728" s="562"/>
      <c r="E3728" s="562"/>
      <c r="F3728" s="562"/>
      <c r="G3728" s="562"/>
      <c r="H3728" s="562"/>
      <c r="I3728" s="362"/>
      <c r="J3728" s="362"/>
    </row>
    <row r="3729" spans="1:10" x14ac:dyDescent="0.25">
      <c r="A3729" s="362"/>
      <c r="B3729" s="611">
        <v>44312</v>
      </c>
      <c r="C3729" s="362" t="s">
        <v>141</v>
      </c>
      <c r="D3729" s="562"/>
      <c r="E3729" s="562"/>
      <c r="F3729" s="562"/>
      <c r="G3729" s="562"/>
      <c r="H3729" s="562"/>
      <c r="I3729" s="362"/>
      <c r="J3729" s="362"/>
    </row>
    <row r="3730" spans="1:10" x14ac:dyDescent="0.25">
      <c r="A3730" s="362"/>
      <c r="B3730" s="611">
        <v>44312</v>
      </c>
      <c r="C3730" s="362" t="s">
        <v>89</v>
      </c>
      <c r="D3730" s="562"/>
      <c r="E3730" s="562"/>
      <c r="F3730" s="562"/>
      <c r="G3730" s="562"/>
      <c r="H3730" s="562"/>
      <c r="I3730" s="362"/>
      <c r="J3730" s="362"/>
    </row>
    <row r="3731" spans="1:10" x14ac:dyDescent="0.25">
      <c r="A3731" s="362"/>
      <c r="B3731" s="611">
        <v>44312</v>
      </c>
      <c r="C3731" s="362" t="s">
        <v>81</v>
      </c>
      <c r="D3731" s="562"/>
      <c r="E3731" s="562"/>
      <c r="F3731" s="562"/>
      <c r="G3731" s="562"/>
      <c r="H3731" s="562"/>
      <c r="I3731" s="362"/>
      <c r="J3731" s="362"/>
    </row>
    <row r="3732" spans="1:10" x14ac:dyDescent="0.25">
      <c r="A3732" s="362"/>
      <c r="B3732" s="611">
        <v>44312</v>
      </c>
      <c r="C3732" s="362" t="s">
        <v>84</v>
      </c>
      <c r="D3732" s="562"/>
      <c r="E3732" s="562"/>
      <c r="F3732" s="562"/>
      <c r="G3732" s="562"/>
      <c r="H3732" s="562"/>
      <c r="I3732" s="362"/>
      <c r="J3732" s="362"/>
    </row>
    <row r="3733" spans="1:10" x14ac:dyDescent="0.25">
      <c r="A3733" s="362"/>
      <c r="B3733" s="611">
        <v>44312</v>
      </c>
      <c r="C3733" s="362" t="s">
        <v>4751</v>
      </c>
      <c r="D3733" s="562"/>
      <c r="E3733" s="562"/>
      <c r="F3733" s="562"/>
      <c r="G3733" s="562"/>
      <c r="H3733" s="562"/>
      <c r="I3733" s="362"/>
      <c r="J3733" s="362"/>
    </row>
    <row r="3734" spans="1:10" x14ac:dyDescent="0.25">
      <c r="A3734" s="362"/>
      <c r="B3734" s="611">
        <v>44312</v>
      </c>
      <c r="C3734" s="362" t="s">
        <v>166</v>
      </c>
      <c r="D3734" s="562"/>
      <c r="E3734" s="562"/>
      <c r="F3734" s="562"/>
      <c r="G3734" s="562"/>
      <c r="H3734" s="562"/>
      <c r="I3734" s="362"/>
      <c r="J3734" s="362"/>
    </row>
    <row r="3735" spans="1:10" x14ac:dyDescent="0.25">
      <c r="A3735" s="362"/>
      <c r="B3735" s="611">
        <v>44312</v>
      </c>
      <c r="C3735" s="362" t="s">
        <v>3435</v>
      </c>
      <c r="D3735" s="562"/>
      <c r="E3735" s="562"/>
      <c r="F3735" s="562"/>
      <c r="G3735" s="562"/>
      <c r="H3735" s="562"/>
      <c r="I3735" s="362"/>
      <c r="J3735" s="362"/>
    </row>
    <row r="3736" spans="1:10" x14ac:dyDescent="0.25">
      <c r="A3736" s="362"/>
      <c r="B3736" s="611">
        <v>44312</v>
      </c>
      <c r="C3736" s="370" t="s">
        <v>85</v>
      </c>
      <c r="D3736" s="562"/>
      <c r="E3736" s="562"/>
      <c r="F3736" s="562"/>
      <c r="G3736" s="562"/>
      <c r="H3736" s="562"/>
      <c r="I3736" s="362"/>
      <c r="J3736" s="362"/>
    </row>
    <row r="3737" spans="1:10" x14ac:dyDescent="0.25">
      <c r="A3737" s="532"/>
      <c r="B3737" s="532"/>
      <c r="C3737" s="532"/>
      <c r="D3737" s="564"/>
      <c r="E3737" s="564"/>
      <c r="F3737" s="564"/>
      <c r="G3737" s="564"/>
      <c r="H3737" s="564"/>
      <c r="I3737" s="532"/>
      <c r="J3737" s="532"/>
    </row>
    <row r="3738" spans="1:10" x14ac:dyDescent="0.25">
      <c r="A3738" s="362"/>
      <c r="B3738" s="611">
        <v>44313</v>
      </c>
      <c r="C3738" s="362" t="s">
        <v>86</v>
      </c>
      <c r="D3738" s="562">
        <v>50704824</v>
      </c>
      <c r="E3738" s="562">
        <v>209289507</v>
      </c>
      <c r="F3738" s="562">
        <v>259994400</v>
      </c>
      <c r="G3738" s="562">
        <f>D3738+E3738-F3738</f>
        <v>-69</v>
      </c>
      <c r="H3738" s="562"/>
      <c r="I3738" s="362"/>
      <c r="J3738" s="362"/>
    </row>
    <row r="3739" spans="1:10" x14ac:dyDescent="0.25">
      <c r="A3739" s="362"/>
      <c r="B3739" s="611">
        <v>44313</v>
      </c>
      <c r="C3739" s="362" t="s">
        <v>87</v>
      </c>
      <c r="D3739" s="562">
        <v>138082785</v>
      </c>
      <c r="E3739" s="562">
        <v>81604469</v>
      </c>
      <c r="F3739" s="562">
        <v>219687300</v>
      </c>
      <c r="G3739" s="562">
        <f t="shared" ref="G3739:G3752" si="155">D3739+E3739-F3739</f>
        <v>-46</v>
      </c>
      <c r="H3739" s="562"/>
      <c r="I3739" s="362"/>
      <c r="J3739" s="362"/>
    </row>
    <row r="3740" spans="1:10" x14ac:dyDescent="0.25">
      <c r="A3740" s="362"/>
      <c r="B3740" s="611">
        <v>44313</v>
      </c>
      <c r="C3740" s="362" t="s">
        <v>88</v>
      </c>
      <c r="D3740" s="562">
        <v>295096819</v>
      </c>
      <c r="E3740" s="562">
        <v>6649896</v>
      </c>
      <c r="F3740" s="562">
        <v>301746800</v>
      </c>
      <c r="G3740" s="562">
        <f t="shared" si="155"/>
        <v>-85</v>
      </c>
      <c r="H3740" s="562"/>
      <c r="I3740" s="362"/>
      <c r="J3740" s="362"/>
    </row>
    <row r="3741" spans="1:10" x14ac:dyDescent="0.25">
      <c r="A3741" s="362"/>
      <c r="B3741" s="611">
        <v>44313</v>
      </c>
      <c r="C3741" s="362" t="s">
        <v>82</v>
      </c>
      <c r="D3741" s="562">
        <v>99843759</v>
      </c>
      <c r="E3741" s="562">
        <v>1277460</v>
      </c>
      <c r="F3741" s="562">
        <v>101121800</v>
      </c>
      <c r="G3741" s="562">
        <f t="shared" si="155"/>
        <v>-581</v>
      </c>
      <c r="H3741" s="562"/>
      <c r="I3741" s="362"/>
      <c r="J3741" s="362"/>
    </row>
    <row r="3742" spans="1:10" x14ac:dyDescent="0.25">
      <c r="A3742" s="362"/>
      <c r="B3742" s="611">
        <v>44313</v>
      </c>
      <c r="C3742" s="362" t="s">
        <v>80</v>
      </c>
      <c r="D3742" s="562">
        <v>304484300</v>
      </c>
      <c r="E3742" s="562">
        <v>84321000</v>
      </c>
      <c r="F3742" s="562">
        <v>388805300</v>
      </c>
      <c r="G3742" s="562">
        <f t="shared" si="155"/>
        <v>0</v>
      </c>
      <c r="H3742" s="562"/>
      <c r="I3742" s="362"/>
      <c r="J3742" s="362"/>
    </row>
    <row r="3743" spans="1:10" x14ac:dyDescent="0.25">
      <c r="A3743" s="362"/>
      <c r="B3743" s="611">
        <v>44313</v>
      </c>
      <c r="C3743" s="362" t="s">
        <v>83</v>
      </c>
      <c r="D3743" s="562">
        <v>399055344</v>
      </c>
      <c r="E3743" s="562">
        <v>72361755</v>
      </c>
      <c r="F3743" s="562">
        <v>471417100</v>
      </c>
      <c r="G3743" s="562">
        <f t="shared" si="155"/>
        <v>-1</v>
      </c>
      <c r="H3743" s="562"/>
      <c r="I3743" s="362"/>
      <c r="J3743" s="362"/>
    </row>
    <row r="3744" spans="1:10" x14ac:dyDescent="0.25">
      <c r="A3744" s="362"/>
      <c r="B3744" s="611">
        <v>44313</v>
      </c>
      <c r="C3744" s="362" t="s">
        <v>78</v>
      </c>
      <c r="D3744" s="562">
        <v>85696218</v>
      </c>
      <c r="E3744" s="562">
        <v>3122482</v>
      </c>
      <c r="F3744" s="562">
        <v>88818700</v>
      </c>
      <c r="G3744" s="562">
        <f t="shared" si="155"/>
        <v>0</v>
      </c>
      <c r="H3744" s="562"/>
      <c r="I3744" s="362"/>
      <c r="J3744" s="362"/>
    </row>
    <row r="3745" spans="1:10" x14ac:dyDescent="0.25">
      <c r="A3745" s="362"/>
      <c r="B3745" s="611">
        <v>44313</v>
      </c>
      <c r="C3745" s="362" t="s">
        <v>141</v>
      </c>
      <c r="D3745" s="562">
        <v>55596785</v>
      </c>
      <c r="E3745" s="562">
        <v>2654476</v>
      </c>
      <c r="F3745" s="562">
        <v>58251300</v>
      </c>
      <c r="G3745" s="562">
        <f t="shared" si="155"/>
        <v>-39</v>
      </c>
      <c r="H3745" s="562"/>
      <c r="I3745" s="362"/>
      <c r="J3745" s="362"/>
    </row>
    <row r="3746" spans="1:10" x14ac:dyDescent="0.25">
      <c r="A3746" s="362"/>
      <c r="B3746" s="611">
        <v>44313</v>
      </c>
      <c r="C3746" s="362" t="s">
        <v>89</v>
      </c>
      <c r="D3746" s="562">
        <v>118429064</v>
      </c>
      <c r="E3746" s="562">
        <v>23526636</v>
      </c>
      <c r="F3746" s="562">
        <v>141955700</v>
      </c>
      <c r="G3746" s="562">
        <f t="shared" si="155"/>
        <v>0</v>
      </c>
      <c r="H3746" s="562"/>
      <c r="I3746" s="362"/>
      <c r="J3746" s="362"/>
    </row>
    <row r="3747" spans="1:10" x14ac:dyDescent="0.25">
      <c r="A3747" s="362"/>
      <c r="B3747" s="611">
        <v>44313</v>
      </c>
      <c r="C3747" s="362" t="s">
        <v>81</v>
      </c>
      <c r="D3747" s="562">
        <v>137683300</v>
      </c>
      <c r="E3747" s="562">
        <v>11733391</v>
      </c>
      <c r="F3747" s="562">
        <v>149416700</v>
      </c>
      <c r="G3747" s="562">
        <f t="shared" si="155"/>
        <v>-9</v>
      </c>
      <c r="H3747" s="562"/>
      <c r="I3747" s="362"/>
      <c r="J3747" s="362"/>
    </row>
    <row r="3748" spans="1:10" x14ac:dyDescent="0.25">
      <c r="A3748" s="362"/>
      <c r="B3748" s="611">
        <v>44313</v>
      </c>
      <c r="C3748" s="362" t="s">
        <v>84</v>
      </c>
      <c r="D3748" s="562">
        <v>195168301</v>
      </c>
      <c r="E3748" s="562">
        <v>12324263</v>
      </c>
      <c r="F3748" s="562">
        <v>207492600</v>
      </c>
      <c r="G3748" s="562">
        <f t="shared" si="155"/>
        <v>-36</v>
      </c>
      <c r="H3748" s="562"/>
      <c r="I3748" s="362"/>
      <c r="J3748" s="362"/>
    </row>
    <row r="3749" spans="1:10" x14ac:dyDescent="0.25">
      <c r="A3749" s="362"/>
      <c r="B3749" s="611">
        <v>44313</v>
      </c>
      <c r="C3749" s="362" t="s">
        <v>4751</v>
      </c>
      <c r="D3749" s="562">
        <v>234075176</v>
      </c>
      <c r="E3749" s="562">
        <v>20989024</v>
      </c>
      <c r="F3749" s="562">
        <v>255064200</v>
      </c>
      <c r="G3749" s="562">
        <f t="shared" si="155"/>
        <v>0</v>
      </c>
      <c r="H3749" s="562"/>
      <c r="I3749" s="362"/>
      <c r="J3749" s="362"/>
    </row>
    <row r="3750" spans="1:10" x14ac:dyDescent="0.25">
      <c r="A3750" s="362"/>
      <c r="B3750" s="611">
        <v>44313</v>
      </c>
      <c r="C3750" s="362" t="s">
        <v>166</v>
      </c>
      <c r="D3750" s="562">
        <v>164163133</v>
      </c>
      <c r="E3750" s="562"/>
      <c r="F3750" s="562">
        <v>164163200</v>
      </c>
      <c r="G3750" s="562">
        <f t="shared" si="155"/>
        <v>-67</v>
      </c>
      <c r="H3750" s="562"/>
      <c r="I3750" s="362"/>
      <c r="J3750" s="362"/>
    </row>
    <row r="3751" spans="1:10" x14ac:dyDescent="0.25">
      <c r="A3751" s="362"/>
      <c r="B3751" s="611">
        <v>44313</v>
      </c>
      <c r="C3751" s="362" t="s">
        <v>3435</v>
      </c>
      <c r="D3751" s="562">
        <v>38271995</v>
      </c>
      <c r="E3751" s="562"/>
      <c r="F3751" s="562">
        <v>38272000</v>
      </c>
      <c r="G3751" s="562">
        <f t="shared" si="155"/>
        <v>-5</v>
      </c>
      <c r="H3751" s="562"/>
      <c r="I3751" s="362"/>
      <c r="J3751" s="362"/>
    </row>
    <row r="3752" spans="1:10" x14ac:dyDescent="0.25">
      <c r="A3752" s="362"/>
      <c r="B3752" s="611">
        <v>44313</v>
      </c>
      <c r="C3752" s="370" t="s">
        <v>85</v>
      </c>
      <c r="D3752" s="562">
        <v>39809300</v>
      </c>
      <c r="E3752" s="562"/>
      <c r="F3752" s="562">
        <v>39809300</v>
      </c>
      <c r="G3752" s="562">
        <f t="shared" si="155"/>
        <v>0</v>
      </c>
      <c r="H3752" s="562"/>
      <c r="I3752" s="362"/>
      <c r="J3752" s="362"/>
    </row>
    <row r="3753" spans="1:10" x14ac:dyDescent="0.25">
      <c r="A3753" s="532"/>
      <c r="B3753" s="532"/>
      <c r="C3753" s="532"/>
      <c r="D3753" s="564">
        <f>SUM(D3738:D3752)</f>
        <v>2356161103</v>
      </c>
      <c r="E3753" s="564">
        <f t="shared" ref="E3753:G3753" si="156">SUM(E3738:E3752)</f>
        <v>529854359</v>
      </c>
      <c r="F3753" s="564">
        <f t="shared" si="156"/>
        <v>2886016400</v>
      </c>
      <c r="G3753" s="564">
        <f t="shared" si="156"/>
        <v>-938</v>
      </c>
      <c r="H3753" s="564"/>
      <c r="I3753" s="532"/>
      <c r="J3753" s="532"/>
    </row>
    <row r="3754" spans="1:10" x14ac:dyDescent="0.25">
      <c r="A3754" s="362"/>
      <c r="B3754" s="611">
        <v>44314</v>
      </c>
      <c r="C3754" s="362" t="s">
        <v>86</v>
      </c>
      <c r="D3754" s="562">
        <v>108079282</v>
      </c>
      <c r="E3754" s="562">
        <v>166637050</v>
      </c>
      <c r="F3754" s="562"/>
      <c r="G3754" s="562"/>
      <c r="H3754" s="562"/>
      <c r="I3754" s="362"/>
      <c r="J3754" s="362"/>
    </row>
    <row r="3755" spans="1:10" x14ac:dyDescent="0.25">
      <c r="A3755" s="362"/>
      <c r="B3755" s="611">
        <v>44314</v>
      </c>
      <c r="C3755" s="362" t="s">
        <v>87</v>
      </c>
      <c r="D3755" s="562">
        <v>126591631</v>
      </c>
      <c r="E3755" s="562">
        <v>50538673</v>
      </c>
      <c r="F3755" s="562"/>
      <c r="G3755" s="562"/>
      <c r="H3755" s="562"/>
      <c r="I3755" s="362"/>
      <c r="J3755" s="362"/>
    </row>
    <row r="3756" spans="1:10" x14ac:dyDescent="0.25">
      <c r="A3756" s="362"/>
      <c r="B3756" s="611">
        <v>44314</v>
      </c>
      <c r="C3756" s="362" t="s">
        <v>88</v>
      </c>
      <c r="D3756" s="562">
        <v>317933194</v>
      </c>
      <c r="E3756" s="562">
        <v>6137900</v>
      </c>
      <c r="F3756" s="562"/>
      <c r="G3756" s="562"/>
      <c r="H3756" s="562"/>
      <c r="I3756" s="362"/>
      <c r="J3756" s="362"/>
    </row>
    <row r="3757" spans="1:10" x14ac:dyDescent="0.25">
      <c r="A3757" s="362"/>
      <c r="B3757" s="611">
        <v>44314</v>
      </c>
      <c r="C3757" s="362" t="s">
        <v>82</v>
      </c>
      <c r="D3757" s="562">
        <v>115092304</v>
      </c>
      <c r="E3757" s="562">
        <v>3865300</v>
      </c>
      <c r="F3757" s="562"/>
      <c r="G3757" s="562"/>
      <c r="H3757" s="562"/>
      <c r="I3757" s="362"/>
      <c r="J3757" s="362"/>
    </row>
    <row r="3758" spans="1:10" x14ac:dyDescent="0.25">
      <c r="A3758" s="362"/>
      <c r="B3758" s="611">
        <v>44314</v>
      </c>
      <c r="C3758" s="362" t="s">
        <v>80</v>
      </c>
      <c r="D3758" s="562">
        <v>332349372</v>
      </c>
      <c r="E3758" s="562">
        <v>3596793</v>
      </c>
      <c r="F3758" s="562"/>
      <c r="G3758" s="562"/>
      <c r="H3758" s="562"/>
      <c r="I3758" s="362"/>
      <c r="J3758" s="362"/>
    </row>
    <row r="3759" spans="1:10" x14ac:dyDescent="0.25">
      <c r="A3759" s="362"/>
      <c r="B3759" s="611">
        <v>44314</v>
      </c>
      <c r="C3759" s="362" t="s">
        <v>83</v>
      </c>
      <c r="D3759" s="562">
        <v>246103013</v>
      </c>
      <c r="E3759" s="562">
        <v>11041087</v>
      </c>
      <c r="F3759" s="562"/>
      <c r="G3759" s="562"/>
      <c r="H3759" s="562"/>
      <c r="I3759" s="362"/>
      <c r="J3759" s="362"/>
    </row>
    <row r="3760" spans="1:10" x14ac:dyDescent="0.25">
      <c r="A3760" s="362"/>
      <c r="B3760" s="611">
        <v>44314</v>
      </c>
      <c r="C3760" s="362" t="s">
        <v>78</v>
      </c>
      <c r="D3760" s="562">
        <v>152639538</v>
      </c>
      <c r="E3760" s="562">
        <v>215262</v>
      </c>
      <c r="F3760" s="562"/>
      <c r="G3760" s="562"/>
      <c r="H3760" s="562"/>
      <c r="I3760" s="362"/>
      <c r="J3760" s="362"/>
    </row>
    <row r="3761" spans="1:10" x14ac:dyDescent="0.25">
      <c r="A3761" s="362"/>
      <c r="B3761" s="611">
        <v>44314</v>
      </c>
      <c r="C3761" s="362" t="s">
        <v>141</v>
      </c>
      <c r="D3761" s="562">
        <v>137403015</v>
      </c>
      <c r="E3761" s="562">
        <v>2358246</v>
      </c>
      <c r="F3761" s="562"/>
      <c r="G3761" s="562"/>
      <c r="H3761" s="562"/>
      <c r="I3761" s="362"/>
      <c r="J3761" s="362"/>
    </row>
    <row r="3762" spans="1:10" x14ac:dyDescent="0.25">
      <c r="A3762" s="362"/>
      <c r="B3762" s="611">
        <v>44314</v>
      </c>
      <c r="C3762" s="362" t="s">
        <v>89</v>
      </c>
      <c r="D3762" s="562">
        <v>184963303</v>
      </c>
      <c r="E3762" s="562">
        <v>36328997</v>
      </c>
      <c r="F3762" s="562"/>
      <c r="G3762" s="562"/>
      <c r="H3762" s="562"/>
      <c r="I3762" s="362"/>
      <c r="J3762" s="362"/>
    </row>
    <row r="3763" spans="1:10" x14ac:dyDescent="0.25">
      <c r="A3763" s="362"/>
      <c r="B3763" s="611">
        <v>44314</v>
      </c>
      <c r="C3763" s="362" t="s">
        <v>81</v>
      </c>
      <c r="D3763" s="562">
        <v>93029591</v>
      </c>
      <c r="E3763" s="562">
        <v>24082880</v>
      </c>
      <c r="F3763" s="562"/>
      <c r="G3763" s="562"/>
      <c r="H3763" s="562"/>
      <c r="I3763" s="362"/>
      <c r="J3763" s="362"/>
    </row>
    <row r="3764" spans="1:10" x14ac:dyDescent="0.25">
      <c r="A3764" s="362"/>
      <c r="B3764" s="611">
        <v>44314</v>
      </c>
      <c r="C3764" s="362" t="s">
        <v>84</v>
      </c>
      <c r="D3764" s="562">
        <v>337877272</v>
      </c>
      <c r="E3764" s="562">
        <v>6355100</v>
      </c>
      <c r="F3764" s="562"/>
      <c r="G3764" s="562"/>
      <c r="H3764" s="562"/>
      <c r="I3764" s="362"/>
      <c r="J3764" s="362"/>
    </row>
    <row r="3765" spans="1:10" x14ac:dyDescent="0.25">
      <c r="A3765" s="362"/>
      <c r="B3765" s="611">
        <v>44314</v>
      </c>
      <c r="C3765" s="362" t="s">
        <v>4751</v>
      </c>
      <c r="D3765" s="562">
        <v>202164344</v>
      </c>
      <c r="E3765" s="562">
        <v>66256756</v>
      </c>
      <c r="F3765" s="562"/>
      <c r="G3765" s="562"/>
      <c r="H3765" s="562"/>
      <c r="I3765" s="362"/>
      <c r="J3765" s="362"/>
    </row>
    <row r="3766" spans="1:10" x14ac:dyDescent="0.25">
      <c r="A3766" s="362"/>
      <c r="B3766" s="611">
        <v>44314</v>
      </c>
      <c r="C3766" s="362" t="s">
        <v>166</v>
      </c>
      <c r="D3766" s="562">
        <v>62911435</v>
      </c>
      <c r="E3766" s="562"/>
      <c r="F3766" s="562"/>
      <c r="G3766" s="562"/>
      <c r="H3766" s="562"/>
      <c r="I3766" s="362"/>
      <c r="J3766" s="362"/>
    </row>
    <row r="3767" spans="1:10" x14ac:dyDescent="0.25">
      <c r="A3767" s="362"/>
      <c r="B3767" s="611">
        <v>44314</v>
      </c>
      <c r="C3767" s="362" t="s">
        <v>3435</v>
      </c>
      <c r="D3767" s="562">
        <v>201364395</v>
      </c>
      <c r="E3767" s="562"/>
      <c r="F3767" s="562"/>
      <c r="G3767" s="562"/>
      <c r="H3767" s="562"/>
      <c r="I3767" s="362"/>
      <c r="J3767" s="362"/>
    </row>
    <row r="3768" spans="1:10" x14ac:dyDescent="0.25">
      <c r="A3768" s="362"/>
      <c r="B3768" s="611">
        <v>44314</v>
      </c>
      <c r="C3768" s="370" t="s">
        <v>85</v>
      </c>
      <c r="D3768" s="562">
        <v>39481400</v>
      </c>
      <c r="E3768" s="562"/>
      <c r="F3768" s="562"/>
      <c r="G3768" s="562"/>
      <c r="H3768" s="562"/>
      <c r="I3768" s="362"/>
      <c r="J3768" s="362"/>
    </row>
    <row r="3769" spans="1:10" x14ac:dyDescent="0.25">
      <c r="A3769" s="532"/>
      <c r="B3769" s="532"/>
      <c r="C3769" s="532"/>
      <c r="D3769" s="564">
        <f>SUM(D3754:D3768)</f>
        <v>2657983089</v>
      </c>
      <c r="E3769" s="564">
        <f t="shared" ref="E3769:G3769" si="157">SUM(E3754:E3768)</f>
        <v>377414044</v>
      </c>
      <c r="F3769" s="564">
        <f t="shared" si="157"/>
        <v>0</v>
      </c>
      <c r="G3769" s="564">
        <f t="shared" si="157"/>
        <v>0</v>
      </c>
      <c r="H3769" s="564"/>
      <c r="I3769" s="532"/>
      <c r="J3769" s="532"/>
    </row>
    <row r="3770" spans="1:10" x14ac:dyDescent="0.25">
      <c r="A3770" s="362"/>
      <c r="B3770" s="611">
        <v>44315</v>
      </c>
      <c r="C3770" s="362" t="s">
        <v>86</v>
      </c>
      <c r="D3770" s="562">
        <v>127133797</v>
      </c>
      <c r="E3770" s="562">
        <v>154278490</v>
      </c>
      <c r="F3770" s="562"/>
      <c r="G3770" s="562"/>
      <c r="H3770" s="562"/>
      <c r="I3770" s="362"/>
      <c r="J3770" s="362"/>
    </row>
    <row r="3771" spans="1:10" x14ac:dyDescent="0.25">
      <c r="A3771" s="362"/>
      <c r="B3771" s="611">
        <v>44315</v>
      </c>
      <c r="C3771" s="362" t="s">
        <v>87</v>
      </c>
      <c r="D3771" s="562">
        <v>126275405</v>
      </c>
      <c r="E3771" s="562">
        <v>202961029</v>
      </c>
      <c r="F3771" s="562"/>
      <c r="G3771" s="562"/>
      <c r="H3771" s="562"/>
      <c r="I3771" s="362"/>
      <c r="J3771" s="362"/>
    </row>
    <row r="3772" spans="1:10" x14ac:dyDescent="0.25">
      <c r="A3772" s="362"/>
      <c r="B3772" s="611">
        <v>44315</v>
      </c>
      <c r="C3772" s="362" t="s">
        <v>88</v>
      </c>
      <c r="D3772" s="562">
        <v>295329696</v>
      </c>
      <c r="E3772" s="562">
        <v>106372086</v>
      </c>
      <c r="F3772" s="562"/>
      <c r="G3772" s="562"/>
      <c r="H3772" s="562"/>
      <c r="I3772" s="362"/>
      <c r="J3772" s="362"/>
    </row>
    <row r="3773" spans="1:10" x14ac:dyDescent="0.25">
      <c r="A3773" s="362"/>
      <c r="B3773" s="611">
        <v>44315</v>
      </c>
      <c r="C3773" s="362" t="s">
        <v>82</v>
      </c>
      <c r="D3773" s="562">
        <v>177628642</v>
      </c>
      <c r="E3773" s="562">
        <v>2462359</v>
      </c>
      <c r="F3773" s="562"/>
      <c r="G3773" s="562"/>
      <c r="H3773" s="562"/>
      <c r="I3773" s="362"/>
      <c r="J3773" s="362"/>
    </row>
    <row r="3774" spans="1:10" x14ac:dyDescent="0.25">
      <c r="A3774" s="362"/>
      <c r="B3774" s="611">
        <v>44315</v>
      </c>
      <c r="C3774" s="362" t="s">
        <v>80</v>
      </c>
      <c r="D3774" s="562">
        <v>461603042</v>
      </c>
      <c r="E3774" s="562">
        <v>11998558</v>
      </c>
      <c r="F3774" s="562"/>
      <c r="G3774" s="562"/>
      <c r="H3774" s="562"/>
      <c r="I3774" s="362"/>
      <c r="J3774" s="362"/>
    </row>
    <row r="3775" spans="1:10" x14ac:dyDescent="0.25">
      <c r="A3775" s="362"/>
      <c r="B3775" s="611">
        <v>44315</v>
      </c>
      <c r="C3775" s="362" t="s">
        <v>83</v>
      </c>
      <c r="D3775" s="562">
        <v>317792438</v>
      </c>
      <c r="E3775" s="562">
        <v>104071748</v>
      </c>
      <c r="F3775" s="562"/>
      <c r="G3775" s="562"/>
      <c r="H3775" s="562"/>
      <c r="I3775" s="362"/>
      <c r="J3775" s="362"/>
    </row>
    <row r="3776" spans="1:10" x14ac:dyDescent="0.25">
      <c r="A3776" s="362"/>
      <c r="B3776" s="611">
        <v>44315</v>
      </c>
      <c r="C3776" s="362" t="s">
        <v>78</v>
      </c>
      <c r="D3776" s="562">
        <v>134634539</v>
      </c>
      <c r="E3776" s="562">
        <v>97361</v>
      </c>
      <c r="F3776" s="562"/>
      <c r="G3776" s="562"/>
      <c r="H3776" s="562"/>
      <c r="I3776" s="362"/>
      <c r="J3776" s="362"/>
    </row>
    <row r="3777" spans="1:10" x14ac:dyDescent="0.25">
      <c r="A3777" s="362"/>
      <c r="B3777" s="611">
        <v>44315</v>
      </c>
      <c r="C3777" s="362" t="s">
        <v>141</v>
      </c>
      <c r="D3777" s="562">
        <v>130390189</v>
      </c>
      <c r="E3777" s="562">
        <v>2350507</v>
      </c>
      <c r="F3777" s="562"/>
      <c r="G3777" s="562"/>
      <c r="H3777" s="562"/>
      <c r="I3777" s="362"/>
      <c r="J3777" s="362"/>
    </row>
    <row r="3778" spans="1:10" x14ac:dyDescent="0.25">
      <c r="A3778" s="362"/>
      <c r="B3778" s="611">
        <v>44315</v>
      </c>
      <c r="C3778" s="362" t="s">
        <v>89</v>
      </c>
      <c r="D3778" s="562">
        <v>192174091</v>
      </c>
      <c r="E3778" s="562">
        <v>35825409</v>
      </c>
      <c r="F3778" s="562"/>
      <c r="G3778" s="562"/>
      <c r="H3778" s="562"/>
      <c r="I3778" s="362"/>
      <c r="J3778" s="362"/>
    </row>
    <row r="3779" spans="1:10" x14ac:dyDescent="0.25">
      <c r="A3779" s="362"/>
      <c r="B3779" s="611">
        <v>44315</v>
      </c>
      <c r="C3779" s="362" t="s">
        <v>81</v>
      </c>
      <c r="D3779" s="562">
        <v>125717881</v>
      </c>
      <c r="E3779" s="562">
        <v>77796959</v>
      </c>
      <c r="F3779" s="562"/>
      <c r="G3779" s="562"/>
      <c r="H3779" s="562"/>
      <c r="I3779" s="362"/>
      <c r="J3779" s="362"/>
    </row>
    <row r="3780" spans="1:10" x14ac:dyDescent="0.25">
      <c r="A3780" s="362"/>
      <c r="B3780" s="611">
        <v>44315</v>
      </c>
      <c r="C3780" s="362" t="s">
        <v>84</v>
      </c>
      <c r="D3780" s="562">
        <v>145968362</v>
      </c>
      <c r="E3780" s="562">
        <v>103814785</v>
      </c>
      <c r="F3780" s="562"/>
      <c r="G3780" s="562"/>
      <c r="H3780" s="562"/>
      <c r="I3780" s="362"/>
      <c r="J3780" s="362"/>
    </row>
    <row r="3781" spans="1:10" x14ac:dyDescent="0.25">
      <c r="A3781" s="362"/>
      <c r="B3781" s="611">
        <v>44315</v>
      </c>
      <c r="C3781" s="362" t="s">
        <v>4751</v>
      </c>
      <c r="D3781" s="562">
        <v>242028400</v>
      </c>
      <c r="E3781" s="562">
        <v>36098500</v>
      </c>
      <c r="F3781" s="562"/>
      <c r="G3781" s="562"/>
      <c r="H3781" s="562"/>
      <c r="I3781" s="362"/>
      <c r="J3781" s="362"/>
    </row>
    <row r="3782" spans="1:10" x14ac:dyDescent="0.25">
      <c r="A3782" s="362"/>
      <c r="B3782" s="611">
        <v>44315</v>
      </c>
      <c r="C3782" s="362" t="s">
        <v>166</v>
      </c>
      <c r="D3782" s="562">
        <v>72686052</v>
      </c>
      <c r="E3782" s="562"/>
      <c r="F3782" s="562"/>
      <c r="G3782" s="562"/>
      <c r="H3782" s="562"/>
      <c r="I3782" s="362"/>
      <c r="J3782" s="362"/>
    </row>
    <row r="3783" spans="1:10" x14ac:dyDescent="0.25">
      <c r="A3783" s="362"/>
      <c r="B3783" s="611">
        <v>44315</v>
      </c>
      <c r="C3783" s="362" t="s">
        <v>3435</v>
      </c>
      <c r="D3783" s="562">
        <v>138093596</v>
      </c>
      <c r="E3783" s="562"/>
      <c r="F3783" s="562"/>
      <c r="G3783" s="562"/>
      <c r="H3783" s="562"/>
      <c r="I3783" s="362"/>
      <c r="J3783" s="362"/>
    </row>
    <row r="3784" spans="1:10" x14ac:dyDescent="0.25">
      <c r="A3784" s="362"/>
      <c r="B3784" s="611">
        <v>44315</v>
      </c>
      <c r="C3784" s="370" t="s">
        <v>85</v>
      </c>
      <c r="D3784" s="562">
        <v>26417000</v>
      </c>
      <c r="E3784" s="562"/>
      <c r="F3784" s="562"/>
      <c r="G3784" s="562"/>
      <c r="H3784" s="562"/>
      <c r="I3784" s="362"/>
      <c r="J3784" s="362"/>
    </row>
    <row r="3785" spans="1:10" x14ac:dyDescent="0.25">
      <c r="A3785" s="532"/>
      <c r="B3785" s="532"/>
      <c r="C3785" s="532"/>
      <c r="D3785" s="564">
        <f>SUM(D3770:D3784)</f>
        <v>2713873130</v>
      </c>
      <c r="E3785" s="564">
        <f t="shared" ref="E3785:G3785" si="158">SUM(E3770:E3784)</f>
        <v>838127791</v>
      </c>
      <c r="F3785" s="564">
        <f t="shared" si="158"/>
        <v>0</v>
      </c>
      <c r="G3785" s="564">
        <f t="shared" si="158"/>
        <v>0</v>
      </c>
      <c r="H3785" s="564"/>
      <c r="I3785" s="532"/>
      <c r="J3785" s="532"/>
    </row>
    <row r="3786" spans="1:10" x14ac:dyDescent="0.25">
      <c r="A3786" s="362"/>
      <c r="B3786" s="611">
        <v>44316</v>
      </c>
      <c r="C3786" s="362" t="s">
        <v>86</v>
      </c>
      <c r="D3786" s="562">
        <v>47463204</v>
      </c>
      <c r="E3786" s="562">
        <v>144943834</v>
      </c>
      <c r="F3786" s="562"/>
      <c r="G3786" s="562"/>
      <c r="H3786" s="562"/>
      <c r="I3786" s="362"/>
      <c r="J3786" s="362"/>
    </row>
    <row r="3787" spans="1:10" x14ac:dyDescent="0.25">
      <c r="A3787" s="362"/>
      <c r="B3787" s="611">
        <v>44316</v>
      </c>
      <c r="C3787" s="362" t="s">
        <v>87</v>
      </c>
      <c r="D3787" s="562">
        <v>206293672</v>
      </c>
      <c r="E3787" s="562">
        <v>59373069</v>
      </c>
      <c r="F3787" s="562"/>
      <c r="G3787" s="562"/>
      <c r="H3787" s="562"/>
      <c r="I3787" s="362"/>
      <c r="J3787" s="362"/>
    </row>
    <row r="3788" spans="1:10" x14ac:dyDescent="0.25">
      <c r="A3788" s="362"/>
      <c r="B3788" s="611">
        <v>44316</v>
      </c>
      <c r="C3788" s="362" t="s">
        <v>88</v>
      </c>
      <c r="D3788" s="562">
        <v>119277782</v>
      </c>
      <c r="E3788" s="562">
        <v>116667049</v>
      </c>
      <c r="F3788" s="562"/>
      <c r="G3788" s="562"/>
      <c r="H3788" s="562"/>
      <c r="I3788" s="362"/>
      <c r="J3788" s="362"/>
    </row>
    <row r="3789" spans="1:10" x14ac:dyDescent="0.25">
      <c r="A3789" s="362"/>
      <c r="B3789" s="611">
        <v>44316</v>
      </c>
      <c r="C3789" s="362" t="s">
        <v>82</v>
      </c>
      <c r="D3789" s="562">
        <v>225897024</v>
      </c>
      <c r="E3789" s="562">
        <v>3750467</v>
      </c>
      <c r="F3789" s="562"/>
      <c r="G3789" s="562"/>
      <c r="H3789" s="562"/>
      <c r="I3789" s="362"/>
      <c r="J3789" s="362"/>
    </row>
    <row r="3790" spans="1:10" x14ac:dyDescent="0.25">
      <c r="A3790" s="362"/>
      <c r="B3790" s="611">
        <v>44316</v>
      </c>
      <c r="C3790" s="362" t="s">
        <v>80</v>
      </c>
      <c r="D3790" s="562">
        <v>255202909</v>
      </c>
      <c r="E3790" s="562">
        <v>87699480</v>
      </c>
      <c r="F3790" s="562"/>
      <c r="G3790" s="562"/>
      <c r="H3790" s="562"/>
      <c r="I3790" s="362"/>
      <c r="J3790" s="362"/>
    </row>
    <row r="3791" spans="1:10" x14ac:dyDescent="0.25">
      <c r="A3791" s="362"/>
      <c r="B3791" s="611">
        <v>44316</v>
      </c>
      <c r="C3791" s="362" t="s">
        <v>83</v>
      </c>
      <c r="D3791" s="562">
        <v>246737270</v>
      </c>
      <c r="E3791" s="562">
        <v>139655930</v>
      </c>
      <c r="F3791" s="562"/>
      <c r="G3791" s="562"/>
      <c r="H3791" s="562"/>
      <c r="I3791" s="362"/>
      <c r="J3791" s="362"/>
    </row>
    <row r="3792" spans="1:10" x14ac:dyDescent="0.25">
      <c r="A3792" s="362"/>
      <c r="B3792" s="611">
        <v>44316</v>
      </c>
      <c r="C3792" s="362" t="s">
        <v>78</v>
      </c>
      <c r="D3792" s="562">
        <v>208904948</v>
      </c>
      <c r="E3792" s="562">
        <v>2035252</v>
      </c>
      <c r="F3792" s="562"/>
      <c r="G3792" s="562"/>
      <c r="H3792" s="562"/>
      <c r="I3792" s="362"/>
      <c r="J3792" s="362"/>
    </row>
    <row r="3793" spans="1:10" x14ac:dyDescent="0.25">
      <c r="A3793" s="362"/>
      <c r="B3793" s="611">
        <v>44316</v>
      </c>
      <c r="C3793" s="362" t="s">
        <v>141</v>
      </c>
      <c r="D3793" s="562">
        <v>101028885</v>
      </c>
      <c r="E3793" s="562">
        <v>965198</v>
      </c>
      <c r="F3793" s="562"/>
      <c r="G3793" s="562"/>
      <c r="H3793" s="562"/>
      <c r="I3793" s="362"/>
      <c r="J3793" s="362"/>
    </row>
    <row r="3794" spans="1:10" x14ac:dyDescent="0.25">
      <c r="A3794" s="362"/>
      <c r="B3794" s="611">
        <v>44316</v>
      </c>
      <c r="C3794" s="362" t="s">
        <v>89</v>
      </c>
      <c r="D3794" s="562">
        <v>207464254</v>
      </c>
      <c r="E3794" s="562">
        <v>20827946</v>
      </c>
      <c r="F3794" s="562"/>
      <c r="G3794" s="562"/>
      <c r="H3794" s="562"/>
      <c r="I3794" s="362"/>
      <c r="J3794" s="362"/>
    </row>
    <row r="3795" spans="1:10" x14ac:dyDescent="0.25">
      <c r="A3795" s="362"/>
      <c r="B3795" s="611">
        <v>44316</v>
      </c>
      <c r="C3795" s="362" t="s">
        <v>81</v>
      </c>
      <c r="D3795" s="562">
        <v>88374407</v>
      </c>
      <c r="E3795" s="562">
        <v>34700065</v>
      </c>
      <c r="F3795" s="562"/>
      <c r="G3795" s="562"/>
      <c r="H3795" s="562"/>
      <c r="I3795" s="362"/>
      <c r="J3795" s="362"/>
    </row>
    <row r="3796" spans="1:10" x14ac:dyDescent="0.25">
      <c r="A3796" s="362"/>
      <c r="B3796" s="611">
        <v>44316</v>
      </c>
      <c r="C3796" s="362" t="s">
        <v>84</v>
      </c>
      <c r="D3796" s="562">
        <v>238619250</v>
      </c>
      <c r="E3796" s="562">
        <v>19458301</v>
      </c>
      <c r="F3796" s="562"/>
      <c r="G3796" s="562"/>
      <c r="H3796" s="562"/>
      <c r="I3796" s="362"/>
      <c r="J3796" s="362"/>
    </row>
    <row r="3797" spans="1:10" x14ac:dyDescent="0.25">
      <c r="A3797" s="362"/>
      <c r="B3797" s="611">
        <v>44316</v>
      </c>
      <c r="C3797" s="362" t="s">
        <v>4751</v>
      </c>
      <c r="D3797" s="562">
        <v>338688252</v>
      </c>
      <c r="E3797" s="562">
        <v>10373648</v>
      </c>
      <c r="F3797" s="562"/>
      <c r="G3797" s="562"/>
      <c r="H3797" s="562"/>
      <c r="I3797" s="362"/>
      <c r="J3797" s="362"/>
    </row>
    <row r="3798" spans="1:10" x14ac:dyDescent="0.25">
      <c r="A3798" s="362"/>
      <c r="B3798" s="611">
        <v>44316</v>
      </c>
      <c r="C3798" s="362" t="s">
        <v>166</v>
      </c>
      <c r="D3798" s="562">
        <v>43256455</v>
      </c>
      <c r="E3798" s="562"/>
      <c r="F3798" s="562"/>
      <c r="G3798" s="562"/>
      <c r="H3798" s="562"/>
      <c r="I3798" s="362"/>
      <c r="J3798" s="362"/>
    </row>
    <row r="3799" spans="1:10" x14ac:dyDescent="0.25">
      <c r="A3799" s="362"/>
      <c r="B3799" s="611">
        <v>44316</v>
      </c>
      <c r="C3799" s="362" t="s">
        <v>3435</v>
      </c>
      <c r="D3799" s="562">
        <v>131536423</v>
      </c>
      <c r="E3799" s="562"/>
      <c r="F3799" s="562"/>
      <c r="G3799" s="562"/>
      <c r="H3799" s="562"/>
      <c r="I3799" s="362"/>
      <c r="J3799" s="362"/>
    </row>
    <row r="3800" spans="1:10" x14ac:dyDescent="0.25">
      <c r="A3800" s="362"/>
      <c r="B3800" s="611">
        <v>44316</v>
      </c>
      <c r="C3800" s="370" t="s">
        <v>85</v>
      </c>
      <c r="D3800" s="562">
        <v>25995600</v>
      </c>
      <c r="E3800" s="562"/>
      <c r="F3800" s="562"/>
      <c r="G3800" s="562"/>
      <c r="H3800" s="562"/>
      <c r="I3800" s="362"/>
      <c r="J3800" s="362"/>
    </row>
    <row r="3801" spans="1:10" x14ac:dyDescent="0.25">
      <c r="A3801" s="532"/>
      <c r="B3801" s="532"/>
      <c r="C3801" s="532"/>
      <c r="D3801" s="564">
        <f>SUM(D3786:D3800)</f>
        <v>2484740335</v>
      </c>
      <c r="E3801" s="564">
        <f t="shared" ref="E3801:G3801" si="159">SUM(E3786:E3800)</f>
        <v>640450239</v>
      </c>
      <c r="F3801" s="564">
        <f t="shared" si="159"/>
        <v>0</v>
      </c>
      <c r="G3801" s="564">
        <f t="shared" si="159"/>
        <v>0</v>
      </c>
      <c r="H3801" s="564"/>
      <c r="I3801" s="532"/>
      <c r="J3801" s="532"/>
    </row>
    <row r="3802" spans="1:10" x14ac:dyDescent="0.25">
      <c r="A3802" s="362"/>
      <c r="B3802" s="611">
        <v>44317</v>
      </c>
      <c r="C3802" s="362" t="s">
        <v>86</v>
      </c>
      <c r="D3802" s="562">
        <v>100715806</v>
      </c>
      <c r="E3802" s="562">
        <v>210264475</v>
      </c>
      <c r="F3802" s="562"/>
      <c r="G3802" s="562"/>
      <c r="H3802" s="562"/>
      <c r="I3802" s="362"/>
      <c r="J3802" s="362"/>
    </row>
    <row r="3803" spans="1:10" x14ac:dyDescent="0.25">
      <c r="A3803" s="362"/>
      <c r="B3803" s="611">
        <v>44317</v>
      </c>
      <c r="C3803" s="362" t="s">
        <v>87</v>
      </c>
      <c r="D3803" s="562">
        <v>299280213</v>
      </c>
      <c r="E3803" s="562">
        <v>138827867</v>
      </c>
      <c r="F3803" s="562"/>
      <c r="G3803" s="562"/>
      <c r="H3803" s="562"/>
      <c r="I3803" s="362"/>
      <c r="J3803" s="362"/>
    </row>
    <row r="3804" spans="1:10" x14ac:dyDescent="0.25">
      <c r="A3804" s="362"/>
      <c r="B3804" s="611">
        <v>44317</v>
      </c>
      <c r="C3804" s="362" t="s">
        <v>88</v>
      </c>
      <c r="D3804" s="562">
        <v>162722077</v>
      </c>
      <c r="E3804" s="562">
        <v>34432520</v>
      </c>
      <c r="F3804" s="562"/>
      <c r="G3804" s="562"/>
      <c r="H3804" s="562"/>
      <c r="I3804" s="362"/>
      <c r="J3804" s="362"/>
    </row>
    <row r="3805" spans="1:10" x14ac:dyDescent="0.25">
      <c r="A3805" s="362"/>
      <c r="B3805" s="611">
        <v>44317</v>
      </c>
      <c r="C3805" s="362" t="s">
        <v>82</v>
      </c>
      <c r="D3805" s="562">
        <v>58011084</v>
      </c>
      <c r="E3805" s="562">
        <v>5709381</v>
      </c>
      <c r="F3805" s="562"/>
      <c r="G3805" s="562"/>
      <c r="H3805" s="562"/>
      <c r="I3805" s="362"/>
      <c r="J3805" s="362"/>
    </row>
    <row r="3806" spans="1:10" x14ac:dyDescent="0.25">
      <c r="A3806" s="362"/>
      <c r="B3806" s="611">
        <v>44317</v>
      </c>
      <c r="C3806" s="362" t="s">
        <v>80</v>
      </c>
      <c r="D3806" s="562">
        <v>182010920</v>
      </c>
      <c r="E3806" s="562"/>
      <c r="F3806" s="562"/>
      <c r="G3806" s="562"/>
      <c r="H3806" s="562"/>
      <c r="I3806" s="362"/>
      <c r="J3806" s="362"/>
    </row>
    <row r="3807" spans="1:10" x14ac:dyDescent="0.25">
      <c r="A3807" s="362"/>
      <c r="B3807" s="611">
        <v>44317</v>
      </c>
      <c r="C3807" s="362" t="s">
        <v>83</v>
      </c>
      <c r="D3807" s="562">
        <v>148931534</v>
      </c>
      <c r="E3807" s="562">
        <v>117882966</v>
      </c>
      <c r="F3807" s="562"/>
      <c r="G3807" s="562"/>
      <c r="H3807" s="562"/>
      <c r="I3807" s="362"/>
      <c r="J3807" s="362"/>
    </row>
    <row r="3808" spans="1:10" x14ac:dyDescent="0.25">
      <c r="A3808" s="362"/>
      <c r="B3808" s="611">
        <v>44317</v>
      </c>
      <c r="C3808" s="362" t="s">
        <v>78</v>
      </c>
      <c r="D3808" s="562">
        <v>228621100</v>
      </c>
      <c r="E3808" s="562">
        <v>1586300</v>
      </c>
      <c r="F3808" s="562"/>
      <c r="G3808" s="562"/>
      <c r="H3808" s="562"/>
      <c r="I3808" s="362"/>
      <c r="J3808" s="362"/>
    </row>
    <row r="3809" spans="1:10" x14ac:dyDescent="0.25">
      <c r="A3809" s="362"/>
      <c r="B3809" s="611">
        <v>44317</v>
      </c>
      <c r="C3809" s="362" t="s">
        <v>141</v>
      </c>
      <c r="D3809" s="562">
        <v>40990462</v>
      </c>
      <c r="E3809" s="562">
        <v>1111429</v>
      </c>
      <c r="F3809" s="562"/>
      <c r="G3809" s="562"/>
      <c r="H3809" s="562"/>
      <c r="I3809" s="362"/>
      <c r="J3809" s="362"/>
    </row>
    <row r="3810" spans="1:10" x14ac:dyDescent="0.25">
      <c r="A3810" s="362"/>
      <c r="B3810" s="611">
        <v>44317</v>
      </c>
      <c r="C3810" s="362" t="s">
        <v>89</v>
      </c>
      <c r="D3810" s="562">
        <v>157221184</v>
      </c>
      <c r="E3810" s="562">
        <v>65032416</v>
      </c>
      <c r="F3810" s="562"/>
      <c r="G3810" s="562"/>
      <c r="H3810" s="562"/>
      <c r="I3810" s="362"/>
      <c r="J3810" s="362"/>
    </row>
    <row r="3811" spans="1:10" x14ac:dyDescent="0.25">
      <c r="A3811" s="362"/>
      <c r="B3811" s="611">
        <v>44317</v>
      </c>
      <c r="C3811" s="362" t="s">
        <v>81</v>
      </c>
      <c r="D3811" s="562">
        <v>101764711</v>
      </c>
      <c r="E3811" s="562">
        <v>22457917</v>
      </c>
      <c r="F3811" s="562"/>
      <c r="G3811" s="562"/>
      <c r="H3811" s="562"/>
      <c r="I3811" s="362"/>
      <c r="J3811" s="362"/>
    </row>
    <row r="3812" spans="1:10" x14ac:dyDescent="0.25">
      <c r="A3812" s="362"/>
      <c r="B3812" s="611">
        <v>44317</v>
      </c>
      <c r="C3812" s="362" t="s">
        <v>84</v>
      </c>
      <c r="D3812" s="562">
        <v>128378386</v>
      </c>
      <c r="E3812" s="562">
        <v>20510759</v>
      </c>
      <c r="F3812" s="562"/>
      <c r="G3812" s="562"/>
      <c r="H3812" s="562"/>
      <c r="I3812" s="362"/>
      <c r="J3812" s="362"/>
    </row>
    <row r="3813" spans="1:10" x14ac:dyDescent="0.25">
      <c r="A3813" s="362"/>
      <c r="B3813" s="611">
        <v>44317</v>
      </c>
      <c r="C3813" s="362" t="s">
        <v>4751</v>
      </c>
      <c r="D3813" s="562">
        <v>229606498</v>
      </c>
      <c r="E3813" s="562">
        <v>11490002</v>
      </c>
      <c r="F3813" s="562"/>
      <c r="G3813" s="562"/>
      <c r="H3813" s="562"/>
      <c r="I3813" s="362"/>
      <c r="J3813" s="362"/>
    </row>
    <row r="3814" spans="1:10" x14ac:dyDescent="0.25">
      <c r="A3814" s="362"/>
      <c r="B3814" s="611">
        <v>44317</v>
      </c>
      <c r="C3814" s="362" t="s">
        <v>166</v>
      </c>
      <c r="D3814" s="562"/>
      <c r="E3814" s="562"/>
      <c r="F3814" s="562"/>
      <c r="G3814" s="562"/>
      <c r="H3814" s="562"/>
      <c r="I3814" s="362"/>
      <c r="J3814" s="362"/>
    </row>
    <row r="3815" spans="1:10" x14ac:dyDescent="0.25">
      <c r="A3815" s="362"/>
      <c r="B3815" s="611">
        <v>44317</v>
      </c>
      <c r="C3815" s="362" t="s">
        <v>3435</v>
      </c>
      <c r="D3815" s="562"/>
      <c r="E3815" s="562"/>
      <c r="F3815" s="562"/>
      <c r="G3815" s="562"/>
      <c r="H3815" s="562"/>
      <c r="I3815" s="362"/>
      <c r="J3815" s="362"/>
    </row>
    <row r="3816" spans="1:10" x14ac:dyDescent="0.25">
      <c r="A3816" s="362"/>
      <c r="B3816" s="611">
        <v>44317</v>
      </c>
      <c r="C3816" s="370" t="s">
        <v>85</v>
      </c>
      <c r="D3816" s="562">
        <v>35987600</v>
      </c>
      <c r="E3816" s="562"/>
      <c r="F3816" s="562"/>
      <c r="G3816" s="562"/>
      <c r="H3816" s="562"/>
      <c r="I3816" s="362"/>
      <c r="J3816" s="362"/>
    </row>
    <row r="3817" spans="1:10" x14ac:dyDescent="0.25">
      <c r="A3817" s="532"/>
      <c r="B3817" s="532"/>
      <c r="C3817" s="532"/>
      <c r="D3817" s="564"/>
      <c r="E3817" s="564"/>
      <c r="F3817" s="564"/>
      <c r="G3817" s="564"/>
      <c r="H3817" s="564"/>
      <c r="I3817" s="532"/>
      <c r="J3817" s="532"/>
    </row>
    <row r="3818" spans="1:10" x14ac:dyDescent="0.25">
      <c r="A3818" s="362"/>
      <c r="B3818" s="611">
        <v>44319</v>
      </c>
      <c r="C3818" s="362" t="s">
        <v>86</v>
      </c>
      <c r="D3818" s="562">
        <v>83020327</v>
      </c>
      <c r="E3818" s="562">
        <v>29529870</v>
      </c>
      <c r="F3818" s="562">
        <v>112550200</v>
      </c>
      <c r="G3818" s="562">
        <f>D3818+E3818-F3818</f>
        <v>-3</v>
      </c>
      <c r="H3818" s="562"/>
      <c r="I3818" s="362"/>
      <c r="J3818" s="362"/>
    </row>
    <row r="3819" spans="1:10" x14ac:dyDescent="0.25">
      <c r="A3819" s="362"/>
      <c r="B3819" s="611">
        <v>44319</v>
      </c>
      <c r="C3819" s="362" t="s">
        <v>87</v>
      </c>
      <c r="D3819" s="562">
        <v>174680130</v>
      </c>
      <c r="E3819" s="562">
        <v>8012535</v>
      </c>
      <c r="F3819" s="562">
        <v>182692700</v>
      </c>
      <c r="G3819" s="562">
        <f t="shared" ref="G3819:G3832" si="160">D3819+E3819-F3819</f>
        <v>-35</v>
      </c>
      <c r="H3819" s="562"/>
      <c r="I3819" s="362"/>
      <c r="J3819" s="362"/>
    </row>
    <row r="3820" spans="1:10" x14ac:dyDescent="0.25">
      <c r="A3820" s="362"/>
      <c r="B3820" s="611">
        <v>44319</v>
      </c>
      <c r="C3820" s="362" t="s">
        <v>88</v>
      </c>
      <c r="D3820" s="562">
        <v>225977669</v>
      </c>
      <c r="E3820" s="562">
        <v>118734210</v>
      </c>
      <c r="F3820" s="562">
        <v>344711900</v>
      </c>
      <c r="G3820" s="562">
        <f t="shared" si="160"/>
        <v>-21</v>
      </c>
      <c r="H3820" s="562"/>
      <c r="I3820" s="362"/>
      <c r="J3820" s="362"/>
    </row>
    <row r="3821" spans="1:10" x14ac:dyDescent="0.25">
      <c r="A3821" s="362"/>
      <c r="B3821" s="611">
        <v>44319</v>
      </c>
      <c r="C3821" s="362" t="s">
        <v>82</v>
      </c>
      <c r="D3821" s="562">
        <v>56856456</v>
      </c>
      <c r="E3821" s="562">
        <v>7022940</v>
      </c>
      <c r="F3821" s="562">
        <v>63879400</v>
      </c>
      <c r="G3821" s="562">
        <f t="shared" si="160"/>
        <v>-4</v>
      </c>
      <c r="H3821" s="562"/>
      <c r="I3821" s="362"/>
      <c r="J3821" s="362"/>
    </row>
    <row r="3822" spans="1:10" x14ac:dyDescent="0.25">
      <c r="A3822" s="362"/>
      <c r="B3822" s="611">
        <v>44319</v>
      </c>
      <c r="C3822" s="362" t="s">
        <v>80</v>
      </c>
      <c r="D3822" s="562">
        <v>424374642</v>
      </c>
      <c r="E3822" s="562">
        <v>87451000</v>
      </c>
      <c r="F3822" s="562">
        <v>511780600</v>
      </c>
      <c r="G3822" s="562">
        <f t="shared" si="160"/>
        <v>45042</v>
      </c>
      <c r="H3822" s="562"/>
      <c r="I3822" s="362"/>
      <c r="J3822" s="362"/>
    </row>
    <row r="3823" spans="1:10" x14ac:dyDescent="0.25">
      <c r="A3823" s="362"/>
      <c r="B3823" s="611">
        <v>44319</v>
      </c>
      <c r="C3823" s="362" t="s">
        <v>83</v>
      </c>
      <c r="D3823" s="562">
        <v>219195091</v>
      </c>
      <c r="E3823" s="562">
        <v>4045100</v>
      </c>
      <c r="F3823" s="562">
        <v>223240200</v>
      </c>
      <c r="G3823" s="562">
        <f t="shared" si="160"/>
        <v>-9</v>
      </c>
      <c r="H3823" s="562"/>
      <c r="I3823" s="362"/>
      <c r="J3823" s="362"/>
    </row>
    <row r="3824" spans="1:10" x14ac:dyDescent="0.25">
      <c r="A3824" s="362"/>
      <c r="B3824" s="611">
        <v>44319</v>
      </c>
      <c r="C3824" s="362" t="s">
        <v>78</v>
      </c>
      <c r="D3824" s="562">
        <v>209532470</v>
      </c>
      <c r="E3824" s="562">
        <v>1514730</v>
      </c>
      <c r="F3824" s="562">
        <v>211047200</v>
      </c>
      <c r="G3824" s="562">
        <f t="shared" si="160"/>
        <v>0</v>
      </c>
      <c r="H3824" s="562"/>
      <c r="I3824" s="362"/>
      <c r="J3824" s="362"/>
    </row>
    <row r="3825" spans="1:10" x14ac:dyDescent="0.25">
      <c r="A3825" s="362"/>
      <c r="B3825" s="611">
        <v>44319</v>
      </c>
      <c r="C3825" s="362" t="s">
        <v>141</v>
      </c>
      <c r="D3825" s="562">
        <v>61447026</v>
      </c>
      <c r="E3825" s="562">
        <v>5100980</v>
      </c>
      <c r="F3825" s="562">
        <v>66548100</v>
      </c>
      <c r="G3825" s="562">
        <f t="shared" si="160"/>
        <v>-94</v>
      </c>
      <c r="H3825" s="562"/>
      <c r="I3825" s="362"/>
      <c r="J3825" s="362"/>
    </row>
    <row r="3826" spans="1:10" x14ac:dyDescent="0.25">
      <c r="A3826" s="362"/>
      <c r="B3826" s="611">
        <v>44319</v>
      </c>
      <c r="C3826" s="362" t="s">
        <v>89</v>
      </c>
      <c r="D3826" s="562">
        <v>154238992</v>
      </c>
      <c r="E3826" s="562">
        <v>25107308</v>
      </c>
      <c r="F3826" s="562">
        <v>179346300</v>
      </c>
      <c r="G3826" s="562">
        <f t="shared" si="160"/>
        <v>0</v>
      </c>
      <c r="H3826" s="562"/>
      <c r="I3826" s="362"/>
      <c r="J3826" s="362"/>
    </row>
    <row r="3827" spans="1:10" x14ac:dyDescent="0.25">
      <c r="A3827" s="362"/>
      <c r="B3827" s="611">
        <v>44319</v>
      </c>
      <c r="C3827" s="362" t="s">
        <v>81</v>
      </c>
      <c r="D3827" s="562">
        <v>165825413</v>
      </c>
      <c r="E3827" s="562">
        <v>6465380</v>
      </c>
      <c r="F3827" s="562">
        <v>172290800</v>
      </c>
      <c r="G3827" s="562">
        <f t="shared" si="160"/>
        <v>-7</v>
      </c>
      <c r="H3827" s="562"/>
      <c r="I3827" s="362"/>
      <c r="J3827" s="362"/>
    </row>
    <row r="3828" spans="1:10" x14ac:dyDescent="0.25">
      <c r="A3828" s="362"/>
      <c r="B3828" s="611">
        <v>44319</v>
      </c>
      <c r="C3828" s="362" t="s">
        <v>84</v>
      </c>
      <c r="D3828" s="562">
        <v>243418630</v>
      </c>
      <c r="E3828" s="562">
        <v>4979968</v>
      </c>
      <c r="F3828" s="562">
        <v>248398800</v>
      </c>
      <c r="G3828" s="562">
        <f t="shared" si="160"/>
        <v>-202</v>
      </c>
      <c r="H3828" s="562"/>
      <c r="I3828" s="362"/>
      <c r="J3828" s="362"/>
    </row>
    <row r="3829" spans="1:10" x14ac:dyDescent="0.25">
      <c r="A3829" s="362"/>
      <c r="B3829" s="611">
        <v>44319</v>
      </c>
      <c r="C3829" s="362" t="s">
        <v>4751</v>
      </c>
      <c r="D3829" s="562">
        <v>287277853</v>
      </c>
      <c r="E3829" s="562">
        <v>8680147</v>
      </c>
      <c r="F3829" s="562">
        <v>295958000</v>
      </c>
      <c r="G3829" s="562">
        <f t="shared" si="160"/>
        <v>0</v>
      </c>
      <c r="H3829" s="562"/>
      <c r="I3829" s="362"/>
      <c r="J3829" s="362"/>
    </row>
    <row r="3830" spans="1:10" x14ac:dyDescent="0.25">
      <c r="A3830" s="362"/>
      <c r="B3830" s="611">
        <v>44319</v>
      </c>
      <c r="C3830" s="362" t="s">
        <v>166</v>
      </c>
      <c r="D3830" s="562">
        <v>71510523</v>
      </c>
      <c r="E3830" s="562"/>
      <c r="F3830" s="562">
        <v>71510500</v>
      </c>
      <c r="G3830" s="562">
        <f t="shared" si="160"/>
        <v>23</v>
      </c>
      <c r="H3830" s="562"/>
      <c r="I3830" s="362"/>
      <c r="J3830" s="362"/>
    </row>
    <row r="3831" spans="1:10" x14ac:dyDescent="0.25">
      <c r="A3831" s="362"/>
      <c r="B3831" s="611">
        <v>44319</v>
      </c>
      <c r="C3831" s="362" t="s">
        <v>3435</v>
      </c>
      <c r="D3831" s="562">
        <v>39669087</v>
      </c>
      <c r="E3831" s="562"/>
      <c r="F3831" s="562">
        <v>39669100</v>
      </c>
      <c r="G3831" s="562">
        <f t="shared" si="160"/>
        <v>-13</v>
      </c>
      <c r="H3831" s="562"/>
      <c r="I3831" s="362"/>
      <c r="J3831" s="362"/>
    </row>
    <row r="3832" spans="1:10" x14ac:dyDescent="0.25">
      <c r="A3832" s="362"/>
      <c r="B3832" s="611">
        <v>44319</v>
      </c>
      <c r="C3832" s="370" t="s">
        <v>85</v>
      </c>
      <c r="D3832" s="562">
        <v>52529200</v>
      </c>
      <c r="E3832" s="562"/>
      <c r="F3832" s="562">
        <v>52529200</v>
      </c>
      <c r="G3832" s="562">
        <f t="shared" si="160"/>
        <v>0</v>
      </c>
      <c r="H3832" s="562"/>
      <c r="I3832" s="362"/>
      <c r="J3832" s="362"/>
    </row>
    <row r="3833" spans="1:10" x14ac:dyDescent="0.25">
      <c r="A3833" s="532"/>
      <c r="B3833" s="532"/>
      <c r="C3833" s="532"/>
      <c r="D3833" s="564">
        <f>SUM(D3818:D3832)</f>
        <v>2469553509</v>
      </c>
      <c r="E3833" s="564">
        <f t="shared" ref="E3833:G3833" si="161">SUM(E3818:E3832)</f>
        <v>306644168</v>
      </c>
      <c r="F3833" s="564">
        <f t="shared" si="161"/>
        <v>2776153000</v>
      </c>
      <c r="G3833" s="564">
        <f t="shared" si="161"/>
        <v>44677</v>
      </c>
      <c r="H3833" s="564"/>
      <c r="I3833" s="532"/>
      <c r="J3833" s="532"/>
    </row>
    <row r="3834" spans="1:10" x14ac:dyDescent="0.25">
      <c r="A3834" s="362"/>
      <c r="B3834" s="611">
        <v>44320</v>
      </c>
      <c r="C3834" s="362" t="s">
        <v>86</v>
      </c>
      <c r="D3834" s="562">
        <v>134543719</v>
      </c>
      <c r="E3834" s="562">
        <v>14850774</v>
      </c>
      <c r="F3834" s="562">
        <v>149394600</v>
      </c>
      <c r="G3834" s="562">
        <f>D3834+E3834-F3834</f>
        <v>-107</v>
      </c>
      <c r="H3834" s="562"/>
      <c r="I3834" s="362"/>
      <c r="J3834" s="362"/>
    </row>
    <row r="3835" spans="1:10" x14ac:dyDescent="0.25">
      <c r="A3835" s="362"/>
      <c r="B3835" s="611">
        <v>44320</v>
      </c>
      <c r="C3835" s="362" t="s">
        <v>87</v>
      </c>
      <c r="D3835" s="562">
        <v>58319928</v>
      </c>
      <c r="E3835" s="562">
        <v>94450342</v>
      </c>
      <c r="F3835" s="562">
        <v>152770300</v>
      </c>
      <c r="G3835" s="562">
        <f t="shared" ref="G3835:G3848" si="162">D3835+E3835-F3835</f>
        <v>-30</v>
      </c>
      <c r="H3835" s="562"/>
      <c r="I3835" s="362"/>
      <c r="J3835" s="362"/>
    </row>
    <row r="3836" spans="1:10" x14ac:dyDescent="0.25">
      <c r="A3836" s="362"/>
      <c r="B3836" s="611">
        <v>44320</v>
      </c>
      <c r="C3836" s="362" t="s">
        <v>88</v>
      </c>
      <c r="D3836" s="562">
        <v>286862864</v>
      </c>
      <c r="E3836" s="562">
        <v>45785577</v>
      </c>
      <c r="F3836" s="562">
        <v>332648500</v>
      </c>
      <c r="G3836" s="562">
        <f t="shared" si="162"/>
        <v>-59</v>
      </c>
      <c r="H3836" s="562"/>
      <c r="I3836" s="362"/>
      <c r="J3836" s="362"/>
    </row>
    <row r="3837" spans="1:10" x14ac:dyDescent="0.25">
      <c r="A3837" s="362"/>
      <c r="B3837" s="611">
        <v>44320</v>
      </c>
      <c r="C3837" s="362" t="s">
        <v>82</v>
      </c>
      <c r="D3837" s="562">
        <v>55018789</v>
      </c>
      <c r="E3837" s="562">
        <v>1428664</v>
      </c>
      <c r="F3837" s="562">
        <v>56447500</v>
      </c>
      <c r="G3837" s="562">
        <f t="shared" si="162"/>
        <v>-47</v>
      </c>
      <c r="H3837" s="562"/>
      <c r="I3837" s="362"/>
      <c r="J3837" s="362"/>
    </row>
    <row r="3838" spans="1:10" x14ac:dyDescent="0.25">
      <c r="A3838" s="362"/>
      <c r="B3838" s="611">
        <v>44320</v>
      </c>
      <c r="C3838" s="362" t="s">
        <v>80</v>
      </c>
      <c r="D3838" s="562">
        <v>430447265</v>
      </c>
      <c r="E3838" s="562">
        <v>3336735</v>
      </c>
      <c r="F3838" s="562">
        <v>433784000</v>
      </c>
      <c r="G3838" s="562">
        <f t="shared" si="162"/>
        <v>0</v>
      </c>
      <c r="H3838" s="562"/>
      <c r="I3838" s="362"/>
      <c r="J3838" s="362"/>
    </row>
    <row r="3839" spans="1:10" x14ac:dyDescent="0.25">
      <c r="A3839" s="362"/>
      <c r="B3839" s="611">
        <v>44320</v>
      </c>
      <c r="C3839" s="362" t="s">
        <v>83</v>
      </c>
      <c r="D3839" s="562">
        <v>262002558</v>
      </c>
      <c r="E3839" s="562">
        <v>54591718</v>
      </c>
      <c r="F3839" s="562">
        <v>316594300</v>
      </c>
      <c r="G3839" s="562">
        <f t="shared" si="162"/>
        <v>-24</v>
      </c>
      <c r="H3839" s="562"/>
      <c r="I3839" s="362"/>
      <c r="J3839" s="362"/>
    </row>
    <row r="3840" spans="1:10" x14ac:dyDescent="0.25">
      <c r="A3840" s="362"/>
      <c r="B3840" s="611">
        <v>44320</v>
      </c>
      <c r="C3840" s="362" t="s">
        <v>78</v>
      </c>
      <c r="D3840" s="562">
        <v>99725099</v>
      </c>
      <c r="E3840" s="562">
        <v>3005301</v>
      </c>
      <c r="F3840" s="562">
        <v>102730400</v>
      </c>
      <c r="G3840" s="562">
        <f t="shared" si="162"/>
        <v>0</v>
      </c>
      <c r="H3840" s="562"/>
      <c r="I3840" s="362"/>
      <c r="J3840" s="362"/>
    </row>
    <row r="3841" spans="1:10" x14ac:dyDescent="0.25">
      <c r="A3841" s="362"/>
      <c r="B3841" s="611">
        <v>44320</v>
      </c>
      <c r="C3841" s="362" t="s">
        <v>141</v>
      </c>
      <c r="D3841" s="562">
        <v>150952222</v>
      </c>
      <c r="E3841" s="562">
        <v>611600</v>
      </c>
      <c r="F3841" s="562">
        <v>151563800</v>
      </c>
      <c r="G3841" s="562">
        <f t="shared" si="162"/>
        <v>22</v>
      </c>
      <c r="H3841" s="562"/>
      <c r="I3841" s="362"/>
      <c r="J3841" s="362"/>
    </row>
    <row r="3842" spans="1:10" x14ac:dyDescent="0.25">
      <c r="A3842" s="362"/>
      <c r="B3842" s="611">
        <v>44320</v>
      </c>
      <c r="C3842" s="362" t="s">
        <v>89</v>
      </c>
      <c r="D3842" s="562">
        <v>214753640</v>
      </c>
      <c r="E3842" s="562">
        <v>74160660</v>
      </c>
      <c r="F3842" s="562">
        <v>288914400</v>
      </c>
      <c r="G3842" s="562">
        <f t="shared" si="162"/>
        <v>-100</v>
      </c>
      <c r="H3842" s="562"/>
      <c r="I3842" s="362"/>
      <c r="J3842" s="362"/>
    </row>
    <row r="3843" spans="1:10" x14ac:dyDescent="0.25">
      <c r="A3843" s="362"/>
      <c r="B3843" s="611">
        <v>44320</v>
      </c>
      <c r="C3843" s="362" t="s">
        <v>81</v>
      </c>
      <c r="D3843" s="562">
        <v>94283047</v>
      </c>
      <c r="E3843" s="562">
        <v>4926852</v>
      </c>
      <c r="F3843" s="562">
        <v>99209900</v>
      </c>
      <c r="G3843" s="562">
        <f t="shared" si="162"/>
        <v>-1</v>
      </c>
      <c r="H3843" s="562"/>
      <c r="I3843" s="362"/>
      <c r="J3843" s="362"/>
    </row>
    <row r="3844" spans="1:10" x14ac:dyDescent="0.25">
      <c r="A3844" s="362"/>
      <c r="B3844" s="611">
        <v>44320</v>
      </c>
      <c r="C3844" s="362" t="s">
        <v>84</v>
      </c>
      <c r="D3844" s="562">
        <v>280002544</v>
      </c>
      <c r="E3844" s="562">
        <v>14874579</v>
      </c>
      <c r="F3844" s="562">
        <v>294876100</v>
      </c>
      <c r="G3844" s="562">
        <f t="shared" si="162"/>
        <v>1023</v>
      </c>
      <c r="H3844" s="562"/>
      <c r="I3844" s="362"/>
      <c r="J3844" s="362"/>
    </row>
    <row r="3845" spans="1:10" x14ac:dyDescent="0.25">
      <c r="A3845" s="362"/>
      <c r="B3845" s="611">
        <v>44320</v>
      </c>
      <c r="C3845" s="362" t="s">
        <v>4751</v>
      </c>
      <c r="D3845" s="562">
        <v>267336004</v>
      </c>
      <c r="E3845" s="562">
        <v>7604396</v>
      </c>
      <c r="F3845" s="562">
        <v>274940400</v>
      </c>
      <c r="G3845" s="562">
        <f t="shared" si="162"/>
        <v>0</v>
      </c>
      <c r="H3845" s="562"/>
      <c r="I3845" s="362"/>
      <c r="J3845" s="362"/>
    </row>
    <row r="3846" spans="1:10" x14ac:dyDescent="0.25">
      <c r="A3846" s="362"/>
      <c r="B3846" s="611">
        <v>44320</v>
      </c>
      <c r="C3846" s="362" t="s">
        <v>166</v>
      </c>
      <c r="D3846" s="562">
        <v>80773253</v>
      </c>
      <c r="E3846" s="562"/>
      <c r="F3846" s="562">
        <v>80773300</v>
      </c>
      <c r="G3846" s="562">
        <f t="shared" si="162"/>
        <v>-47</v>
      </c>
      <c r="H3846" s="562"/>
      <c r="I3846" s="362"/>
      <c r="J3846" s="362"/>
    </row>
    <row r="3847" spans="1:10" x14ac:dyDescent="0.25">
      <c r="A3847" s="362"/>
      <c r="B3847" s="611">
        <v>44320</v>
      </c>
      <c r="C3847" s="362" t="s">
        <v>3435</v>
      </c>
      <c r="D3847" s="562">
        <v>60881857</v>
      </c>
      <c r="E3847" s="562"/>
      <c r="F3847" s="562">
        <v>60881900</v>
      </c>
      <c r="G3847" s="562">
        <f t="shared" si="162"/>
        <v>-43</v>
      </c>
      <c r="H3847" s="562"/>
      <c r="I3847" s="362"/>
      <c r="J3847" s="362"/>
    </row>
    <row r="3848" spans="1:10" x14ac:dyDescent="0.25">
      <c r="A3848" s="362"/>
      <c r="B3848" s="611">
        <v>44320</v>
      </c>
      <c r="C3848" s="370" t="s">
        <v>85</v>
      </c>
      <c r="D3848" s="562">
        <v>44047000</v>
      </c>
      <c r="E3848" s="562"/>
      <c r="F3848" s="562">
        <v>44047000</v>
      </c>
      <c r="G3848" s="562">
        <f t="shared" si="162"/>
        <v>0</v>
      </c>
      <c r="H3848" s="562"/>
      <c r="I3848" s="362"/>
      <c r="J3848" s="362"/>
    </row>
    <row r="3849" spans="1:10" x14ac:dyDescent="0.25">
      <c r="A3849" s="532"/>
      <c r="B3849" s="532"/>
      <c r="C3849" s="532"/>
      <c r="D3849" s="564">
        <f>SUM(D3834:D3848)</f>
        <v>2519949789</v>
      </c>
      <c r="E3849" s="564">
        <f t="shared" ref="E3849:G3849" si="163">SUM(E3834:E3848)</f>
        <v>319627198</v>
      </c>
      <c r="F3849" s="564">
        <f t="shared" si="163"/>
        <v>2839576400</v>
      </c>
      <c r="G3849" s="564">
        <f t="shared" si="163"/>
        <v>587</v>
      </c>
      <c r="H3849" s="564"/>
      <c r="I3849" s="532"/>
      <c r="J3849" s="532"/>
    </row>
    <row r="3850" spans="1:10" x14ac:dyDescent="0.25">
      <c r="A3850" s="362"/>
      <c r="B3850" s="611">
        <v>44321</v>
      </c>
      <c r="C3850" s="362" t="s">
        <v>86</v>
      </c>
      <c r="D3850" s="562">
        <v>118072375</v>
      </c>
      <c r="E3850" s="562">
        <v>177887320</v>
      </c>
      <c r="F3850" s="562">
        <v>295959700</v>
      </c>
      <c r="G3850" s="562">
        <f>D3850+E3850-F3850</f>
        <v>-5</v>
      </c>
      <c r="H3850" s="562"/>
      <c r="I3850" s="362"/>
      <c r="J3850" s="362"/>
    </row>
    <row r="3851" spans="1:10" x14ac:dyDescent="0.25">
      <c r="A3851" s="362"/>
      <c r="B3851" s="611">
        <v>44321</v>
      </c>
      <c r="C3851" s="362" t="s">
        <v>87</v>
      </c>
      <c r="D3851" s="562">
        <v>135985425</v>
      </c>
      <c r="E3851" s="562">
        <v>253854150</v>
      </c>
      <c r="F3851" s="562">
        <v>389839100</v>
      </c>
      <c r="G3851" s="562">
        <f t="shared" ref="G3851:G3914" si="164">D3851+E3851-F3851</f>
        <v>475</v>
      </c>
      <c r="H3851" s="562"/>
      <c r="I3851" s="362"/>
      <c r="J3851" s="362"/>
    </row>
    <row r="3852" spans="1:10" x14ac:dyDescent="0.25">
      <c r="A3852" s="362"/>
      <c r="B3852" s="611">
        <v>44321</v>
      </c>
      <c r="C3852" s="362" t="s">
        <v>88</v>
      </c>
      <c r="D3852" s="562">
        <v>231865741</v>
      </c>
      <c r="E3852" s="562">
        <v>36899127</v>
      </c>
      <c r="F3852" s="562">
        <v>268764900</v>
      </c>
      <c r="G3852" s="562">
        <f t="shared" si="164"/>
        <v>-32</v>
      </c>
      <c r="H3852" s="562"/>
      <c r="I3852" s="362"/>
      <c r="J3852" s="362"/>
    </row>
    <row r="3853" spans="1:10" x14ac:dyDescent="0.25">
      <c r="A3853" s="362"/>
      <c r="B3853" s="611">
        <v>44321</v>
      </c>
      <c r="C3853" s="362" t="s">
        <v>82</v>
      </c>
      <c r="D3853" s="562">
        <v>100176823</v>
      </c>
      <c r="E3853" s="562">
        <v>7069912</v>
      </c>
      <c r="F3853" s="562">
        <v>107246800</v>
      </c>
      <c r="G3853" s="562">
        <f t="shared" si="164"/>
        <v>-65</v>
      </c>
      <c r="H3853" s="562"/>
      <c r="I3853" s="362"/>
      <c r="J3853" s="362"/>
    </row>
    <row r="3854" spans="1:10" x14ac:dyDescent="0.25">
      <c r="A3854" s="362"/>
      <c r="B3854" s="611">
        <v>44321</v>
      </c>
      <c r="C3854" s="362" t="s">
        <v>80</v>
      </c>
      <c r="D3854" s="562">
        <v>391010598</v>
      </c>
      <c r="E3854" s="562">
        <v>72002</v>
      </c>
      <c r="F3854" s="562">
        <v>391082600</v>
      </c>
      <c r="G3854" s="562">
        <f t="shared" si="164"/>
        <v>0</v>
      </c>
      <c r="H3854" s="562"/>
      <c r="I3854" s="362"/>
      <c r="J3854" s="362"/>
    </row>
    <row r="3855" spans="1:10" x14ac:dyDescent="0.25">
      <c r="A3855" s="362"/>
      <c r="B3855" s="611">
        <v>44321</v>
      </c>
      <c r="C3855" s="362" t="s">
        <v>83</v>
      </c>
      <c r="D3855" s="562">
        <v>229996365</v>
      </c>
      <c r="E3855" s="562">
        <v>20109931</v>
      </c>
      <c r="F3855" s="562">
        <v>250115800</v>
      </c>
      <c r="G3855" s="562">
        <f t="shared" si="164"/>
        <v>-9504</v>
      </c>
      <c r="H3855" s="562"/>
      <c r="I3855" s="362"/>
      <c r="J3855" s="362"/>
    </row>
    <row r="3856" spans="1:10" x14ac:dyDescent="0.25">
      <c r="A3856" s="362"/>
      <c r="B3856" s="611">
        <v>44321</v>
      </c>
      <c r="C3856" s="362" t="s">
        <v>78</v>
      </c>
      <c r="D3856" s="562">
        <v>118791683</v>
      </c>
      <c r="E3856" s="562">
        <v>35760117</v>
      </c>
      <c r="F3856" s="562">
        <v>154551800</v>
      </c>
      <c r="G3856" s="562">
        <f t="shared" si="164"/>
        <v>0</v>
      </c>
      <c r="H3856" s="562"/>
      <c r="I3856" s="362"/>
      <c r="J3856" s="362"/>
    </row>
    <row r="3857" spans="1:10" x14ac:dyDescent="0.25">
      <c r="A3857" s="362"/>
      <c r="B3857" s="611">
        <v>44321</v>
      </c>
      <c r="C3857" s="362" t="s">
        <v>141</v>
      </c>
      <c r="D3857" s="562">
        <v>130891861</v>
      </c>
      <c r="E3857" s="562">
        <v>6237833</v>
      </c>
      <c r="F3857" s="562">
        <v>137129700</v>
      </c>
      <c r="G3857" s="562">
        <f t="shared" si="164"/>
        <v>-6</v>
      </c>
      <c r="H3857" s="562"/>
      <c r="I3857" s="362"/>
      <c r="J3857" s="362"/>
    </row>
    <row r="3858" spans="1:10" x14ac:dyDescent="0.25">
      <c r="A3858" s="362"/>
      <c r="B3858" s="611">
        <v>44321</v>
      </c>
      <c r="C3858" s="362" t="s">
        <v>89</v>
      </c>
      <c r="D3858" s="562">
        <v>157287566</v>
      </c>
      <c r="E3858" s="562">
        <v>49848434</v>
      </c>
      <c r="F3858" s="562">
        <v>207136000</v>
      </c>
      <c r="G3858" s="562">
        <f t="shared" si="164"/>
        <v>0</v>
      </c>
      <c r="H3858" s="562"/>
      <c r="I3858" s="362"/>
      <c r="J3858" s="362"/>
    </row>
    <row r="3859" spans="1:10" x14ac:dyDescent="0.25">
      <c r="A3859" s="362"/>
      <c r="B3859" s="611">
        <v>44321</v>
      </c>
      <c r="C3859" s="362" t="s">
        <v>81</v>
      </c>
      <c r="D3859" s="562">
        <v>117956627</v>
      </c>
      <c r="E3859" s="562">
        <v>8064582</v>
      </c>
      <c r="F3859" s="562">
        <v>126021300</v>
      </c>
      <c r="G3859" s="562">
        <f t="shared" si="164"/>
        <v>-91</v>
      </c>
      <c r="H3859" s="562"/>
      <c r="I3859" s="362"/>
      <c r="J3859" s="362"/>
    </row>
    <row r="3860" spans="1:10" x14ac:dyDescent="0.25">
      <c r="A3860" s="362"/>
      <c r="B3860" s="611">
        <v>44321</v>
      </c>
      <c r="C3860" s="362" t="s">
        <v>84</v>
      </c>
      <c r="D3860" s="562">
        <v>463062424</v>
      </c>
      <c r="E3860" s="562">
        <v>12377700</v>
      </c>
      <c r="F3860" s="562">
        <v>475440200</v>
      </c>
      <c r="G3860" s="562">
        <f t="shared" si="164"/>
        <v>-76</v>
      </c>
      <c r="H3860" s="562"/>
      <c r="I3860" s="362"/>
      <c r="J3860" s="362"/>
    </row>
    <row r="3861" spans="1:10" x14ac:dyDescent="0.25">
      <c r="A3861" s="362"/>
      <c r="B3861" s="611">
        <v>44321</v>
      </c>
      <c r="C3861" s="362" t="s">
        <v>4751</v>
      </c>
      <c r="D3861" s="562">
        <v>328987526</v>
      </c>
      <c r="E3861" s="562">
        <v>14235374</v>
      </c>
      <c r="F3861" s="562">
        <v>343222900</v>
      </c>
      <c r="G3861" s="562">
        <f t="shared" si="164"/>
        <v>0</v>
      </c>
      <c r="H3861" s="562"/>
      <c r="I3861" s="362"/>
      <c r="J3861" s="362"/>
    </row>
    <row r="3862" spans="1:10" x14ac:dyDescent="0.25">
      <c r="A3862" s="362"/>
      <c r="B3862" s="611">
        <v>44321</v>
      </c>
      <c r="C3862" s="362" t="s">
        <v>166</v>
      </c>
      <c r="D3862" s="562">
        <v>59400167</v>
      </c>
      <c r="E3862" s="562"/>
      <c r="F3862" s="562">
        <v>59400200</v>
      </c>
      <c r="G3862" s="562">
        <f t="shared" si="164"/>
        <v>-33</v>
      </c>
      <c r="H3862" s="562"/>
      <c r="I3862" s="362"/>
      <c r="J3862" s="362"/>
    </row>
    <row r="3863" spans="1:10" x14ac:dyDescent="0.25">
      <c r="A3863" s="362"/>
      <c r="B3863" s="611">
        <v>44321</v>
      </c>
      <c r="C3863" s="362" t="s">
        <v>3435</v>
      </c>
      <c r="D3863" s="562">
        <v>102581689</v>
      </c>
      <c r="E3863" s="562"/>
      <c r="F3863" s="562">
        <v>102581700</v>
      </c>
      <c r="G3863" s="562">
        <f t="shared" si="164"/>
        <v>-11</v>
      </c>
      <c r="H3863" s="562"/>
      <c r="I3863" s="362"/>
      <c r="J3863" s="362"/>
    </row>
    <row r="3864" spans="1:10" x14ac:dyDescent="0.25">
      <c r="A3864" s="362"/>
      <c r="B3864" s="611">
        <v>44321</v>
      </c>
      <c r="C3864" s="370" t="s">
        <v>85</v>
      </c>
      <c r="D3864" s="562">
        <v>50234900</v>
      </c>
      <c r="E3864" s="562"/>
      <c r="F3864" s="562">
        <v>50234900</v>
      </c>
      <c r="G3864" s="562">
        <f t="shared" si="164"/>
        <v>0</v>
      </c>
      <c r="H3864" s="562"/>
      <c r="I3864" s="362"/>
      <c r="J3864" s="362"/>
    </row>
    <row r="3865" spans="1:10" x14ac:dyDescent="0.25">
      <c r="A3865" s="362"/>
      <c r="B3865" s="532"/>
      <c r="C3865" s="532"/>
      <c r="D3865" s="564">
        <f>SUM(D3850:D3864)</f>
        <v>2736301770</v>
      </c>
      <c r="E3865" s="564">
        <f t="shared" ref="E3865:F3865" si="165">SUM(E3850:E3864)</f>
        <v>622416482</v>
      </c>
      <c r="F3865" s="564">
        <f t="shared" si="165"/>
        <v>3358727600</v>
      </c>
      <c r="G3865" s="564">
        <f>SUM(G3850:G3864)</f>
        <v>-9348</v>
      </c>
      <c r="H3865" s="564"/>
      <c r="I3865" s="532"/>
      <c r="J3865" s="532"/>
    </row>
    <row r="3866" spans="1:10" x14ac:dyDescent="0.25">
      <c r="A3866" s="362"/>
      <c r="B3866" s="611">
        <v>44322</v>
      </c>
      <c r="C3866" s="362" t="s">
        <v>86</v>
      </c>
      <c r="D3866" s="562">
        <v>206686335</v>
      </c>
      <c r="E3866" s="562">
        <v>172729805</v>
      </c>
      <c r="F3866" s="562">
        <v>379416200</v>
      </c>
      <c r="G3866" s="562">
        <f t="shared" si="164"/>
        <v>-60</v>
      </c>
      <c r="H3866" s="562"/>
      <c r="I3866" s="362"/>
      <c r="J3866" s="362"/>
    </row>
    <row r="3867" spans="1:10" x14ac:dyDescent="0.25">
      <c r="A3867" s="362"/>
      <c r="B3867" s="611">
        <v>44322</v>
      </c>
      <c r="C3867" s="362" t="s">
        <v>87</v>
      </c>
      <c r="D3867" s="562">
        <v>94650145</v>
      </c>
      <c r="E3867" s="562">
        <v>143182447</v>
      </c>
      <c r="F3867" s="562">
        <v>237832700</v>
      </c>
      <c r="G3867" s="562">
        <f t="shared" si="164"/>
        <v>-108</v>
      </c>
      <c r="H3867" s="562"/>
      <c r="I3867" s="362"/>
      <c r="J3867" s="362"/>
    </row>
    <row r="3868" spans="1:10" x14ac:dyDescent="0.25">
      <c r="A3868" s="362"/>
      <c r="B3868" s="611">
        <v>44322</v>
      </c>
      <c r="C3868" s="362" t="s">
        <v>88</v>
      </c>
      <c r="D3868" s="562">
        <v>219780305</v>
      </c>
      <c r="E3868" s="562">
        <v>10191119</v>
      </c>
      <c r="F3868" s="562">
        <v>229971500</v>
      </c>
      <c r="G3868" s="562">
        <f t="shared" si="164"/>
        <v>-76</v>
      </c>
      <c r="H3868" s="562"/>
      <c r="I3868" s="362"/>
      <c r="J3868" s="362"/>
    </row>
    <row r="3869" spans="1:10" x14ac:dyDescent="0.25">
      <c r="A3869" s="362"/>
      <c r="B3869" s="611">
        <v>44322</v>
      </c>
      <c r="C3869" s="362" t="s">
        <v>82</v>
      </c>
      <c r="D3869" s="562">
        <v>186397393</v>
      </c>
      <c r="E3869" s="562">
        <v>361009184</v>
      </c>
      <c r="F3869" s="562">
        <v>547406700</v>
      </c>
      <c r="G3869" s="562">
        <f t="shared" si="164"/>
        <v>-123</v>
      </c>
      <c r="H3869" s="562"/>
      <c r="I3869" s="362"/>
      <c r="J3869" s="362"/>
    </row>
    <row r="3870" spans="1:10" x14ac:dyDescent="0.25">
      <c r="A3870" s="362"/>
      <c r="B3870" s="611">
        <v>44322</v>
      </c>
      <c r="C3870" s="362" t="s">
        <v>80</v>
      </c>
      <c r="D3870" s="562">
        <v>174090700</v>
      </c>
      <c r="E3870" s="562">
        <v>45325000</v>
      </c>
      <c r="F3870" s="562">
        <v>219415700</v>
      </c>
      <c r="G3870" s="562">
        <f t="shared" si="164"/>
        <v>0</v>
      </c>
      <c r="H3870" s="562"/>
      <c r="I3870" s="362"/>
      <c r="J3870" s="362"/>
    </row>
    <row r="3871" spans="1:10" x14ac:dyDescent="0.25">
      <c r="A3871" s="362"/>
      <c r="B3871" s="611">
        <v>44322</v>
      </c>
      <c r="C3871" s="362" t="s">
        <v>83</v>
      </c>
      <c r="D3871" s="562">
        <v>233446984</v>
      </c>
      <c r="E3871" s="562">
        <v>94286016</v>
      </c>
      <c r="F3871" s="562">
        <v>327733000</v>
      </c>
      <c r="G3871" s="562">
        <f t="shared" si="164"/>
        <v>0</v>
      </c>
      <c r="H3871" s="562"/>
      <c r="I3871" s="362"/>
      <c r="J3871" s="362"/>
    </row>
    <row r="3872" spans="1:10" x14ac:dyDescent="0.25">
      <c r="A3872" s="362"/>
      <c r="B3872" s="611">
        <v>44322</v>
      </c>
      <c r="C3872" s="362" t="s">
        <v>78</v>
      </c>
      <c r="D3872" s="562">
        <v>148297626</v>
      </c>
      <c r="E3872" s="562">
        <v>13970974</v>
      </c>
      <c r="F3872" s="562">
        <v>162268600</v>
      </c>
      <c r="G3872" s="562">
        <f t="shared" si="164"/>
        <v>0</v>
      </c>
      <c r="H3872" s="562"/>
      <c r="I3872" s="362"/>
      <c r="J3872" s="362"/>
    </row>
    <row r="3873" spans="1:10" x14ac:dyDescent="0.25">
      <c r="A3873" s="362"/>
      <c r="B3873" s="611">
        <v>44322</v>
      </c>
      <c r="C3873" s="362" t="s">
        <v>141</v>
      </c>
      <c r="D3873" s="562">
        <v>143291378</v>
      </c>
      <c r="E3873" s="562"/>
      <c r="F3873" s="562">
        <v>143291400</v>
      </c>
      <c r="G3873" s="562">
        <f t="shared" si="164"/>
        <v>-22</v>
      </c>
      <c r="H3873" s="562"/>
      <c r="I3873" s="362"/>
      <c r="J3873" s="362"/>
    </row>
    <row r="3874" spans="1:10" x14ac:dyDescent="0.25">
      <c r="A3874" s="362"/>
      <c r="B3874" s="611">
        <v>44322</v>
      </c>
      <c r="C3874" s="362" t="s">
        <v>89</v>
      </c>
      <c r="D3874" s="562">
        <v>250771041</v>
      </c>
      <c r="E3874" s="562">
        <v>15035659</v>
      </c>
      <c r="F3874" s="562">
        <v>265806700</v>
      </c>
      <c r="G3874" s="562">
        <f t="shared" si="164"/>
        <v>0</v>
      </c>
      <c r="H3874" s="562"/>
      <c r="I3874" s="362"/>
      <c r="J3874" s="362"/>
    </row>
    <row r="3875" spans="1:10" x14ac:dyDescent="0.25">
      <c r="A3875" s="362"/>
      <c r="B3875" s="611">
        <v>44322</v>
      </c>
      <c r="C3875" s="362" t="s">
        <v>81</v>
      </c>
      <c r="D3875" s="562">
        <v>86524830</v>
      </c>
      <c r="E3875" s="562">
        <v>7152000</v>
      </c>
      <c r="F3875" s="562">
        <v>93676900</v>
      </c>
      <c r="G3875" s="562">
        <f t="shared" si="164"/>
        <v>-70</v>
      </c>
      <c r="H3875" s="562"/>
      <c r="I3875" s="362"/>
      <c r="J3875" s="362"/>
    </row>
    <row r="3876" spans="1:10" x14ac:dyDescent="0.25">
      <c r="A3876" s="362"/>
      <c r="B3876" s="611">
        <v>44322</v>
      </c>
      <c r="C3876" s="362" t="s">
        <v>84</v>
      </c>
      <c r="D3876" s="562">
        <v>303911628</v>
      </c>
      <c r="E3876" s="562">
        <v>36873377</v>
      </c>
      <c r="F3876" s="562">
        <v>340786400</v>
      </c>
      <c r="G3876" s="562">
        <f t="shared" si="164"/>
        <v>-1395</v>
      </c>
      <c r="H3876" s="562"/>
      <c r="I3876" s="362"/>
      <c r="J3876" s="362"/>
    </row>
    <row r="3877" spans="1:10" x14ac:dyDescent="0.25">
      <c r="A3877" s="362"/>
      <c r="B3877" s="611">
        <v>44322</v>
      </c>
      <c r="C3877" s="362" t="s">
        <v>4751</v>
      </c>
      <c r="D3877" s="562">
        <v>413221756</v>
      </c>
      <c r="E3877" s="562">
        <v>10078244</v>
      </c>
      <c r="F3877" s="562">
        <v>423300000</v>
      </c>
      <c r="G3877" s="562">
        <f t="shared" si="164"/>
        <v>0</v>
      </c>
      <c r="H3877" s="562"/>
      <c r="I3877" s="362"/>
      <c r="J3877" s="362"/>
    </row>
    <row r="3878" spans="1:10" x14ac:dyDescent="0.25">
      <c r="A3878" s="362"/>
      <c r="B3878" s="611">
        <v>44322</v>
      </c>
      <c r="C3878" s="362" t="s">
        <v>166</v>
      </c>
      <c r="D3878" s="562">
        <v>111712348</v>
      </c>
      <c r="E3878" s="562"/>
      <c r="F3878" s="562">
        <v>111712400</v>
      </c>
      <c r="G3878" s="562">
        <f t="shared" si="164"/>
        <v>-52</v>
      </c>
      <c r="H3878" s="562"/>
      <c r="I3878" s="362"/>
      <c r="J3878" s="362"/>
    </row>
    <row r="3879" spans="1:10" x14ac:dyDescent="0.25">
      <c r="A3879" s="362"/>
      <c r="B3879" s="611">
        <v>44322</v>
      </c>
      <c r="C3879" s="362" t="s">
        <v>3435</v>
      </c>
      <c r="D3879" s="562">
        <v>132128900</v>
      </c>
      <c r="E3879" s="562"/>
      <c r="F3879" s="562">
        <v>132128900</v>
      </c>
      <c r="G3879" s="562">
        <f t="shared" si="164"/>
        <v>0</v>
      </c>
      <c r="H3879" s="562"/>
      <c r="I3879" s="362"/>
      <c r="J3879" s="362"/>
    </row>
    <row r="3880" spans="1:10" x14ac:dyDescent="0.25">
      <c r="A3880" s="362"/>
      <c r="B3880" s="611">
        <v>44322</v>
      </c>
      <c r="C3880" s="370" t="s">
        <v>85</v>
      </c>
      <c r="D3880" s="562">
        <v>33695400</v>
      </c>
      <c r="E3880" s="562"/>
      <c r="F3880" s="562">
        <v>33695400</v>
      </c>
      <c r="G3880" s="562">
        <f t="shared" si="164"/>
        <v>0</v>
      </c>
      <c r="H3880" s="562"/>
      <c r="I3880" s="362"/>
      <c r="J3880" s="362"/>
    </row>
    <row r="3881" spans="1:10" x14ac:dyDescent="0.25">
      <c r="A3881" s="532"/>
      <c r="B3881" s="532"/>
      <c r="C3881" s="532"/>
      <c r="D3881" s="564">
        <f>SUM(D3866:D3880)</f>
        <v>2738606769</v>
      </c>
      <c r="E3881" s="564">
        <f t="shared" ref="E3881:G3881" si="166">SUM(E3866:E3880)</f>
        <v>909833825</v>
      </c>
      <c r="F3881" s="564">
        <f t="shared" si="166"/>
        <v>3648442500</v>
      </c>
      <c r="G3881" s="564">
        <f t="shared" si="166"/>
        <v>-1906</v>
      </c>
      <c r="H3881" s="564"/>
      <c r="I3881" s="532"/>
      <c r="J3881" s="532"/>
    </row>
    <row r="3882" spans="1:10" x14ac:dyDescent="0.25">
      <c r="A3882" s="362"/>
      <c r="B3882" s="611">
        <v>44323</v>
      </c>
      <c r="C3882" s="362" t="s">
        <v>86</v>
      </c>
      <c r="D3882" s="562">
        <v>89011701</v>
      </c>
      <c r="E3882" s="562">
        <v>73852750</v>
      </c>
      <c r="F3882" s="562">
        <v>162864500</v>
      </c>
      <c r="G3882" s="562">
        <f t="shared" si="164"/>
        <v>-49</v>
      </c>
      <c r="H3882" s="562"/>
      <c r="I3882" s="362"/>
      <c r="J3882" s="362"/>
    </row>
    <row r="3883" spans="1:10" x14ac:dyDescent="0.25">
      <c r="A3883" s="362"/>
      <c r="B3883" s="611">
        <v>44323</v>
      </c>
      <c r="C3883" s="362" t="s">
        <v>87</v>
      </c>
      <c r="D3883" s="562">
        <v>281372437</v>
      </c>
      <c r="E3883" s="562">
        <v>4772799</v>
      </c>
      <c r="F3883" s="562">
        <v>286144800</v>
      </c>
      <c r="G3883" s="562">
        <f t="shared" si="164"/>
        <v>436</v>
      </c>
      <c r="H3883" s="562"/>
      <c r="I3883" s="362"/>
      <c r="J3883" s="362"/>
    </row>
    <row r="3884" spans="1:10" x14ac:dyDescent="0.25">
      <c r="A3884" s="362"/>
      <c r="B3884" s="611">
        <v>44323</v>
      </c>
      <c r="C3884" s="362" t="s">
        <v>88</v>
      </c>
      <c r="D3884" s="562">
        <v>171547534</v>
      </c>
      <c r="E3884" s="562">
        <v>78090239</v>
      </c>
      <c r="F3884" s="562">
        <v>249637900</v>
      </c>
      <c r="G3884" s="562">
        <f t="shared" si="164"/>
        <v>-127</v>
      </c>
      <c r="H3884" s="562"/>
      <c r="I3884" s="362"/>
      <c r="J3884" s="362"/>
    </row>
    <row r="3885" spans="1:10" x14ac:dyDescent="0.25">
      <c r="A3885" s="362"/>
      <c r="B3885" s="611">
        <v>44323</v>
      </c>
      <c r="C3885" s="362" t="s">
        <v>82</v>
      </c>
      <c r="D3885" s="562">
        <v>59803065</v>
      </c>
      <c r="E3885" s="562">
        <v>50927262</v>
      </c>
      <c r="F3885" s="562">
        <v>110730400</v>
      </c>
      <c r="G3885" s="562">
        <f t="shared" si="164"/>
        <v>-73</v>
      </c>
      <c r="H3885" s="562"/>
      <c r="I3885" s="362"/>
      <c r="J3885" s="362"/>
    </row>
    <row r="3886" spans="1:10" x14ac:dyDescent="0.25">
      <c r="A3886" s="362"/>
      <c r="B3886" s="611">
        <v>44323</v>
      </c>
      <c r="C3886" s="362" t="s">
        <v>80</v>
      </c>
      <c r="D3886" s="562">
        <v>299497296</v>
      </c>
      <c r="E3886" s="562">
        <v>20119004</v>
      </c>
      <c r="F3886" s="562">
        <v>319616300</v>
      </c>
      <c r="G3886" s="562">
        <f t="shared" si="164"/>
        <v>0</v>
      </c>
      <c r="H3886" s="562"/>
      <c r="I3886" s="362"/>
      <c r="J3886" s="362"/>
    </row>
    <row r="3887" spans="1:10" x14ac:dyDescent="0.25">
      <c r="A3887" s="362"/>
      <c r="B3887" s="611">
        <v>44323</v>
      </c>
      <c r="C3887" s="362" t="s">
        <v>83</v>
      </c>
      <c r="D3887" s="562">
        <v>205214769</v>
      </c>
      <c r="E3887" s="562">
        <v>4287280</v>
      </c>
      <c r="F3887" s="562">
        <v>209502100</v>
      </c>
      <c r="G3887" s="562">
        <f t="shared" si="164"/>
        <v>-51</v>
      </c>
      <c r="H3887" s="562"/>
      <c r="I3887" s="362"/>
      <c r="J3887" s="362"/>
    </row>
    <row r="3888" spans="1:10" x14ac:dyDescent="0.25">
      <c r="A3888" s="362"/>
      <c r="B3888" s="611">
        <v>44323</v>
      </c>
      <c r="C3888" s="362" t="s">
        <v>78</v>
      </c>
      <c r="D3888" s="562">
        <v>105908592</v>
      </c>
      <c r="E3888" s="562">
        <v>4903108</v>
      </c>
      <c r="F3888" s="562">
        <v>110811700</v>
      </c>
      <c r="G3888" s="562">
        <f t="shared" si="164"/>
        <v>0</v>
      </c>
      <c r="H3888" s="562"/>
      <c r="I3888" s="362"/>
      <c r="J3888" s="362"/>
    </row>
    <row r="3889" spans="1:10" x14ac:dyDescent="0.25">
      <c r="A3889" s="362"/>
      <c r="B3889" s="611">
        <v>44323</v>
      </c>
      <c r="C3889" s="362" t="s">
        <v>141</v>
      </c>
      <c r="D3889" s="562">
        <v>99660980</v>
      </c>
      <c r="E3889" s="562">
        <v>7655498</v>
      </c>
      <c r="F3889" s="562">
        <v>107316500</v>
      </c>
      <c r="G3889" s="562">
        <f t="shared" si="164"/>
        <v>-22</v>
      </c>
      <c r="H3889" s="562"/>
      <c r="I3889" s="362"/>
      <c r="J3889" s="362"/>
    </row>
    <row r="3890" spans="1:10" x14ac:dyDescent="0.25">
      <c r="A3890" s="362"/>
      <c r="B3890" s="611">
        <v>44323</v>
      </c>
      <c r="C3890" s="362" t="s">
        <v>89</v>
      </c>
      <c r="D3890" s="562">
        <v>221515628</v>
      </c>
      <c r="E3890" s="562">
        <v>69001072</v>
      </c>
      <c r="F3890" s="562">
        <v>290516700</v>
      </c>
      <c r="G3890" s="562">
        <f t="shared" si="164"/>
        <v>0</v>
      </c>
      <c r="H3890" s="562"/>
      <c r="I3890" s="362"/>
      <c r="J3890" s="362"/>
    </row>
    <row r="3891" spans="1:10" x14ac:dyDescent="0.25">
      <c r="A3891" s="362"/>
      <c r="B3891" s="611">
        <v>44323</v>
      </c>
      <c r="C3891" s="362" t="s">
        <v>81</v>
      </c>
      <c r="D3891" s="562">
        <v>118667859</v>
      </c>
      <c r="E3891" s="562">
        <v>22177295</v>
      </c>
      <c r="F3891" s="562">
        <f>94012900+46832300</f>
        <v>140845200</v>
      </c>
      <c r="G3891" s="562">
        <f t="shared" si="164"/>
        <v>-46</v>
      </c>
      <c r="H3891" s="562"/>
      <c r="I3891" s="362"/>
      <c r="J3891" s="362"/>
    </row>
    <row r="3892" spans="1:10" x14ac:dyDescent="0.25">
      <c r="A3892" s="362"/>
      <c r="B3892" s="611">
        <v>44323</v>
      </c>
      <c r="C3892" s="362" t="s">
        <v>84</v>
      </c>
      <c r="D3892" s="562">
        <v>348335436</v>
      </c>
      <c r="E3892" s="562">
        <v>44849631</v>
      </c>
      <c r="F3892" s="562">
        <v>393185000</v>
      </c>
      <c r="G3892" s="562">
        <f t="shared" si="164"/>
        <v>67</v>
      </c>
      <c r="H3892" s="562"/>
      <c r="I3892" s="362"/>
      <c r="J3892" s="362"/>
    </row>
    <row r="3893" spans="1:10" x14ac:dyDescent="0.25">
      <c r="A3893" s="362"/>
      <c r="B3893" s="611">
        <v>44323</v>
      </c>
      <c r="C3893" s="362" t="s">
        <v>4751</v>
      </c>
      <c r="D3893" s="562">
        <v>207407968</v>
      </c>
      <c r="E3893" s="562">
        <v>28002732</v>
      </c>
      <c r="F3893" s="562">
        <v>235410700</v>
      </c>
      <c r="G3893" s="562">
        <f t="shared" si="164"/>
        <v>0</v>
      </c>
      <c r="H3893" s="562"/>
      <c r="I3893" s="362"/>
      <c r="J3893" s="362"/>
    </row>
    <row r="3894" spans="1:10" x14ac:dyDescent="0.25">
      <c r="A3894" s="362"/>
      <c r="B3894" s="611">
        <v>44323</v>
      </c>
      <c r="C3894" s="362" t="s">
        <v>166</v>
      </c>
      <c r="D3894" s="562"/>
      <c r="E3894" s="562"/>
      <c r="F3894" s="562"/>
      <c r="G3894" s="562">
        <f t="shared" si="164"/>
        <v>0</v>
      </c>
      <c r="H3894" s="562"/>
      <c r="I3894" s="362"/>
      <c r="J3894" s="362"/>
    </row>
    <row r="3895" spans="1:10" x14ac:dyDescent="0.25">
      <c r="A3895" s="362"/>
      <c r="B3895" s="611">
        <v>44323</v>
      </c>
      <c r="C3895" s="362" t="s">
        <v>3435</v>
      </c>
      <c r="D3895" s="562">
        <v>94561895</v>
      </c>
      <c r="E3895" s="562"/>
      <c r="F3895" s="562">
        <v>94561900</v>
      </c>
      <c r="G3895" s="562">
        <f t="shared" si="164"/>
        <v>-5</v>
      </c>
      <c r="H3895" s="562"/>
      <c r="I3895" s="362"/>
      <c r="J3895" s="362"/>
    </row>
    <row r="3896" spans="1:10" x14ac:dyDescent="0.25">
      <c r="A3896" s="362"/>
      <c r="B3896" s="611">
        <v>44323</v>
      </c>
      <c r="C3896" s="370" t="s">
        <v>85</v>
      </c>
      <c r="D3896" s="562">
        <v>29904300</v>
      </c>
      <c r="E3896" s="562"/>
      <c r="F3896" s="562">
        <v>29904300</v>
      </c>
      <c r="G3896" s="562">
        <f t="shared" si="164"/>
        <v>0</v>
      </c>
      <c r="H3896" s="562"/>
      <c r="I3896" s="362"/>
      <c r="J3896" s="362"/>
    </row>
    <row r="3897" spans="1:10" x14ac:dyDescent="0.25">
      <c r="A3897" s="532"/>
      <c r="B3897" s="532"/>
      <c r="C3897" s="532"/>
      <c r="D3897" s="564">
        <f>SUM(D3882:D3896)</f>
        <v>2332409460</v>
      </c>
      <c r="E3897" s="564">
        <f t="shared" ref="E3897:G3897" si="167">SUM(E3882:E3896)</f>
        <v>408638670</v>
      </c>
      <c r="F3897" s="564">
        <f t="shared" si="167"/>
        <v>2741048000</v>
      </c>
      <c r="G3897" s="564">
        <f t="shared" si="167"/>
        <v>130</v>
      </c>
      <c r="H3897" s="564"/>
      <c r="I3897" s="532"/>
      <c r="J3897" s="532"/>
    </row>
    <row r="3898" spans="1:10" x14ac:dyDescent="0.25">
      <c r="A3898" s="362"/>
      <c r="B3898" s="611">
        <v>44324</v>
      </c>
      <c r="C3898" s="362" t="s">
        <v>86</v>
      </c>
      <c r="D3898" s="562">
        <v>78508906</v>
      </c>
      <c r="E3898" s="562">
        <v>39419995</v>
      </c>
      <c r="F3898" s="562">
        <v>117929000</v>
      </c>
      <c r="G3898" s="562">
        <f t="shared" si="164"/>
        <v>-99</v>
      </c>
      <c r="H3898" s="562"/>
      <c r="I3898" s="362"/>
      <c r="J3898" s="362"/>
    </row>
    <row r="3899" spans="1:10" x14ac:dyDescent="0.25">
      <c r="A3899" s="362"/>
      <c r="B3899" s="611">
        <v>44324</v>
      </c>
      <c r="C3899" s="362" t="s">
        <v>87</v>
      </c>
      <c r="D3899" s="562">
        <v>70315383</v>
      </c>
      <c r="E3899" s="562">
        <v>183014772</v>
      </c>
      <c r="F3899" s="562">
        <f>46507800+206822500</f>
        <v>253330300</v>
      </c>
      <c r="G3899" s="562">
        <f t="shared" si="164"/>
        <v>-145</v>
      </c>
      <c r="H3899" s="562"/>
      <c r="I3899" s="362"/>
      <c r="J3899" s="362"/>
    </row>
    <row r="3900" spans="1:10" x14ac:dyDescent="0.25">
      <c r="A3900" s="362"/>
      <c r="B3900" s="611">
        <v>44324</v>
      </c>
      <c r="C3900" s="362" t="s">
        <v>88</v>
      </c>
      <c r="D3900" s="562">
        <v>269768308</v>
      </c>
      <c r="E3900" s="562">
        <v>24679155</v>
      </c>
      <c r="F3900" s="562">
        <v>294447500</v>
      </c>
      <c r="G3900" s="562">
        <f t="shared" si="164"/>
        <v>-37</v>
      </c>
      <c r="H3900" s="562"/>
      <c r="I3900" s="362"/>
      <c r="J3900" s="362"/>
    </row>
    <row r="3901" spans="1:10" x14ac:dyDescent="0.25">
      <c r="A3901" s="362"/>
      <c r="B3901" s="611">
        <v>44324</v>
      </c>
      <c r="C3901" s="362" t="s">
        <v>82</v>
      </c>
      <c r="D3901" s="562">
        <v>92358715</v>
      </c>
      <c r="E3901" s="562">
        <v>162948836</v>
      </c>
      <c r="F3901" s="562">
        <v>255307700</v>
      </c>
      <c r="G3901" s="562">
        <f t="shared" si="164"/>
        <v>-149</v>
      </c>
      <c r="H3901" s="562"/>
      <c r="I3901" s="362"/>
      <c r="J3901" s="362"/>
    </row>
    <row r="3902" spans="1:10" x14ac:dyDescent="0.25">
      <c r="A3902" s="362"/>
      <c r="B3902" s="611">
        <v>44324</v>
      </c>
      <c r="C3902" s="362" t="s">
        <v>80</v>
      </c>
      <c r="D3902" s="562">
        <v>200098889</v>
      </c>
      <c r="E3902" s="562">
        <v>101857375</v>
      </c>
      <c r="F3902" s="562">
        <v>301956300</v>
      </c>
      <c r="G3902" s="562">
        <f t="shared" si="164"/>
        <v>-36</v>
      </c>
      <c r="H3902" s="562"/>
      <c r="I3902" s="362"/>
      <c r="J3902" s="362"/>
    </row>
    <row r="3903" spans="1:10" x14ac:dyDescent="0.25">
      <c r="A3903" s="362"/>
      <c r="B3903" s="611">
        <v>44324</v>
      </c>
      <c r="C3903" s="362" t="s">
        <v>83</v>
      </c>
      <c r="D3903" s="562">
        <v>215388273</v>
      </c>
      <c r="E3903" s="562">
        <v>257020382</v>
      </c>
      <c r="F3903" s="562">
        <v>481928800</v>
      </c>
      <c r="G3903" s="562">
        <f t="shared" si="164"/>
        <v>-9520145</v>
      </c>
      <c r="H3903" s="562"/>
      <c r="I3903" s="362"/>
      <c r="J3903" s="362"/>
    </row>
    <row r="3904" spans="1:10" x14ac:dyDescent="0.25">
      <c r="A3904" s="362"/>
      <c r="B3904" s="611">
        <v>44324</v>
      </c>
      <c r="C3904" s="362" t="s">
        <v>78</v>
      </c>
      <c r="D3904" s="562">
        <v>224288403</v>
      </c>
      <c r="E3904" s="562">
        <v>3844097</v>
      </c>
      <c r="F3904" s="562">
        <v>228132500</v>
      </c>
      <c r="G3904" s="562">
        <f t="shared" si="164"/>
        <v>0</v>
      </c>
      <c r="H3904" s="562"/>
      <c r="I3904" s="362"/>
      <c r="J3904" s="362"/>
    </row>
    <row r="3905" spans="1:10" x14ac:dyDescent="0.25">
      <c r="A3905" s="362"/>
      <c r="B3905" s="611">
        <v>44324</v>
      </c>
      <c r="C3905" s="362" t="s">
        <v>141</v>
      </c>
      <c r="D3905" s="562">
        <v>57585669</v>
      </c>
      <c r="E3905" s="562">
        <v>614700</v>
      </c>
      <c r="F3905" s="562">
        <v>58200400</v>
      </c>
      <c r="G3905" s="562">
        <f t="shared" si="164"/>
        <v>-31</v>
      </c>
      <c r="H3905" s="562"/>
      <c r="I3905" s="362"/>
      <c r="J3905" s="362"/>
    </row>
    <row r="3906" spans="1:10" x14ac:dyDescent="0.25">
      <c r="A3906" s="362"/>
      <c r="B3906" s="611">
        <v>44324</v>
      </c>
      <c r="C3906" s="362" t="s">
        <v>89</v>
      </c>
      <c r="D3906" s="562">
        <v>143251140</v>
      </c>
      <c r="E3906" s="562">
        <v>104984060</v>
      </c>
      <c r="F3906" s="562">
        <v>248235200</v>
      </c>
      <c r="G3906" s="562">
        <f t="shared" si="164"/>
        <v>0</v>
      </c>
      <c r="H3906" s="562"/>
      <c r="I3906" s="362"/>
      <c r="J3906" s="362"/>
    </row>
    <row r="3907" spans="1:10" x14ac:dyDescent="0.25">
      <c r="A3907" s="362"/>
      <c r="B3907" s="611">
        <v>44324</v>
      </c>
      <c r="C3907" s="362" t="s">
        <v>81</v>
      </c>
      <c r="D3907" s="562">
        <v>115700192</v>
      </c>
      <c r="E3907" s="562">
        <v>10319863</v>
      </c>
      <c r="F3907" s="562">
        <f>42767100+83253000</f>
        <v>126020100</v>
      </c>
      <c r="G3907" s="562">
        <f t="shared" si="164"/>
        <v>-45</v>
      </c>
      <c r="H3907" s="562"/>
      <c r="I3907" s="362"/>
      <c r="J3907" s="362"/>
    </row>
    <row r="3908" spans="1:10" x14ac:dyDescent="0.25">
      <c r="A3908" s="362"/>
      <c r="B3908" s="611">
        <v>44324</v>
      </c>
      <c r="C3908" s="362" t="s">
        <v>84</v>
      </c>
      <c r="D3908" s="562">
        <v>193654831</v>
      </c>
      <c r="E3908" s="562">
        <v>29080422</v>
      </c>
      <c r="F3908" s="562">
        <v>222735200</v>
      </c>
      <c r="G3908" s="562">
        <f t="shared" si="164"/>
        <v>53</v>
      </c>
      <c r="H3908" s="562"/>
      <c r="I3908" s="362"/>
      <c r="J3908" s="362"/>
    </row>
    <row r="3909" spans="1:10" x14ac:dyDescent="0.25">
      <c r="A3909" s="362"/>
      <c r="B3909" s="611">
        <v>44324</v>
      </c>
      <c r="C3909" s="362" t="s">
        <v>4751</v>
      </c>
      <c r="D3909" s="562">
        <v>264589253</v>
      </c>
      <c r="E3909" s="562">
        <v>35409147</v>
      </c>
      <c r="F3909" s="562">
        <v>299998200</v>
      </c>
      <c r="G3909" s="562">
        <f t="shared" si="164"/>
        <v>200</v>
      </c>
      <c r="H3909" s="562"/>
      <c r="I3909" s="362"/>
      <c r="J3909" s="362"/>
    </row>
    <row r="3910" spans="1:10" x14ac:dyDescent="0.25">
      <c r="A3910" s="362"/>
      <c r="B3910" s="611">
        <v>44324</v>
      </c>
      <c r="C3910" s="362" t="s">
        <v>166</v>
      </c>
      <c r="D3910" s="562"/>
      <c r="E3910" s="562"/>
      <c r="F3910" s="562"/>
      <c r="G3910" s="562">
        <f t="shared" si="164"/>
        <v>0</v>
      </c>
      <c r="H3910" s="562"/>
      <c r="I3910" s="362"/>
      <c r="J3910" s="362"/>
    </row>
    <row r="3911" spans="1:10" x14ac:dyDescent="0.25">
      <c r="A3911" s="362"/>
      <c r="B3911" s="611">
        <v>44324</v>
      </c>
      <c r="C3911" s="362" t="s">
        <v>3435</v>
      </c>
      <c r="D3911" s="562"/>
      <c r="E3911" s="562"/>
      <c r="F3911" s="562"/>
      <c r="G3911" s="562">
        <f t="shared" si="164"/>
        <v>0</v>
      </c>
      <c r="H3911" s="562"/>
      <c r="I3911" s="362"/>
      <c r="J3911" s="362"/>
    </row>
    <row r="3912" spans="1:10" x14ac:dyDescent="0.25">
      <c r="A3912" s="362"/>
      <c r="B3912" s="611">
        <v>44324</v>
      </c>
      <c r="C3912" s="370" t="s">
        <v>85</v>
      </c>
      <c r="D3912" s="562">
        <v>26304400</v>
      </c>
      <c r="E3912" s="562"/>
      <c r="F3912" s="562">
        <v>26304400</v>
      </c>
      <c r="G3912" s="562">
        <f t="shared" si="164"/>
        <v>0</v>
      </c>
      <c r="H3912" s="562"/>
      <c r="I3912" s="362"/>
      <c r="J3912" s="362"/>
    </row>
    <row r="3913" spans="1:10" x14ac:dyDescent="0.25">
      <c r="A3913" s="532"/>
      <c r="B3913" s="532"/>
      <c r="C3913" s="532"/>
      <c r="D3913" s="564">
        <f>SUM(D3898:D3912)</f>
        <v>1951812362</v>
      </c>
      <c r="E3913" s="564">
        <f t="shared" ref="E3913:G3913" si="168">SUM(E3898:E3912)</f>
        <v>953192804</v>
      </c>
      <c r="F3913" s="564">
        <f t="shared" si="168"/>
        <v>2914525600</v>
      </c>
      <c r="G3913" s="564">
        <f t="shared" si="168"/>
        <v>-9520434</v>
      </c>
      <c r="H3913" s="564"/>
      <c r="I3913" s="532"/>
      <c r="J3913" s="532"/>
    </row>
    <row r="3914" spans="1:10" x14ac:dyDescent="0.25">
      <c r="A3914" s="362"/>
      <c r="B3914" s="611">
        <v>44326</v>
      </c>
      <c r="C3914" s="362" t="s">
        <v>86</v>
      </c>
      <c r="D3914" s="562">
        <v>72883376</v>
      </c>
      <c r="E3914" s="562">
        <v>127822859</v>
      </c>
      <c r="F3914" s="562">
        <v>201095500</v>
      </c>
      <c r="G3914" s="562">
        <f t="shared" si="164"/>
        <v>-389265</v>
      </c>
      <c r="H3914" s="562"/>
      <c r="I3914" s="362"/>
      <c r="J3914" s="362"/>
    </row>
    <row r="3915" spans="1:10" x14ac:dyDescent="0.25">
      <c r="A3915" s="362"/>
      <c r="B3915" s="611">
        <v>44326</v>
      </c>
      <c r="C3915" s="362" t="s">
        <v>87</v>
      </c>
      <c r="D3915" s="562">
        <v>117902654</v>
      </c>
      <c r="E3915" s="562">
        <v>160136244</v>
      </c>
      <c r="F3915" s="562">
        <v>278039000</v>
      </c>
      <c r="G3915" s="562">
        <f t="shared" ref="G3915:G3979" si="169">D3915+E3915-F3915</f>
        <v>-102</v>
      </c>
      <c r="H3915" s="562"/>
      <c r="I3915" s="362"/>
      <c r="J3915" s="362"/>
    </row>
    <row r="3916" spans="1:10" x14ac:dyDescent="0.25">
      <c r="A3916" s="362"/>
      <c r="B3916" s="611">
        <v>44326</v>
      </c>
      <c r="C3916" s="362" t="s">
        <v>88</v>
      </c>
      <c r="D3916" s="562">
        <v>234246579</v>
      </c>
      <c r="E3916" s="562">
        <v>99632709</v>
      </c>
      <c r="F3916" s="562">
        <v>333879300</v>
      </c>
      <c r="G3916" s="562">
        <f t="shared" si="169"/>
        <v>-12</v>
      </c>
      <c r="H3916" s="562"/>
      <c r="I3916" s="362"/>
      <c r="J3916" s="362"/>
    </row>
    <row r="3917" spans="1:10" x14ac:dyDescent="0.25">
      <c r="A3917" s="362"/>
      <c r="B3917" s="611">
        <v>44326</v>
      </c>
      <c r="C3917" s="362" t="s">
        <v>82</v>
      </c>
      <c r="D3917" s="562">
        <v>42622932</v>
      </c>
      <c r="E3917" s="562">
        <v>62323306</v>
      </c>
      <c r="F3917" s="562">
        <v>104946300</v>
      </c>
      <c r="G3917" s="562">
        <f t="shared" si="169"/>
        <v>-62</v>
      </c>
      <c r="H3917" s="562"/>
      <c r="I3917" s="362"/>
      <c r="J3917" s="362"/>
    </row>
    <row r="3918" spans="1:10" x14ac:dyDescent="0.25">
      <c r="A3918" s="362"/>
      <c r="B3918" s="611">
        <v>44326</v>
      </c>
      <c r="C3918" s="362" t="s">
        <v>80</v>
      </c>
      <c r="D3918" s="562">
        <v>286801190</v>
      </c>
      <c r="E3918" s="562"/>
      <c r="F3918" s="562">
        <v>286801600</v>
      </c>
      <c r="G3918" s="562">
        <f t="shared" si="169"/>
        <v>-410</v>
      </c>
      <c r="H3918" s="562"/>
      <c r="I3918" s="362"/>
      <c r="J3918" s="362"/>
    </row>
    <row r="3919" spans="1:10" x14ac:dyDescent="0.25">
      <c r="A3919" s="362"/>
      <c r="B3919" s="611">
        <v>44326</v>
      </c>
      <c r="C3919" s="362" t="s">
        <v>83</v>
      </c>
      <c r="D3919" s="562">
        <v>299360016</v>
      </c>
      <c r="E3919" s="562">
        <v>113478184</v>
      </c>
      <c r="F3919" s="562">
        <v>412838200</v>
      </c>
      <c r="G3919" s="562">
        <f t="shared" si="169"/>
        <v>0</v>
      </c>
      <c r="H3919" s="562"/>
      <c r="I3919" s="362"/>
      <c r="J3919" s="362"/>
    </row>
    <row r="3920" spans="1:10" x14ac:dyDescent="0.25">
      <c r="A3920" s="362"/>
      <c r="B3920" s="611">
        <v>44326</v>
      </c>
      <c r="C3920" s="362" t="s">
        <v>78</v>
      </c>
      <c r="D3920" s="562">
        <v>164998203</v>
      </c>
      <c r="E3920" s="562">
        <v>782597</v>
      </c>
      <c r="F3920" s="562">
        <v>165780800</v>
      </c>
      <c r="G3920" s="562">
        <f t="shared" si="169"/>
        <v>0</v>
      </c>
      <c r="H3920" s="562"/>
      <c r="I3920" s="362"/>
      <c r="J3920" s="362"/>
    </row>
    <row r="3921" spans="1:11" x14ac:dyDescent="0.25">
      <c r="A3921" s="362"/>
      <c r="B3921" s="611">
        <v>44326</v>
      </c>
      <c r="C3921" s="362" t="s">
        <v>141</v>
      </c>
      <c r="D3921" s="562">
        <v>141269007</v>
      </c>
      <c r="E3921" s="562">
        <v>7839182</v>
      </c>
      <c r="F3921" s="562">
        <v>149108200</v>
      </c>
      <c r="G3921" s="562">
        <f t="shared" si="169"/>
        <v>-11</v>
      </c>
      <c r="H3921" s="562"/>
      <c r="I3921" s="362"/>
      <c r="J3921" s="362"/>
    </row>
    <row r="3922" spans="1:11" x14ac:dyDescent="0.25">
      <c r="A3922" s="362"/>
      <c r="B3922" s="611">
        <v>44326</v>
      </c>
      <c r="C3922" s="362" t="s">
        <v>89</v>
      </c>
      <c r="D3922" s="562">
        <v>93079707</v>
      </c>
      <c r="E3922" s="562">
        <v>71509593</v>
      </c>
      <c r="F3922" s="562">
        <v>164589200</v>
      </c>
      <c r="G3922" s="562">
        <f t="shared" si="169"/>
        <v>100</v>
      </c>
      <c r="H3922" s="562"/>
      <c r="I3922" s="362"/>
      <c r="J3922" s="362"/>
    </row>
    <row r="3923" spans="1:11" x14ac:dyDescent="0.25">
      <c r="A3923" s="362"/>
      <c r="B3923" s="611">
        <v>44326</v>
      </c>
      <c r="C3923" s="362" t="s">
        <v>81</v>
      </c>
      <c r="D3923" s="562">
        <v>60649804</v>
      </c>
      <c r="E3923" s="562">
        <v>12477524</v>
      </c>
      <c r="F3923" s="562">
        <v>73127400</v>
      </c>
      <c r="G3923" s="562">
        <f t="shared" si="169"/>
        <v>-72</v>
      </c>
      <c r="H3923" s="562"/>
      <c r="I3923" s="362"/>
      <c r="J3923" s="362"/>
      <c r="K3923" s="562"/>
    </row>
    <row r="3924" spans="1:11" x14ac:dyDescent="0.25">
      <c r="A3924" s="362"/>
      <c r="B3924" s="611">
        <v>44326</v>
      </c>
      <c r="C3924" s="362" t="s">
        <v>84</v>
      </c>
      <c r="D3924" s="562">
        <v>253807880</v>
      </c>
      <c r="E3924" s="562">
        <v>8265944</v>
      </c>
      <c r="F3924" s="562">
        <v>262073900</v>
      </c>
      <c r="G3924" s="562">
        <f t="shared" si="169"/>
        <v>-76</v>
      </c>
      <c r="H3924" s="562"/>
      <c r="I3924" s="362"/>
      <c r="J3924" s="362"/>
    </row>
    <row r="3925" spans="1:11" x14ac:dyDescent="0.25">
      <c r="A3925" s="362"/>
      <c r="B3925" s="611">
        <v>44326</v>
      </c>
      <c r="C3925" s="362" t="s">
        <v>4751</v>
      </c>
      <c r="D3925" s="562">
        <v>245378188</v>
      </c>
      <c r="E3925" s="562">
        <v>7331712</v>
      </c>
      <c r="F3925" s="562">
        <v>252709900</v>
      </c>
      <c r="G3925" s="562">
        <f t="shared" si="169"/>
        <v>0</v>
      </c>
      <c r="H3925" s="562"/>
      <c r="I3925" s="362"/>
      <c r="J3925" s="362"/>
    </row>
    <row r="3926" spans="1:11" x14ac:dyDescent="0.25">
      <c r="A3926" s="362"/>
      <c r="B3926" s="611">
        <v>44326</v>
      </c>
      <c r="C3926" s="362" t="s">
        <v>166</v>
      </c>
      <c r="D3926" s="562">
        <v>94994046</v>
      </c>
      <c r="E3926" s="562"/>
      <c r="F3926" s="562">
        <v>94994000</v>
      </c>
      <c r="G3926" s="562">
        <f t="shared" si="169"/>
        <v>46</v>
      </c>
      <c r="H3926" s="562"/>
      <c r="I3926" s="362"/>
      <c r="J3926" s="362"/>
      <c r="K3926" s="562"/>
    </row>
    <row r="3927" spans="1:11" x14ac:dyDescent="0.25">
      <c r="A3927" s="362"/>
      <c r="B3927" s="611">
        <v>44326</v>
      </c>
      <c r="C3927" s="362" t="s">
        <v>3435</v>
      </c>
      <c r="D3927" s="562">
        <v>38436756</v>
      </c>
      <c r="E3927" s="562"/>
      <c r="F3927" s="562">
        <v>38436800</v>
      </c>
      <c r="G3927" s="562">
        <f t="shared" si="169"/>
        <v>-44</v>
      </c>
      <c r="H3927" s="562"/>
      <c r="I3927" s="362"/>
      <c r="J3927" s="362"/>
    </row>
    <row r="3928" spans="1:11" x14ac:dyDescent="0.25">
      <c r="A3928" s="362"/>
      <c r="B3928" s="611">
        <v>44326</v>
      </c>
      <c r="C3928" s="370" t="s">
        <v>85</v>
      </c>
      <c r="D3928" s="562">
        <v>27302800</v>
      </c>
      <c r="E3928" s="562"/>
      <c r="F3928" s="562">
        <v>27302800</v>
      </c>
      <c r="G3928" s="562">
        <f t="shared" si="169"/>
        <v>0</v>
      </c>
      <c r="H3928" s="562"/>
      <c r="I3928" s="362"/>
      <c r="J3928" s="362"/>
    </row>
    <row r="3929" spans="1:11" x14ac:dyDescent="0.25">
      <c r="A3929" s="532"/>
      <c r="B3929" s="532"/>
      <c r="C3929" s="532"/>
      <c r="D3929" s="564">
        <f>SUM(D3914:D3928)</f>
        <v>2173733138</v>
      </c>
      <c r="E3929" s="564">
        <f t="shared" ref="E3929:G3929" si="170">SUM(E3914:E3928)</f>
        <v>671599854</v>
      </c>
      <c r="F3929" s="564">
        <f t="shared" si="170"/>
        <v>2845722900</v>
      </c>
      <c r="G3929" s="564">
        <f t="shared" si="170"/>
        <v>-389908</v>
      </c>
      <c r="H3929" s="564"/>
      <c r="I3929" s="532"/>
      <c r="J3929" s="532"/>
    </row>
    <row r="3930" spans="1:11" x14ac:dyDescent="0.25">
      <c r="A3930" s="362"/>
      <c r="B3930" s="611">
        <v>44327</v>
      </c>
      <c r="C3930" s="362" t="s">
        <v>86</v>
      </c>
      <c r="D3930" s="562">
        <v>50981309</v>
      </c>
      <c r="E3930" s="562">
        <v>5806981</v>
      </c>
      <c r="F3930" s="562">
        <v>56788300</v>
      </c>
      <c r="G3930" s="562">
        <f t="shared" si="169"/>
        <v>-10</v>
      </c>
      <c r="H3930" s="562"/>
      <c r="I3930" s="362"/>
      <c r="J3930" s="362"/>
    </row>
    <row r="3931" spans="1:11" x14ac:dyDescent="0.25">
      <c r="A3931" s="362"/>
      <c r="B3931" s="611">
        <v>44327</v>
      </c>
      <c r="C3931" s="362" t="s">
        <v>87</v>
      </c>
      <c r="D3931" s="562">
        <v>104716064</v>
      </c>
      <c r="E3931" s="562">
        <v>58735262</v>
      </c>
      <c r="F3931" s="562">
        <v>163451100</v>
      </c>
      <c r="G3931" s="562">
        <f t="shared" si="169"/>
        <v>226</v>
      </c>
      <c r="H3931" s="562"/>
      <c r="I3931" s="362"/>
      <c r="J3931" s="362"/>
    </row>
    <row r="3932" spans="1:11" x14ac:dyDescent="0.25">
      <c r="A3932" s="362"/>
      <c r="B3932" s="611">
        <v>44327</v>
      </c>
      <c r="C3932" s="362" t="s">
        <v>88</v>
      </c>
      <c r="D3932" s="562">
        <v>19547532</v>
      </c>
      <c r="E3932" s="562">
        <v>83919519</v>
      </c>
      <c r="F3932" s="562">
        <v>103467100</v>
      </c>
      <c r="G3932" s="562">
        <f t="shared" si="169"/>
        <v>-49</v>
      </c>
      <c r="H3932" s="562"/>
      <c r="I3932" s="362"/>
      <c r="J3932" s="362"/>
    </row>
    <row r="3933" spans="1:11" x14ac:dyDescent="0.25">
      <c r="A3933" s="362"/>
      <c r="B3933" s="611">
        <v>44327</v>
      </c>
      <c r="C3933" s="362" t="s">
        <v>82</v>
      </c>
      <c r="D3933" s="562">
        <v>50463427</v>
      </c>
      <c r="E3933" s="562">
        <v>1059286</v>
      </c>
      <c r="F3933" s="562">
        <v>51522800</v>
      </c>
      <c r="G3933" s="562">
        <f t="shared" si="169"/>
        <v>-87</v>
      </c>
      <c r="H3933" s="562"/>
      <c r="I3933" s="362"/>
      <c r="J3933" s="362"/>
    </row>
    <row r="3934" spans="1:11" x14ac:dyDescent="0.25">
      <c r="A3934" s="362"/>
      <c r="B3934" s="611">
        <v>44327</v>
      </c>
      <c r="C3934" s="362" t="s">
        <v>80</v>
      </c>
      <c r="D3934" s="562">
        <v>131398993</v>
      </c>
      <c r="E3934" s="562">
        <v>48741120</v>
      </c>
      <c r="F3934" s="562">
        <v>180140200</v>
      </c>
      <c r="G3934" s="562">
        <f t="shared" si="169"/>
        <v>-87</v>
      </c>
      <c r="H3934" s="562"/>
      <c r="I3934" s="362"/>
      <c r="J3934" s="362"/>
    </row>
    <row r="3935" spans="1:11" x14ac:dyDescent="0.25">
      <c r="A3935" s="362"/>
      <c r="B3935" s="611">
        <v>44327</v>
      </c>
      <c r="C3935" s="362" t="s">
        <v>83</v>
      </c>
      <c r="D3935" s="562">
        <v>126928468</v>
      </c>
      <c r="E3935" s="562">
        <v>52632932</v>
      </c>
      <c r="F3935" s="562">
        <v>179561400</v>
      </c>
      <c r="G3935" s="562">
        <f t="shared" si="169"/>
        <v>0</v>
      </c>
      <c r="H3935" s="562"/>
      <c r="I3935" s="362"/>
      <c r="J3935" s="362"/>
    </row>
    <row r="3936" spans="1:11" x14ac:dyDescent="0.25">
      <c r="A3936" s="362"/>
      <c r="B3936" s="611">
        <v>44327</v>
      </c>
      <c r="C3936" s="362" t="s">
        <v>78</v>
      </c>
      <c r="D3936" s="562">
        <v>145912142</v>
      </c>
      <c r="E3936" s="562">
        <v>2123558</v>
      </c>
      <c r="F3936" s="562">
        <v>148035700</v>
      </c>
      <c r="G3936" s="562">
        <f t="shared" si="169"/>
        <v>0</v>
      </c>
      <c r="H3936" s="562"/>
      <c r="I3936" s="362"/>
      <c r="J3936" s="362"/>
    </row>
    <row r="3937" spans="1:10" x14ac:dyDescent="0.25">
      <c r="A3937" s="362"/>
      <c r="B3937" s="611">
        <v>44327</v>
      </c>
      <c r="C3937" s="362" t="s">
        <v>141</v>
      </c>
      <c r="D3937" s="562">
        <v>74676891</v>
      </c>
      <c r="E3937" s="562">
        <v>9151965</v>
      </c>
      <c r="F3937" s="562">
        <v>83828900</v>
      </c>
      <c r="G3937" s="562">
        <f t="shared" si="169"/>
        <v>-44</v>
      </c>
      <c r="H3937" s="562"/>
      <c r="I3937" s="362"/>
      <c r="J3937" s="362"/>
    </row>
    <row r="3938" spans="1:10" x14ac:dyDescent="0.25">
      <c r="A3938" s="362"/>
      <c r="B3938" s="611">
        <v>44327</v>
      </c>
      <c r="C3938" s="362" t="s">
        <v>89</v>
      </c>
      <c r="D3938" s="562">
        <v>14752224</v>
      </c>
      <c r="E3938" s="562">
        <v>8030676</v>
      </c>
      <c r="F3938" s="562">
        <v>23865400</v>
      </c>
      <c r="G3938" s="562">
        <f t="shared" si="169"/>
        <v>-1082500</v>
      </c>
      <c r="H3938" s="562"/>
      <c r="I3938" s="362"/>
      <c r="J3938" s="362"/>
    </row>
    <row r="3939" spans="1:10" x14ac:dyDescent="0.25">
      <c r="A3939" s="362"/>
      <c r="B3939" s="611">
        <v>44327</v>
      </c>
      <c r="C3939" s="362" t="s">
        <v>81</v>
      </c>
      <c r="D3939" s="562">
        <v>176640363</v>
      </c>
      <c r="E3939" s="562">
        <v>17484420</v>
      </c>
      <c r="F3939" s="562">
        <v>194124800</v>
      </c>
      <c r="G3939" s="562">
        <f t="shared" si="169"/>
        <v>-17</v>
      </c>
      <c r="H3939" s="562"/>
      <c r="I3939" s="362"/>
      <c r="J3939" s="362"/>
    </row>
    <row r="3940" spans="1:10" x14ac:dyDescent="0.25">
      <c r="A3940" s="362"/>
      <c r="B3940" s="611">
        <v>44327</v>
      </c>
      <c r="C3940" s="362" t="s">
        <v>84</v>
      </c>
      <c r="D3940" s="562">
        <v>154424018</v>
      </c>
      <c r="E3940" s="562">
        <v>1448387</v>
      </c>
      <c r="F3940" s="562">
        <v>155872400</v>
      </c>
      <c r="G3940" s="562">
        <f t="shared" si="169"/>
        <v>5</v>
      </c>
      <c r="H3940" s="562"/>
      <c r="I3940" s="362"/>
      <c r="J3940" s="362"/>
    </row>
    <row r="3941" spans="1:10" x14ac:dyDescent="0.25">
      <c r="A3941" s="362"/>
      <c r="B3941" s="611">
        <v>44327</v>
      </c>
      <c r="C3941" s="362" t="s">
        <v>4751</v>
      </c>
      <c r="D3941" s="562">
        <v>107022425</v>
      </c>
      <c r="E3941" s="562">
        <v>2443275</v>
      </c>
      <c r="F3941" s="562">
        <v>109465700</v>
      </c>
      <c r="G3941" s="562">
        <f t="shared" si="169"/>
        <v>0</v>
      </c>
      <c r="H3941" s="562"/>
      <c r="I3941" s="362"/>
      <c r="J3941" s="362"/>
    </row>
    <row r="3942" spans="1:10" x14ac:dyDescent="0.25">
      <c r="A3942" s="362"/>
      <c r="B3942" s="611">
        <v>44327</v>
      </c>
      <c r="C3942" s="362" t="s">
        <v>166</v>
      </c>
      <c r="D3942" s="562"/>
      <c r="E3942" s="562"/>
      <c r="F3942" s="562"/>
      <c r="G3942" s="562">
        <f t="shared" si="169"/>
        <v>0</v>
      </c>
      <c r="H3942" s="562"/>
      <c r="I3942" s="362"/>
      <c r="J3942" s="362"/>
    </row>
    <row r="3943" spans="1:10" x14ac:dyDescent="0.25">
      <c r="A3943" s="362"/>
      <c r="B3943" s="611">
        <v>44327</v>
      </c>
      <c r="C3943" s="362" t="s">
        <v>3435</v>
      </c>
      <c r="D3943" s="562"/>
      <c r="E3943" s="562"/>
      <c r="F3943" s="562"/>
      <c r="G3943" s="562">
        <f t="shared" si="169"/>
        <v>0</v>
      </c>
      <c r="H3943" s="562"/>
      <c r="I3943" s="362"/>
      <c r="J3943" s="362"/>
    </row>
    <row r="3944" spans="1:10" x14ac:dyDescent="0.25">
      <c r="A3944" s="362"/>
      <c r="B3944" s="611">
        <v>44327</v>
      </c>
      <c r="C3944" s="370" t="s">
        <v>85</v>
      </c>
      <c r="D3944" s="562">
        <v>30499200</v>
      </c>
      <c r="E3944" s="562"/>
      <c r="F3944" s="562">
        <v>30499200</v>
      </c>
      <c r="G3944" s="562">
        <f t="shared" si="169"/>
        <v>0</v>
      </c>
      <c r="H3944" s="562"/>
      <c r="I3944" s="362"/>
      <c r="J3944" s="362"/>
    </row>
    <row r="3945" spans="1:10" x14ac:dyDescent="0.25">
      <c r="A3945" s="532"/>
      <c r="B3945" s="532"/>
      <c r="C3945" s="532"/>
      <c r="D3945" s="564">
        <f>SUM(D3930:D3944)</f>
        <v>1187963056</v>
      </c>
      <c r="E3945" s="564">
        <f t="shared" ref="E3945:G3945" si="171">SUM(E3930:E3944)</f>
        <v>291577381</v>
      </c>
      <c r="F3945" s="564">
        <f t="shared" si="171"/>
        <v>1480623000</v>
      </c>
      <c r="G3945" s="564">
        <f t="shared" si="171"/>
        <v>-1082563</v>
      </c>
      <c r="H3945" s="564"/>
      <c r="I3945" s="532"/>
      <c r="J3945" s="532"/>
    </row>
    <row r="3946" spans="1:10" x14ac:dyDescent="0.25">
      <c r="A3946" s="362"/>
      <c r="B3946" s="611">
        <v>44333</v>
      </c>
      <c r="C3946" s="362" t="s">
        <v>86</v>
      </c>
      <c r="D3946" s="562">
        <v>66192961</v>
      </c>
      <c r="E3946" s="562">
        <v>5665440</v>
      </c>
      <c r="F3946" s="562">
        <v>71858400</v>
      </c>
      <c r="G3946" s="562">
        <f t="shared" si="169"/>
        <v>1</v>
      </c>
      <c r="H3946" s="562"/>
      <c r="I3946" s="362"/>
      <c r="J3946" s="362"/>
    </row>
    <row r="3947" spans="1:10" x14ac:dyDescent="0.25">
      <c r="A3947" s="362"/>
      <c r="B3947" s="611">
        <v>44333</v>
      </c>
      <c r="C3947" s="362" t="s">
        <v>87</v>
      </c>
      <c r="D3947" s="562">
        <v>88683903</v>
      </c>
      <c r="E3947" s="562">
        <v>16171961</v>
      </c>
      <c r="F3947" s="562">
        <v>104855900</v>
      </c>
      <c r="G3947" s="562">
        <f t="shared" si="169"/>
        <v>-36</v>
      </c>
      <c r="H3947" s="562"/>
      <c r="I3947" s="362"/>
      <c r="J3947" s="362"/>
    </row>
    <row r="3948" spans="1:10" x14ac:dyDescent="0.25">
      <c r="A3948" s="362"/>
      <c r="B3948" s="611">
        <v>44333</v>
      </c>
      <c r="C3948" s="362" t="s">
        <v>88</v>
      </c>
      <c r="D3948" s="562">
        <v>205124605</v>
      </c>
      <c r="E3948" s="562">
        <v>69518640</v>
      </c>
      <c r="F3948" s="562">
        <v>274643300</v>
      </c>
      <c r="G3948" s="562">
        <f t="shared" si="169"/>
        <v>-55</v>
      </c>
      <c r="H3948" s="562"/>
      <c r="I3948" s="362"/>
      <c r="J3948" s="362"/>
    </row>
    <row r="3949" spans="1:10" x14ac:dyDescent="0.25">
      <c r="A3949" s="362"/>
      <c r="B3949" s="611">
        <v>44333</v>
      </c>
      <c r="C3949" s="362" t="s">
        <v>82</v>
      </c>
      <c r="D3949" s="562">
        <v>42030175</v>
      </c>
      <c r="E3949" s="562">
        <v>953700</v>
      </c>
      <c r="F3949" s="562">
        <v>42983900</v>
      </c>
      <c r="G3949" s="562">
        <f t="shared" si="169"/>
        <v>-25</v>
      </c>
      <c r="H3949" s="562"/>
      <c r="I3949" s="362"/>
      <c r="J3949" s="362"/>
    </row>
    <row r="3950" spans="1:10" x14ac:dyDescent="0.25">
      <c r="A3950" s="362"/>
      <c r="B3950" s="611">
        <v>44333</v>
      </c>
      <c r="C3950" s="362" t="s">
        <v>80</v>
      </c>
      <c r="D3950" s="562">
        <v>232611230</v>
      </c>
      <c r="E3950" s="562"/>
      <c r="F3950" s="562">
        <v>232611300</v>
      </c>
      <c r="G3950" s="562">
        <f t="shared" si="169"/>
        <v>-70</v>
      </c>
      <c r="H3950" s="562"/>
      <c r="I3950" s="362"/>
      <c r="J3950" s="362"/>
    </row>
    <row r="3951" spans="1:10" x14ac:dyDescent="0.25">
      <c r="A3951" s="362"/>
      <c r="B3951" s="611">
        <v>44333</v>
      </c>
      <c r="C3951" s="362" t="s">
        <v>83</v>
      </c>
      <c r="D3951" s="562">
        <v>369157926</v>
      </c>
      <c r="E3951" s="562">
        <v>4228157</v>
      </c>
      <c r="F3951" s="562">
        <v>373386100</v>
      </c>
      <c r="G3951" s="562">
        <f t="shared" si="169"/>
        <v>-17</v>
      </c>
      <c r="H3951" s="562"/>
      <c r="I3951" s="362"/>
      <c r="J3951" s="362"/>
    </row>
    <row r="3952" spans="1:10" x14ac:dyDescent="0.25">
      <c r="A3952" s="362"/>
      <c r="B3952" s="611">
        <v>44333</v>
      </c>
      <c r="C3952" s="362" t="s">
        <v>78</v>
      </c>
      <c r="D3952" s="562">
        <v>79330033</v>
      </c>
      <c r="E3952" s="562">
        <v>40967</v>
      </c>
      <c r="F3952" s="562">
        <v>79371000</v>
      </c>
      <c r="G3952" s="562">
        <f t="shared" si="169"/>
        <v>0</v>
      </c>
      <c r="H3952" s="562"/>
      <c r="I3952" s="362"/>
      <c r="J3952" s="362"/>
    </row>
    <row r="3953" spans="1:10" x14ac:dyDescent="0.25">
      <c r="A3953" s="362"/>
      <c r="B3953" s="611">
        <v>44333</v>
      </c>
      <c r="C3953" s="362" t="s">
        <v>141</v>
      </c>
      <c r="D3953" s="562">
        <v>44174019</v>
      </c>
      <c r="E3953" s="562">
        <v>32625</v>
      </c>
      <c r="F3953" s="562">
        <v>44206700</v>
      </c>
      <c r="G3953" s="562">
        <f t="shared" si="169"/>
        <v>-56</v>
      </c>
      <c r="H3953" s="562"/>
      <c r="I3953" s="362"/>
      <c r="J3953" s="362"/>
    </row>
    <row r="3954" spans="1:10" x14ac:dyDescent="0.25">
      <c r="A3954" s="362"/>
      <c r="B3954" s="611">
        <v>44333</v>
      </c>
      <c r="C3954" s="362" t="s">
        <v>89</v>
      </c>
      <c r="D3954" s="562">
        <v>51059162</v>
      </c>
      <c r="E3954" s="562">
        <v>51912238</v>
      </c>
      <c r="F3954" s="562">
        <v>102971400</v>
      </c>
      <c r="G3954" s="562">
        <f t="shared" si="169"/>
        <v>0</v>
      </c>
      <c r="H3954" s="562"/>
      <c r="I3954" s="362"/>
      <c r="J3954" s="362"/>
    </row>
    <row r="3955" spans="1:10" x14ac:dyDescent="0.25">
      <c r="A3955" s="362"/>
      <c r="B3955" s="611">
        <v>44333</v>
      </c>
      <c r="C3955" s="362" t="s">
        <v>81</v>
      </c>
      <c r="D3955" s="562">
        <v>122598560</v>
      </c>
      <c r="E3955" s="562">
        <v>3746694</v>
      </c>
      <c r="F3955" s="562">
        <v>126345300</v>
      </c>
      <c r="G3955" s="562">
        <f t="shared" si="169"/>
        <v>-46</v>
      </c>
      <c r="H3955" s="562"/>
      <c r="I3955" s="362"/>
      <c r="J3955" s="362"/>
    </row>
    <row r="3956" spans="1:10" x14ac:dyDescent="0.25">
      <c r="A3956" s="362"/>
      <c r="B3956" s="611">
        <v>44333</v>
      </c>
      <c r="C3956" s="362" t="s">
        <v>84</v>
      </c>
      <c r="D3956" s="562">
        <v>199051224</v>
      </c>
      <c r="E3956" s="562">
        <v>3407476</v>
      </c>
      <c r="F3956" s="562">
        <v>202458700</v>
      </c>
      <c r="G3956" s="562">
        <f t="shared" si="169"/>
        <v>0</v>
      </c>
      <c r="H3956" s="562"/>
      <c r="I3956" s="362"/>
      <c r="J3956" s="362"/>
    </row>
    <row r="3957" spans="1:10" x14ac:dyDescent="0.25">
      <c r="A3957" s="362"/>
      <c r="B3957" s="611">
        <v>44333</v>
      </c>
      <c r="C3957" s="362" t="s">
        <v>4751</v>
      </c>
      <c r="D3957" s="562">
        <v>163481319</v>
      </c>
      <c r="E3957" s="562">
        <v>7190081</v>
      </c>
      <c r="F3957" s="562">
        <v>170671400</v>
      </c>
      <c r="G3957" s="562">
        <f t="shared" si="169"/>
        <v>0</v>
      </c>
      <c r="H3957" s="562"/>
      <c r="I3957" s="362"/>
      <c r="J3957" s="362"/>
    </row>
    <row r="3958" spans="1:10" x14ac:dyDescent="0.25">
      <c r="A3958" s="362"/>
      <c r="B3958" s="611">
        <v>44333</v>
      </c>
      <c r="C3958" s="362" t="s">
        <v>166</v>
      </c>
      <c r="D3958" s="562">
        <v>51448658</v>
      </c>
      <c r="E3958" s="562"/>
      <c r="F3958" s="562">
        <v>51448500</v>
      </c>
      <c r="G3958" s="562">
        <f t="shared" si="169"/>
        <v>158</v>
      </c>
      <c r="H3958" s="562"/>
      <c r="I3958" s="362"/>
      <c r="J3958" s="362"/>
    </row>
    <row r="3959" spans="1:10" x14ac:dyDescent="0.25">
      <c r="A3959" s="362"/>
      <c r="B3959" s="611">
        <v>44333</v>
      </c>
      <c r="C3959" s="362" t="s">
        <v>3435</v>
      </c>
      <c r="D3959" s="562">
        <v>39676488</v>
      </c>
      <c r="E3959" s="562"/>
      <c r="F3959" s="562">
        <v>39676500</v>
      </c>
      <c r="G3959" s="562">
        <f t="shared" si="169"/>
        <v>-12</v>
      </c>
      <c r="H3959" s="562"/>
      <c r="I3959" s="362"/>
      <c r="J3959" s="362"/>
    </row>
    <row r="3960" spans="1:10" x14ac:dyDescent="0.25">
      <c r="A3960" s="362"/>
      <c r="B3960" s="611">
        <v>44333</v>
      </c>
      <c r="C3960" s="370" t="s">
        <v>85</v>
      </c>
      <c r="D3960" s="562">
        <v>72125300</v>
      </c>
      <c r="E3960" s="562"/>
      <c r="F3960" s="562">
        <v>72125300</v>
      </c>
      <c r="G3960" s="562">
        <f t="shared" si="169"/>
        <v>0</v>
      </c>
      <c r="H3960" s="562"/>
      <c r="I3960" s="362"/>
      <c r="J3960" s="362"/>
    </row>
    <row r="3961" spans="1:10" x14ac:dyDescent="0.25">
      <c r="A3961" s="532"/>
      <c r="B3961" s="532"/>
      <c r="C3961" s="532"/>
      <c r="D3961" s="564">
        <f>SUM(D3946:D3960)</f>
        <v>1826745563</v>
      </c>
      <c r="E3961" s="564">
        <f t="shared" ref="E3961:G3961" si="172">SUM(E3946:E3960)</f>
        <v>162867979</v>
      </c>
      <c r="F3961" s="564">
        <f t="shared" si="172"/>
        <v>1989613700</v>
      </c>
      <c r="G3961" s="564">
        <f t="shared" si="172"/>
        <v>-158</v>
      </c>
      <c r="H3961" s="564"/>
      <c r="I3961" s="532"/>
      <c r="J3961" s="532"/>
    </row>
    <row r="3962" spans="1:10" x14ac:dyDescent="0.25">
      <c r="A3962" s="362"/>
      <c r="B3962" s="611">
        <v>44334</v>
      </c>
      <c r="C3962" s="362" t="s">
        <v>86</v>
      </c>
      <c r="D3962" s="562">
        <v>99502028</v>
      </c>
      <c r="E3962" s="562">
        <v>154950895</v>
      </c>
      <c r="F3962" s="562">
        <v>254453000</v>
      </c>
      <c r="G3962" s="562">
        <f t="shared" si="169"/>
        <v>-77</v>
      </c>
      <c r="H3962" s="562"/>
      <c r="I3962" s="562"/>
      <c r="J3962" s="562"/>
    </row>
    <row r="3963" spans="1:10" x14ac:dyDescent="0.25">
      <c r="A3963" s="362"/>
      <c r="B3963" s="611">
        <v>44334</v>
      </c>
      <c r="C3963" s="362" t="s">
        <v>87</v>
      </c>
      <c r="D3963" s="562">
        <v>176492097</v>
      </c>
      <c r="E3963" s="562">
        <v>211176080</v>
      </c>
      <c r="F3963" s="562">
        <v>387668300</v>
      </c>
      <c r="G3963" s="562">
        <f t="shared" si="169"/>
        <v>-123</v>
      </c>
      <c r="H3963" s="562"/>
      <c r="I3963" s="562"/>
      <c r="J3963" s="562"/>
    </row>
    <row r="3964" spans="1:10" x14ac:dyDescent="0.25">
      <c r="A3964" s="362"/>
      <c r="B3964" s="611">
        <v>44334</v>
      </c>
      <c r="C3964" s="362" t="s">
        <v>88</v>
      </c>
      <c r="D3964" s="562">
        <v>211410960</v>
      </c>
      <c r="E3964" s="562">
        <v>74397144</v>
      </c>
      <c r="F3964" s="562">
        <v>285808200</v>
      </c>
      <c r="G3964" s="562">
        <f t="shared" si="169"/>
        <v>-96</v>
      </c>
      <c r="H3964" s="562"/>
      <c r="I3964" s="562"/>
      <c r="J3964" s="562"/>
    </row>
    <row r="3965" spans="1:10" x14ac:dyDescent="0.25">
      <c r="A3965" s="362"/>
      <c r="B3965" s="611">
        <v>44334</v>
      </c>
      <c r="C3965" s="362" t="s">
        <v>82</v>
      </c>
      <c r="D3965" s="562">
        <v>79582443</v>
      </c>
      <c r="E3965" s="562">
        <v>2527500</v>
      </c>
      <c r="F3965" s="562">
        <v>82110000</v>
      </c>
      <c r="G3965" s="562">
        <f t="shared" si="169"/>
        <v>-57</v>
      </c>
      <c r="H3965" s="562"/>
      <c r="I3965" s="562"/>
      <c r="J3965" s="562"/>
    </row>
    <row r="3966" spans="1:10" x14ac:dyDescent="0.25">
      <c r="A3966" s="362"/>
      <c r="B3966" s="611">
        <v>44334</v>
      </c>
      <c r="C3966" s="362" t="s">
        <v>80</v>
      </c>
      <c r="D3966" s="562">
        <v>244534831</v>
      </c>
      <c r="E3966" s="562"/>
      <c r="F3966" s="562">
        <v>244534900</v>
      </c>
      <c r="G3966" s="562">
        <f t="shared" si="169"/>
        <v>-69</v>
      </c>
      <c r="H3966" s="562"/>
      <c r="I3966" s="562"/>
      <c r="J3966" s="562"/>
    </row>
    <row r="3967" spans="1:10" x14ac:dyDescent="0.25">
      <c r="A3967" s="362"/>
      <c r="B3967" s="611">
        <v>44334</v>
      </c>
      <c r="C3967" s="362" t="s">
        <v>83</v>
      </c>
      <c r="D3967" s="562">
        <v>318959419</v>
      </c>
      <c r="E3967" s="562">
        <v>54291146</v>
      </c>
      <c r="F3967" s="562">
        <v>373250600</v>
      </c>
      <c r="G3967" s="562">
        <f t="shared" si="169"/>
        <v>-35</v>
      </c>
      <c r="H3967" s="562"/>
      <c r="I3967" s="562"/>
      <c r="J3967" s="562"/>
    </row>
    <row r="3968" spans="1:10" x14ac:dyDescent="0.25">
      <c r="A3968" s="362"/>
      <c r="B3968" s="611">
        <v>44334</v>
      </c>
      <c r="C3968" s="362" t="s">
        <v>78</v>
      </c>
      <c r="D3968" s="562">
        <v>96236300</v>
      </c>
      <c r="E3968" s="562"/>
      <c r="F3968" s="562">
        <v>96236300</v>
      </c>
      <c r="G3968" s="562">
        <f t="shared" si="169"/>
        <v>0</v>
      </c>
      <c r="H3968" s="562"/>
      <c r="I3968" s="562"/>
      <c r="J3968" s="562"/>
    </row>
    <row r="3969" spans="1:10" x14ac:dyDescent="0.25">
      <c r="A3969" s="362"/>
      <c r="B3969" s="611">
        <v>44334</v>
      </c>
      <c r="C3969" s="362" t="s">
        <v>141</v>
      </c>
      <c r="D3969" s="562">
        <v>64946036</v>
      </c>
      <c r="E3969" s="562">
        <v>1596488</v>
      </c>
      <c r="F3969" s="562">
        <v>66542600</v>
      </c>
      <c r="G3969" s="562">
        <f t="shared" si="169"/>
        <v>-76</v>
      </c>
      <c r="H3969" s="562"/>
      <c r="I3969" s="562"/>
      <c r="J3969" s="562"/>
    </row>
    <row r="3970" spans="1:10" x14ac:dyDescent="0.25">
      <c r="A3970" s="362"/>
      <c r="B3970" s="611">
        <v>44334</v>
      </c>
      <c r="C3970" s="362" t="s">
        <v>89</v>
      </c>
      <c r="D3970" s="562">
        <v>131644829</v>
      </c>
      <c r="E3970" s="562">
        <v>16747971</v>
      </c>
      <c r="F3970" s="562">
        <v>148392800</v>
      </c>
      <c r="G3970" s="562">
        <f t="shared" si="169"/>
        <v>0</v>
      </c>
      <c r="H3970" s="562"/>
      <c r="I3970" s="562"/>
      <c r="J3970" s="562"/>
    </row>
    <row r="3971" spans="1:10" x14ac:dyDescent="0.25">
      <c r="A3971" s="362"/>
      <c r="B3971" s="611">
        <v>44334</v>
      </c>
      <c r="C3971" s="362" t="s">
        <v>81</v>
      </c>
      <c r="D3971" s="562">
        <v>108506902</v>
      </c>
      <c r="E3971" s="562">
        <v>10276529</v>
      </c>
      <c r="F3971" s="562">
        <v>118783500</v>
      </c>
      <c r="G3971" s="562">
        <f t="shared" si="169"/>
        <v>-69</v>
      </c>
      <c r="H3971" s="562"/>
      <c r="I3971" s="562"/>
      <c r="J3971" s="562"/>
    </row>
    <row r="3972" spans="1:10" x14ac:dyDescent="0.25">
      <c r="A3972" s="362"/>
      <c r="B3972" s="611">
        <v>44334</v>
      </c>
      <c r="C3972" s="362" t="s">
        <v>84</v>
      </c>
      <c r="D3972" s="562">
        <v>214786821</v>
      </c>
      <c r="E3972" s="562">
        <v>11572462</v>
      </c>
      <c r="F3972" s="562">
        <v>226359300</v>
      </c>
      <c r="G3972" s="562">
        <f t="shared" si="169"/>
        <v>-17</v>
      </c>
      <c r="H3972" s="562"/>
      <c r="I3972" s="562"/>
      <c r="J3972" s="562"/>
    </row>
    <row r="3973" spans="1:10" x14ac:dyDescent="0.25">
      <c r="A3973" s="362"/>
      <c r="B3973" s="611">
        <v>44334</v>
      </c>
      <c r="C3973" s="362" t="s">
        <v>4751</v>
      </c>
      <c r="D3973" s="562">
        <v>212853438</v>
      </c>
      <c r="E3973" s="562">
        <v>7206562</v>
      </c>
      <c r="F3973" s="562">
        <v>220060000</v>
      </c>
      <c r="G3973" s="562">
        <f t="shared" si="169"/>
        <v>0</v>
      </c>
      <c r="H3973" s="562"/>
      <c r="I3973" s="562"/>
      <c r="J3973" s="562"/>
    </row>
    <row r="3974" spans="1:10" x14ac:dyDescent="0.25">
      <c r="A3974" s="362"/>
      <c r="B3974" s="611">
        <v>44334</v>
      </c>
      <c r="C3974" s="362" t="s">
        <v>166</v>
      </c>
      <c r="D3974" s="562">
        <v>51207756</v>
      </c>
      <c r="E3974" s="562"/>
      <c r="F3974" s="562">
        <v>51207900</v>
      </c>
      <c r="G3974" s="562">
        <f t="shared" si="169"/>
        <v>-144</v>
      </c>
      <c r="H3974" s="562"/>
      <c r="I3974" s="562"/>
      <c r="J3974" s="562"/>
    </row>
    <row r="3975" spans="1:10" x14ac:dyDescent="0.25">
      <c r="A3975" s="362"/>
      <c r="B3975" s="611">
        <v>44334</v>
      </c>
      <c r="C3975" s="362" t="s">
        <v>3435</v>
      </c>
      <c r="D3975" s="562">
        <v>177938748</v>
      </c>
      <c r="E3975" s="562"/>
      <c r="F3975" s="562">
        <v>177938800</v>
      </c>
      <c r="G3975" s="562">
        <f t="shared" si="169"/>
        <v>-52</v>
      </c>
      <c r="H3975" s="562"/>
      <c r="I3975" s="562"/>
      <c r="J3975" s="562"/>
    </row>
    <row r="3976" spans="1:10" x14ac:dyDescent="0.25">
      <c r="A3976" s="362"/>
      <c r="B3976" s="611">
        <v>44334</v>
      </c>
      <c r="C3976" s="370" t="s">
        <v>85</v>
      </c>
      <c r="D3976" s="562">
        <v>45236400</v>
      </c>
      <c r="E3976" s="562"/>
      <c r="F3976" s="562">
        <v>45236400</v>
      </c>
      <c r="G3976" s="562">
        <f t="shared" si="169"/>
        <v>0</v>
      </c>
      <c r="H3976" s="562"/>
      <c r="I3976" s="562"/>
      <c r="J3976" s="562"/>
    </row>
    <row r="3977" spans="1:10" x14ac:dyDescent="0.25">
      <c r="A3977" s="532"/>
      <c r="B3977" s="532"/>
      <c r="C3977" s="532"/>
      <c r="D3977" s="564">
        <f>SUM(D3962:D3976)</f>
        <v>2233839008</v>
      </c>
      <c r="E3977" s="564">
        <f t="shared" ref="E3977:G3977" si="173">SUM(E3962:E3976)</f>
        <v>544742777</v>
      </c>
      <c r="F3977" s="564">
        <f t="shared" si="173"/>
        <v>2778582600</v>
      </c>
      <c r="G3977" s="564">
        <f t="shared" si="173"/>
        <v>-815</v>
      </c>
      <c r="H3977" s="564"/>
      <c r="I3977" s="564"/>
      <c r="J3977" s="564"/>
    </row>
    <row r="3978" spans="1:10" x14ac:dyDescent="0.25">
      <c r="A3978" s="362"/>
      <c r="B3978" s="611">
        <v>44335</v>
      </c>
      <c r="C3978" s="362" t="s">
        <v>86</v>
      </c>
      <c r="D3978" s="562">
        <v>148290184</v>
      </c>
      <c r="E3978" s="562">
        <v>8176517</v>
      </c>
      <c r="F3978" s="562">
        <v>156466700</v>
      </c>
      <c r="G3978" s="562">
        <f t="shared" si="169"/>
        <v>1</v>
      </c>
      <c r="H3978" s="562"/>
      <c r="I3978" s="562"/>
      <c r="J3978" s="562"/>
    </row>
    <row r="3979" spans="1:10" x14ac:dyDescent="0.25">
      <c r="A3979" s="362"/>
      <c r="B3979" s="611">
        <v>44335</v>
      </c>
      <c r="C3979" s="362" t="s">
        <v>87</v>
      </c>
      <c r="D3979" s="562">
        <v>219657183</v>
      </c>
      <c r="E3979" s="562">
        <v>320824378</v>
      </c>
      <c r="F3979" s="562">
        <v>540481700</v>
      </c>
      <c r="G3979" s="562">
        <f t="shared" si="169"/>
        <v>-139</v>
      </c>
      <c r="H3979" s="562"/>
      <c r="I3979" s="562"/>
      <c r="J3979" s="562"/>
    </row>
    <row r="3980" spans="1:10" x14ac:dyDescent="0.25">
      <c r="A3980" s="362"/>
      <c r="B3980" s="611">
        <v>44335</v>
      </c>
      <c r="C3980" s="362" t="s">
        <v>88</v>
      </c>
      <c r="D3980" s="562">
        <v>341315820</v>
      </c>
      <c r="E3980" s="562">
        <v>6278540</v>
      </c>
      <c r="F3980" s="562">
        <v>347594600</v>
      </c>
      <c r="G3980" s="562">
        <f t="shared" ref="G3980:G4043" si="174">D3980+E3980-F3980</f>
        <v>-240</v>
      </c>
      <c r="H3980" s="562"/>
      <c r="I3980" s="562"/>
      <c r="J3980" s="562"/>
    </row>
    <row r="3981" spans="1:10" x14ac:dyDescent="0.25">
      <c r="A3981" s="362"/>
      <c r="B3981" s="611">
        <v>44335</v>
      </c>
      <c r="C3981" s="362" t="s">
        <v>82</v>
      </c>
      <c r="D3981" s="562">
        <v>104055323</v>
      </c>
      <c r="E3981" s="562">
        <v>876700</v>
      </c>
      <c r="F3981" s="562">
        <v>104932100</v>
      </c>
      <c r="G3981" s="562">
        <f t="shared" si="174"/>
        <v>-77</v>
      </c>
      <c r="H3981" s="562"/>
      <c r="I3981" s="562"/>
      <c r="J3981" s="562"/>
    </row>
    <row r="3982" spans="1:10" x14ac:dyDescent="0.25">
      <c r="A3982" s="362"/>
      <c r="B3982" s="611">
        <v>44335</v>
      </c>
      <c r="C3982" s="362" t="s">
        <v>80</v>
      </c>
      <c r="D3982" s="562">
        <v>276456177</v>
      </c>
      <c r="E3982" s="562">
        <v>2185153</v>
      </c>
      <c r="F3982" s="562">
        <v>278641000</v>
      </c>
      <c r="G3982" s="562">
        <f t="shared" si="174"/>
        <v>330</v>
      </c>
      <c r="H3982" s="562"/>
      <c r="I3982" s="562"/>
      <c r="J3982" s="562"/>
    </row>
    <row r="3983" spans="1:10" x14ac:dyDescent="0.25">
      <c r="A3983" s="362"/>
      <c r="B3983" s="611">
        <v>44335</v>
      </c>
      <c r="C3983" s="362" t="s">
        <v>83</v>
      </c>
      <c r="D3983" s="562">
        <v>308741474</v>
      </c>
      <c r="E3983" s="562">
        <v>70741152</v>
      </c>
      <c r="F3983" s="562">
        <v>379482700</v>
      </c>
      <c r="G3983" s="562">
        <f t="shared" si="174"/>
        <v>-74</v>
      </c>
      <c r="H3983" s="562"/>
      <c r="I3983" s="562"/>
      <c r="J3983" s="562"/>
    </row>
    <row r="3984" spans="1:10" x14ac:dyDescent="0.25">
      <c r="A3984" s="362"/>
      <c r="B3984" s="611">
        <v>44335</v>
      </c>
      <c r="C3984" s="362" t="s">
        <v>78</v>
      </c>
      <c r="D3984" s="562">
        <v>114542103</v>
      </c>
      <c r="E3984" s="562">
        <v>1454797</v>
      </c>
      <c r="F3984" s="562">
        <v>115996900</v>
      </c>
      <c r="G3984" s="562">
        <f t="shared" si="174"/>
        <v>0</v>
      </c>
      <c r="H3984" s="562"/>
      <c r="I3984" s="562"/>
      <c r="J3984" s="562"/>
    </row>
    <row r="3985" spans="1:10" x14ac:dyDescent="0.25">
      <c r="A3985" s="362"/>
      <c r="B3985" s="611">
        <v>44335</v>
      </c>
      <c r="C3985" s="362" t="s">
        <v>141</v>
      </c>
      <c r="D3985" s="562">
        <v>76013387</v>
      </c>
      <c r="E3985" s="562">
        <v>3108807</v>
      </c>
      <c r="F3985" s="562">
        <v>79122200</v>
      </c>
      <c r="G3985" s="562">
        <f t="shared" si="174"/>
        <v>-6</v>
      </c>
      <c r="H3985" s="562"/>
      <c r="I3985" s="562"/>
      <c r="J3985" s="562"/>
    </row>
    <row r="3986" spans="1:10" x14ac:dyDescent="0.25">
      <c r="A3986" s="362"/>
      <c r="B3986" s="611">
        <v>44335</v>
      </c>
      <c r="C3986" s="362" t="s">
        <v>89</v>
      </c>
      <c r="D3986" s="562">
        <v>121069637</v>
      </c>
      <c r="E3986" s="562">
        <v>11122663</v>
      </c>
      <c r="F3986" s="562">
        <v>132192300</v>
      </c>
      <c r="G3986" s="562">
        <f t="shared" si="174"/>
        <v>0</v>
      </c>
      <c r="H3986" s="562"/>
      <c r="I3986" s="562"/>
      <c r="J3986" s="562"/>
    </row>
    <row r="3987" spans="1:10" x14ac:dyDescent="0.25">
      <c r="A3987" s="362"/>
      <c r="B3987" s="611">
        <v>44335</v>
      </c>
      <c r="C3987" s="362" t="s">
        <v>81</v>
      </c>
      <c r="D3987" s="562">
        <v>132121966</v>
      </c>
      <c r="E3987" s="562">
        <v>11810107</v>
      </c>
      <c r="F3987" s="562">
        <v>143932100</v>
      </c>
      <c r="G3987" s="562">
        <f t="shared" si="174"/>
        <v>-27</v>
      </c>
      <c r="H3987" s="562"/>
      <c r="I3987" s="562"/>
      <c r="J3987" s="562"/>
    </row>
    <row r="3988" spans="1:10" x14ac:dyDescent="0.25">
      <c r="A3988" s="362"/>
      <c r="B3988" s="611">
        <v>44335</v>
      </c>
      <c r="C3988" s="362" t="s">
        <v>84</v>
      </c>
      <c r="D3988" s="562">
        <v>304349296</v>
      </c>
      <c r="E3988" s="562">
        <v>11650243</v>
      </c>
      <c r="F3988" s="562">
        <v>315999600</v>
      </c>
      <c r="G3988" s="562">
        <f t="shared" si="174"/>
        <v>-61</v>
      </c>
      <c r="H3988" s="562"/>
      <c r="I3988" s="562"/>
      <c r="J3988" s="562"/>
    </row>
    <row r="3989" spans="1:10" x14ac:dyDescent="0.25">
      <c r="A3989" s="362"/>
      <c r="B3989" s="611">
        <v>44335</v>
      </c>
      <c r="C3989" s="362" t="s">
        <v>4751</v>
      </c>
      <c r="D3989" s="562">
        <v>233395150</v>
      </c>
      <c r="E3989" s="562">
        <v>15200350</v>
      </c>
      <c r="F3989" s="562">
        <v>248595500</v>
      </c>
      <c r="G3989" s="562">
        <f t="shared" si="174"/>
        <v>0</v>
      </c>
      <c r="H3989" s="562"/>
      <c r="I3989" s="562"/>
      <c r="J3989" s="562"/>
    </row>
    <row r="3990" spans="1:10" x14ac:dyDescent="0.25">
      <c r="A3990" s="362"/>
      <c r="B3990" s="611">
        <v>44335</v>
      </c>
      <c r="C3990" s="362" t="s">
        <v>166</v>
      </c>
      <c r="D3990" s="562">
        <v>102879311</v>
      </c>
      <c r="E3990" s="562"/>
      <c r="F3990" s="562">
        <v>102879300</v>
      </c>
      <c r="G3990" s="562">
        <f t="shared" si="174"/>
        <v>11</v>
      </c>
      <c r="H3990" s="562"/>
      <c r="I3990" s="562"/>
      <c r="J3990" s="562"/>
    </row>
    <row r="3991" spans="1:10" x14ac:dyDescent="0.25">
      <c r="A3991" s="362"/>
      <c r="B3991" s="611">
        <v>44335</v>
      </c>
      <c r="C3991" s="362" t="s">
        <v>3435</v>
      </c>
      <c r="D3991" s="562">
        <v>112378285</v>
      </c>
      <c r="E3991" s="562"/>
      <c r="F3991" s="562">
        <v>112378300</v>
      </c>
      <c r="G3991" s="562">
        <f t="shared" si="174"/>
        <v>-15</v>
      </c>
      <c r="H3991" s="562"/>
      <c r="I3991" s="562"/>
      <c r="J3991" s="562"/>
    </row>
    <row r="3992" spans="1:10" x14ac:dyDescent="0.25">
      <c r="A3992" s="362"/>
      <c r="B3992" s="611">
        <v>44335</v>
      </c>
      <c r="C3992" s="370" t="s">
        <v>85</v>
      </c>
      <c r="D3992" s="562">
        <v>47531800</v>
      </c>
      <c r="E3992" s="562"/>
      <c r="F3992" s="562">
        <v>47531800</v>
      </c>
      <c r="G3992" s="562">
        <f t="shared" si="174"/>
        <v>0</v>
      </c>
      <c r="H3992" s="562"/>
      <c r="I3992" s="562"/>
      <c r="J3992" s="562"/>
    </row>
    <row r="3993" spans="1:10" x14ac:dyDescent="0.25">
      <c r="A3993" s="532"/>
      <c r="B3993" s="532"/>
      <c r="C3993" s="532"/>
      <c r="D3993" s="564">
        <f>SUM(D3978:D3992)</f>
        <v>2642797096</v>
      </c>
      <c r="E3993" s="564">
        <f t="shared" ref="E3993:J3993" si="175">SUM(E3978:E3992)</f>
        <v>463429407</v>
      </c>
      <c r="F3993" s="564">
        <f t="shared" si="175"/>
        <v>3106226800</v>
      </c>
      <c r="G3993" s="564">
        <f t="shared" si="175"/>
        <v>-297</v>
      </c>
      <c r="H3993" s="564">
        <f t="shared" si="175"/>
        <v>0</v>
      </c>
      <c r="I3993" s="564">
        <f t="shared" si="175"/>
        <v>0</v>
      </c>
      <c r="J3993" s="564">
        <f t="shared" si="175"/>
        <v>0</v>
      </c>
    </row>
    <row r="3994" spans="1:10" x14ac:dyDescent="0.25">
      <c r="A3994" s="362"/>
      <c r="B3994" s="611">
        <v>44336</v>
      </c>
      <c r="C3994" s="362" t="s">
        <v>86</v>
      </c>
      <c r="D3994" s="562">
        <v>178082460</v>
      </c>
      <c r="E3994" s="562">
        <v>33363826</v>
      </c>
      <c r="F3994" s="562">
        <v>211446300</v>
      </c>
      <c r="G3994" s="562">
        <f t="shared" si="174"/>
        <v>-14</v>
      </c>
      <c r="H3994" s="562"/>
      <c r="I3994" s="562"/>
      <c r="J3994" s="562"/>
    </row>
    <row r="3995" spans="1:10" x14ac:dyDescent="0.25">
      <c r="A3995" s="362"/>
      <c r="B3995" s="611">
        <v>44336</v>
      </c>
      <c r="C3995" s="362" t="s">
        <v>87</v>
      </c>
      <c r="D3995" s="562">
        <v>98193867</v>
      </c>
      <c r="E3995" s="562">
        <v>21464916</v>
      </c>
      <c r="F3995" s="562">
        <v>119658900</v>
      </c>
      <c r="G3995" s="562">
        <f t="shared" si="174"/>
        <v>-117</v>
      </c>
      <c r="H3995" s="562"/>
      <c r="I3995" s="562"/>
      <c r="J3995" s="562"/>
    </row>
    <row r="3996" spans="1:10" x14ac:dyDescent="0.25">
      <c r="A3996" s="362"/>
      <c r="B3996" s="611">
        <v>44336</v>
      </c>
      <c r="C3996" s="362" t="s">
        <v>88</v>
      </c>
      <c r="D3996" s="562">
        <v>384123207</v>
      </c>
      <c r="E3996" s="562">
        <v>16055683</v>
      </c>
      <c r="F3996" s="562">
        <v>400178900</v>
      </c>
      <c r="G3996" s="562">
        <f t="shared" si="174"/>
        <v>-10</v>
      </c>
      <c r="H3996" s="562"/>
      <c r="I3996" s="562"/>
      <c r="J3996" s="562"/>
    </row>
    <row r="3997" spans="1:10" x14ac:dyDescent="0.25">
      <c r="A3997" s="362"/>
      <c r="B3997" s="611">
        <v>44336</v>
      </c>
      <c r="C3997" s="362" t="s">
        <v>82</v>
      </c>
      <c r="D3997" s="562">
        <v>145445015</v>
      </c>
      <c r="E3997" s="562">
        <v>828300</v>
      </c>
      <c r="F3997" s="562">
        <v>146273400</v>
      </c>
      <c r="G3997" s="562">
        <f t="shared" si="174"/>
        <v>-85</v>
      </c>
      <c r="H3997" s="562"/>
      <c r="I3997" s="562"/>
      <c r="J3997" s="562"/>
    </row>
    <row r="3998" spans="1:10" x14ac:dyDescent="0.25">
      <c r="A3998" s="362"/>
      <c r="B3998" s="611">
        <v>44336</v>
      </c>
      <c r="C3998" s="362" t="s">
        <v>80</v>
      </c>
      <c r="D3998" s="562">
        <v>162336961</v>
      </c>
      <c r="E3998" s="562"/>
      <c r="F3998" s="562">
        <v>162337000</v>
      </c>
      <c r="G3998" s="562">
        <f t="shared" si="174"/>
        <v>-39</v>
      </c>
      <c r="H3998" s="562"/>
      <c r="I3998" s="562"/>
      <c r="J3998" s="562"/>
    </row>
    <row r="3999" spans="1:10" x14ac:dyDescent="0.25">
      <c r="A3999" s="362"/>
      <c r="B3999" s="611">
        <v>44336</v>
      </c>
      <c r="C3999" s="362" t="s">
        <v>83</v>
      </c>
      <c r="D3999" s="562">
        <v>283528850</v>
      </c>
      <c r="E3999" s="562">
        <v>17987450</v>
      </c>
      <c r="F3999" s="562">
        <v>301516300</v>
      </c>
      <c r="G3999" s="562">
        <f t="shared" si="174"/>
        <v>0</v>
      </c>
      <c r="H3999" s="562"/>
      <c r="I3999" s="562"/>
      <c r="J3999" s="562"/>
    </row>
    <row r="4000" spans="1:10" x14ac:dyDescent="0.25">
      <c r="A4000" s="362"/>
      <c r="B4000" s="611">
        <v>44336</v>
      </c>
      <c r="C4000" s="362" t="s">
        <v>78</v>
      </c>
      <c r="D4000" s="562">
        <v>177073867</v>
      </c>
      <c r="E4000" s="562">
        <v>2608033</v>
      </c>
      <c r="F4000" s="562">
        <v>179681900</v>
      </c>
      <c r="G4000" s="562">
        <f t="shared" si="174"/>
        <v>0</v>
      </c>
      <c r="H4000" s="562"/>
      <c r="I4000" s="562"/>
      <c r="J4000" s="562"/>
    </row>
    <row r="4001" spans="1:10" x14ac:dyDescent="0.25">
      <c r="A4001" s="362"/>
      <c r="B4001" s="611">
        <v>44336</v>
      </c>
      <c r="C4001" s="362" t="s">
        <v>141</v>
      </c>
      <c r="D4001" s="562">
        <v>125717170</v>
      </c>
      <c r="E4001" s="562">
        <v>799123</v>
      </c>
      <c r="F4001" s="562">
        <v>126516300</v>
      </c>
      <c r="G4001" s="562">
        <f t="shared" si="174"/>
        <v>-7</v>
      </c>
      <c r="H4001" s="562"/>
      <c r="I4001" s="562"/>
      <c r="J4001" s="562"/>
    </row>
    <row r="4002" spans="1:10" x14ac:dyDescent="0.25">
      <c r="A4002" s="362"/>
      <c r="B4002" s="611">
        <v>44336</v>
      </c>
      <c r="C4002" s="362" t="s">
        <v>89</v>
      </c>
      <c r="D4002" s="562">
        <v>215419585</v>
      </c>
      <c r="E4002" s="562">
        <v>30394015</v>
      </c>
      <c r="F4002" s="562">
        <v>245813600</v>
      </c>
      <c r="G4002" s="562">
        <f t="shared" si="174"/>
        <v>0</v>
      </c>
      <c r="H4002" s="562"/>
      <c r="I4002" s="562"/>
      <c r="J4002" s="562"/>
    </row>
    <row r="4003" spans="1:10" x14ac:dyDescent="0.25">
      <c r="A4003" s="362"/>
      <c r="B4003" s="611">
        <v>44336</v>
      </c>
      <c r="C4003" s="362" t="s">
        <v>81</v>
      </c>
      <c r="D4003" s="562">
        <v>213593061</v>
      </c>
      <c r="E4003" s="562">
        <v>20959988</v>
      </c>
      <c r="F4003" s="562">
        <v>234553100</v>
      </c>
      <c r="G4003" s="562">
        <f t="shared" si="174"/>
        <v>-51</v>
      </c>
      <c r="H4003" s="562"/>
      <c r="I4003" s="562"/>
      <c r="J4003" s="562"/>
    </row>
    <row r="4004" spans="1:10" x14ac:dyDescent="0.25">
      <c r="A4004" s="362"/>
      <c r="B4004" s="611">
        <v>44336</v>
      </c>
      <c r="C4004" s="362" t="s">
        <v>84</v>
      </c>
      <c r="D4004" s="562">
        <v>371202631</v>
      </c>
      <c r="E4004" s="562">
        <v>7599654</v>
      </c>
      <c r="F4004" s="562">
        <v>378802300</v>
      </c>
      <c r="G4004" s="562">
        <f t="shared" si="174"/>
        <v>-15</v>
      </c>
      <c r="H4004" s="562"/>
      <c r="I4004" s="562"/>
      <c r="J4004" s="562"/>
    </row>
    <row r="4005" spans="1:10" x14ac:dyDescent="0.25">
      <c r="A4005" s="362"/>
      <c r="B4005" s="611">
        <v>44336</v>
      </c>
      <c r="C4005" s="362" t="s">
        <v>4751</v>
      </c>
      <c r="D4005" s="562">
        <v>297980064</v>
      </c>
      <c r="E4005" s="562">
        <v>9204636</v>
      </c>
      <c r="F4005" s="562">
        <v>307184500</v>
      </c>
      <c r="G4005" s="562">
        <f t="shared" si="174"/>
        <v>200</v>
      </c>
      <c r="H4005" s="562"/>
      <c r="I4005" s="562"/>
      <c r="J4005" s="562"/>
    </row>
    <row r="4006" spans="1:10" x14ac:dyDescent="0.25">
      <c r="A4006" s="362"/>
      <c r="B4006" s="611">
        <v>44336</v>
      </c>
      <c r="C4006" s="362" t="s">
        <v>166</v>
      </c>
      <c r="D4006" s="562">
        <v>89117046</v>
      </c>
      <c r="E4006" s="562"/>
      <c r="F4006" s="562">
        <v>89117100</v>
      </c>
      <c r="G4006" s="562">
        <f t="shared" si="174"/>
        <v>-54</v>
      </c>
      <c r="H4006" s="562"/>
      <c r="I4006" s="562"/>
      <c r="J4006" s="562"/>
    </row>
    <row r="4007" spans="1:10" x14ac:dyDescent="0.25">
      <c r="A4007" s="362"/>
      <c r="B4007" s="611">
        <v>44336</v>
      </c>
      <c r="C4007" s="362" t="s">
        <v>3435</v>
      </c>
      <c r="D4007" s="562">
        <v>1248257</v>
      </c>
      <c r="E4007" s="562"/>
      <c r="F4007" s="562">
        <v>1248300</v>
      </c>
      <c r="G4007" s="562">
        <f t="shared" si="174"/>
        <v>-43</v>
      </c>
      <c r="H4007" s="562"/>
      <c r="I4007" s="562"/>
      <c r="J4007" s="562"/>
    </row>
    <row r="4008" spans="1:10" x14ac:dyDescent="0.25">
      <c r="A4008" s="362"/>
      <c r="B4008" s="611">
        <v>44336</v>
      </c>
      <c r="C4008" s="370" t="s">
        <v>85</v>
      </c>
      <c r="D4008" s="562">
        <v>30332000</v>
      </c>
      <c r="E4008" s="562"/>
      <c r="F4008" s="562">
        <v>30332000</v>
      </c>
      <c r="G4008" s="562">
        <f t="shared" si="174"/>
        <v>0</v>
      </c>
      <c r="H4008" s="562"/>
      <c r="I4008" s="562"/>
      <c r="J4008" s="562"/>
    </row>
    <row r="4009" spans="1:10" x14ac:dyDescent="0.25">
      <c r="A4009" s="532"/>
      <c r="B4009" s="532"/>
      <c r="C4009" s="532"/>
      <c r="D4009" s="564">
        <f>SUM(D3994:D4008)</f>
        <v>2773394041</v>
      </c>
      <c r="E4009" s="564">
        <f t="shared" ref="E4009:G4009" si="176">SUM(E3994:E4008)</f>
        <v>161265624</v>
      </c>
      <c r="F4009" s="564">
        <f t="shared" si="176"/>
        <v>2934659900</v>
      </c>
      <c r="G4009" s="564">
        <f t="shared" si="176"/>
        <v>-235</v>
      </c>
      <c r="H4009" s="564"/>
      <c r="I4009" s="564"/>
      <c r="J4009" s="564"/>
    </row>
    <row r="4010" spans="1:10" x14ac:dyDescent="0.25">
      <c r="A4010" s="362"/>
      <c r="B4010" s="611">
        <v>44337</v>
      </c>
      <c r="C4010" s="362" t="s">
        <v>86</v>
      </c>
      <c r="D4010" s="562">
        <v>97831159</v>
      </c>
      <c r="E4010" s="562">
        <v>6469600</v>
      </c>
      <c r="F4010" s="562">
        <v>104300800</v>
      </c>
      <c r="G4010" s="562">
        <f t="shared" si="174"/>
        <v>-41</v>
      </c>
      <c r="H4010" s="562"/>
      <c r="I4010" s="562"/>
      <c r="J4010" s="562"/>
    </row>
    <row r="4011" spans="1:10" x14ac:dyDescent="0.25">
      <c r="A4011" s="362"/>
      <c r="B4011" s="611">
        <v>44337</v>
      </c>
      <c r="C4011" s="362" t="s">
        <v>87</v>
      </c>
      <c r="D4011" s="562">
        <v>294958135</v>
      </c>
      <c r="E4011" s="562">
        <v>10946644</v>
      </c>
      <c r="F4011" s="562">
        <v>305904800</v>
      </c>
      <c r="G4011" s="562">
        <f t="shared" si="174"/>
        <v>-21</v>
      </c>
      <c r="H4011" s="562"/>
      <c r="I4011" s="562"/>
      <c r="J4011" s="562"/>
    </row>
    <row r="4012" spans="1:10" x14ac:dyDescent="0.25">
      <c r="A4012" s="362"/>
      <c r="B4012" s="611">
        <v>44337</v>
      </c>
      <c r="C4012" s="362" t="s">
        <v>88</v>
      </c>
      <c r="D4012" s="562">
        <v>300550001</v>
      </c>
      <c r="E4012" s="562">
        <v>87059040</v>
      </c>
      <c r="F4012" s="562">
        <v>387609100</v>
      </c>
      <c r="G4012" s="562">
        <f t="shared" si="174"/>
        <v>-59</v>
      </c>
      <c r="H4012" s="562"/>
      <c r="I4012" s="562"/>
      <c r="J4012" s="562"/>
    </row>
    <row r="4013" spans="1:10" x14ac:dyDescent="0.25">
      <c r="A4013" s="362"/>
      <c r="B4013" s="611">
        <v>44337</v>
      </c>
      <c r="C4013" s="362" t="s">
        <v>82</v>
      </c>
      <c r="D4013" s="562">
        <v>61777228</v>
      </c>
      <c r="E4013" s="562">
        <v>5673763</v>
      </c>
      <c r="F4013" s="562">
        <v>67451100</v>
      </c>
      <c r="G4013" s="562">
        <f t="shared" si="174"/>
        <v>-109</v>
      </c>
      <c r="H4013" s="562"/>
      <c r="I4013" s="562"/>
      <c r="J4013" s="562"/>
    </row>
    <row r="4014" spans="1:10" x14ac:dyDescent="0.25">
      <c r="A4014" s="362"/>
      <c r="B4014" s="611">
        <v>44337</v>
      </c>
      <c r="C4014" s="362" t="s">
        <v>80</v>
      </c>
      <c r="D4014" s="562">
        <v>221285336</v>
      </c>
      <c r="E4014" s="562">
        <v>878741</v>
      </c>
      <c r="F4014" s="562">
        <v>222169900</v>
      </c>
      <c r="G4014" s="562">
        <f t="shared" si="174"/>
        <v>-5823</v>
      </c>
      <c r="H4014" s="562"/>
      <c r="I4014" s="562"/>
      <c r="J4014" s="562"/>
    </row>
    <row r="4015" spans="1:10" x14ac:dyDescent="0.25">
      <c r="A4015" s="362"/>
      <c r="B4015" s="611">
        <v>44337</v>
      </c>
      <c r="C4015" s="362" t="s">
        <v>83</v>
      </c>
      <c r="D4015" s="562">
        <v>330946548</v>
      </c>
      <c r="E4015" s="562">
        <v>3627334</v>
      </c>
      <c r="F4015" s="562">
        <v>334573900</v>
      </c>
      <c r="G4015" s="562">
        <f t="shared" si="174"/>
        <v>-18</v>
      </c>
      <c r="H4015" s="562"/>
      <c r="I4015" s="562"/>
      <c r="J4015" s="562"/>
    </row>
    <row r="4016" spans="1:10" x14ac:dyDescent="0.25">
      <c r="A4016" s="362"/>
      <c r="B4016" s="611">
        <v>44337</v>
      </c>
      <c r="C4016" s="362" t="s">
        <v>78</v>
      </c>
      <c r="D4016" s="562">
        <v>232584869</v>
      </c>
      <c r="E4016" s="562">
        <v>1115131</v>
      </c>
      <c r="F4016" s="562">
        <v>233700000</v>
      </c>
      <c r="G4016" s="562">
        <f t="shared" si="174"/>
        <v>0</v>
      </c>
      <c r="H4016" s="562"/>
      <c r="I4016" s="562"/>
      <c r="J4016" s="562"/>
    </row>
    <row r="4017" spans="1:10" x14ac:dyDescent="0.25">
      <c r="A4017" s="362"/>
      <c r="B4017" s="611">
        <v>44337</v>
      </c>
      <c r="C4017" s="362" t="s">
        <v>141</v>
      </c>
      <c r="D4017" s="562">
        <v>76160621</v>
      </c>
      <c r="E4017" s="562">
        <v>1417974</v>
      </c>
      <c r="F4017" s="562">
        <v>77578600</v>
      </c>
      <c r="G4017" s="562">
        <f t="shared" si="174"/>
        <v>-5</v>
      </c>
      <c r="H4017" s="562"/>
      <c r="I4017" s="562"/>
      <c r="J4017" s="562"/>
    </row>
    <row r="4018" spans="1:10" x14ac:dyDescent="0.25">
      <c r="A4018" s="362"/>
      <c r="B4018" s="611">
        <v>44337</v>
      </c>
      <c r="C4018" s="362" t="s">
        <v>89</v>
      </c>
      <c r="D4018" s="562">
        <v>195684373</v>
      </c>
      <c r="E4018" s="562">
        <v>33290227</v>
      </c>
      <c r="F4018" s="562">
        <v>228974600</v>
      </c>
      <c r="G4018" s="562">
        <f t="shared" si="174"/>
        <v>0</v>
      </c>
      <c r="H4018" s="562"/>
      <c r="I4018" s="562"/>
      <c r="J4018" s="562"/>
    </row>
    <row r="4019" spans="1:10" x14ac:dyDescent="0.25">
      <c r="A4019" s="362"/>
      <c r="B4019" s="611">
        <v>44337</v>
      </c>
      <c r="C4019" s="362" t="s">
        <v>81</v>
      </c>
      <c r="D4019" s="562">
        <v>138458561</v>
      </c>
      <c r="E4019" s="562">
        <v>12422745</v>
      </c>
      <c r="F4019" s="562">
        <v>150881300</v>
      </c>
      <c r="G4019" s="562">
        <f t="shared" si="174"/>
        <v>6</v>
      </c>
      <c r="H4019" s="562"/>
      <c r="I4019" s="562"/>
      <c r="J4019" s="562"/>
    </row>
    <row r="4020" spans="1:10" x14ac:dyDescent="0.25">
      <c r="A4020" s="362"/>
      <c r="B4020" s="611">
        <v>44337</v>
      </c>
      <c r="C4020" s="362" t="s">
        <v>84</v>
      </c>
      <c r="D4020" s="562">
        <v>329088899</v>
      </c>
      <c r="E4020" s="562">
        <v>6711981</v>
      </c>
      <c r="F4020" s="562">
        <v>335800500</v>
      </c>
      <c r="G4020" s="562">
        <f t="shared" si="174"/>
        <v>380</v>
      </c>
      <c r="H4020" s="562"/>
      <c r="I4020" s="562"/>
      <c r="J4020" s="562"/>
    </row>
    <row r="4021" spans="1:10" x14ac:dyDescent="0.25">
      <c r="A4021" s="362"/>
      <c r="B4021" s="611">
        <v>44337</v>
      </c>
      <c r="C4021" s="362" t="s">
        <v>4751</v>
      </c>
      <c r="D4021" s="562">
        <v>171463821</v>
      </c>
      <c r="E4021" s="562">
        <v>11892979</v>
      </c>
      <c r="F4021" s="562">
        <v>183356800</v>
      </c>
      <c r="G4021" s="562">
        <f t="shared" si="174"/>
        <v>0</v>
      </c>
      <c r="H4021" s="562"/>
      <c r="I4021" s="562"/>
      <c r="J4021" s="562"/>
    </row>
    <row r="4022" spans="1:10" x14ac:dyDescent="0.25">
      <c r="A4022" s="362"/>
      <c r="B4022" s="611">
        <v>44337</v>
      </c>
      <c r="C4022" s="362" t="s">
        <v>166</v>
      </c>
      <c r="D4022" s="562">
        <v>77742510</v>
      </c>
      <c r="E4022" s="562"/>
      <c r="F4022" s="562">
        <v>77742500</v>
      </c>
      <c r="G4022" s="562">
        <f t="shared" si="174"/>
        <v>10</v>
      </c>
      <c r="H4022" s="562"/>
      <c r="I4022" s="562"/>
      <c r="J4022" s="562"/>
    </row>
    <row r="4023" spans="1:10" x14ac:dyDescent="0.25">
      <c r="A4023" s="362"/>
      <c r="B4023" s="611">
        <v>44337</v>
      </c>
      <c r="C4023" s="362" t="s">
        <v>3435</v>
      </c>
      <c r="D4023" s="562">
        <v>191422066</v>
      </c>
      <c r="E4023" s="562"/>
      <c r="F4023" s="562">
        <v>191422100</v>
      </c>
      <c r="G4023" s="562">
        <f t="shared" si="174"/>
        <v>-34</v>
      </c>
      <c r="H4023" s="562"/>
      <c r="I4023" s="562"/>
      <c r="J4023" s="562"/>
    </row>
    <row r="4024" spans="1:10" x14ac:dyDescent="0.25">
      <c r="A4024" s="362"/>
      <c r="B4024" s="611">
        <v>44337</v>
      </c>
      <c r="C4024" s="370" t="s">
        <v>85</v>
      </c>
      <c r="D4024" s="562">
        <v>28569400</v>
      </c>
      <c r="E4024" s="562"/>
      <c r="F4024" s="562">
        <v>28569400</v>
      </c>
      <c r="G4024" s="562">
        <f t="shared" si="174"/>
        <v>0</v>
      </c>
      <c r="H4024" s="562"/>
      <c r="I4024" s="562"/>
      <c r="J4024" s="562"/>
    </row>
    <row r="4025" spans="1:10" x14ac:dyDescent="0.25">
      <c r="A4025" s="532"/>
      <c r="B4025" s="532"/>
      <c r="C4025" s="532"/>
      <c r="D4025" s="564">
        <f>SUM(D4010:D4024)</f>
        <v>2748523527</v>
      </c>
      <c r="E4025" s="564">
        <f t="shared" ref="E4025:G4025" si="177">SUM(E4010:E4024)</f>
        <v>181506159</v>
      </c>
      <c r="F4025" s="564">
        <f t="shared" si="177"/>
        <v>2930035400</v>
      </c>
      <c r="G4025" s="564">
        <f t="shared" si="177"/>
        <v>-5714</v>
      </c>
      <c r="H4025" s="564"/>
      <c r="I4025" s="564"/>
      <c r="J4025" s="564"/>
    </row>
    <row r="4026" spans="1:10" x14ac:dyDescent="0.25">
      <c r="A4026" s="362"/>
      <c r="B4026" s="611">
        <v>44338</v>
      </c>
      <c r="C4026" s="362" t="s">
        <v>86</v>
      </c>
      <c r="D4026" s="562">
        <v>64523194</v>
      </c>
      <c r="E4026" s="562">
        <v>182771150</v>
      </c>
      <c r="F4026" s="562">
        <v>247294600</v>
      </c>
      <c r="G4026" s="562">
        <f t="shared" si="174"/>
        <v>-256</v>
      </c>
      <c r="H4026" s="562"/>
      <c r="I4026" s="562"/>
      <c r="J4026" s="562"/>
    </row>
    <row r="4027" spans="1:10" x14ac:dyDescent="0.25">
      <c r="A4027" s="362"/>
      <c r="B4027" s="611">
        <v>44338</v>
      </c>
      <c r="C4027" s="362" t="s">
        <v>87</v>
      </c>
      <c r="D4027" s="562">
        <v>323828268</v>
      </c>
      <c r="E4027" s="562">
        <v>8397154</v>
      </c>
      <c r="F4027" s="562">
        <v>332225300</v>
      </c>
      <c r="G4027" s="562">
        <f t="shared" si="174"/>
        <v>122</v>
      </c>
      <c r="H4027" s="562"/>
      <c r="I4027" s="562"/>
      <c r="J4027" s="562"/>
    </row>
    <row r="4028" spans="1:10" x14ac:dyDescent="0.25">
      <c r="A4028" s="362"/>
      <c r="B4028" s="611">
        <v>44338</v>
      </c>
      <c r="C4028" s="362" t="s">
        <v>88</v>
      </c>
      <c r="D4028" s="562">
        <v>189830712</v>
      </c>
      <c r="E4028" s="562">
        <v>47469721</v>
      </c>
      <c r="F4028" s="562">
        <v>237300500</v>
      </c>
      <c r="G4028" s="562">
        <f t="shared" si="174"/>
        <v>-67</v>
      </c>
      <c r="H4028" s="562"/>
      <c r="I4028" s="562"/>
      <c r="J4028" s="562"/>
    </row>
    <row r="4029" spans="1:10" x14ac:dyDescent="0.25">
      <c r="A4029" s="362"/>
      <c r="B4029" s="611">
        <v>44338</v>
      </c>
      <c r="C4029" s="362" t="s">
        <v>82</v>
      </c>
      <c r="D4029" s="562">
        <v>32843742</v>
      </c>
      <c r="E4029" s="562">
        <v>4562622</v>
      </c>
      <c r="F4029" s="562">
        <v>37406400</v>
      </c>
      <c r="G4029" s="562">
        <f t="shared" si="174"/>
        <v>-36</v>
      </c>
      <c r="H4029" s="562"/>
      <c r="I4029" s="562"/>
      <c r="J4029" s="562"/>
    </row>
    <row r="4030" spans="1:10" x14ac:dyDescent="0.25">
      <c r="A4030" s="362"/>
      <c r="B4030" s="611">
        <v>44338</v>
      </c>
      <c r="C4030" s="362" t="s">
        <v>80</v>
      </c>
      <c r="D4030" s="562">
        <v>263096593</v>
      </c>
      <c r="E4030" s="562">
        <v>1356107</v>
      </c>
      <c r="F4030" s="562">
        <v>264452700</v>
      </c>
      <c r="G4030" s="562">
        <f t="shared" si="174"/>
        <v>0</v>
      </c>
      <c r="H4030" s="562"/>
      <c r="I4030" s="562"/>
      <c r="J4030" s="562"/>
    </row>
    <row r="4031" spans="1:10" x14ac:dyDescent="0.25">
      <c r="A4031" s="362"/>
      <c r="B4031" s="611">
        <v>44338</v>
      </c>
      <c r="C4031" s="362" t="s">
        <v>83</v>
      </c>
      <c r="D4031" s="562">
        <v>221105839</v>
      </c>
      <c r="E4031" s="562">
        <v>16864173</v>
      </c>
      <c r="F4031" s="562">
        <v>237970000</v>
      </c>
      <c r="G4031" s="562">
        <f t="shared" si="174"/>
        <v>12</v>
      </c>
      <c r="H4031" s="562"/>
      <c r="I4031" s="562"/>
      <c r="J4031" s="562"/>
    </row>
    <row r="4032" spans="1:10" x14ac:dyDescent="0.25">
      <c r="A4032" s="362"/>
      <c r="B4032" s="611">
        <v>44338</v>
      </c>
      <c r="C4032" s="362" t="s">
        <v>78</v>
      </c>
      <c r="D4032" s="562">
        <v>149147573</v>
      </c>
      <c r="E4032" s="562">
        <v>4729427</v>
      </c>
      <c r="F4032" s="562">
        <v>153877000</v>
      </c>
      <c r="G4032" s="562">
        <f t="shared" si="174"/>
        <v>0</v>
      </c>
      <c r="H4032" s="562"/>
      <c r="I4032" s="562"/>
      <c r="J4032" s="562"/>
    </row>
    <row r="4033" spans="1:10" x14ac:dyDescent="0.25">
      <c r="A4033" s="362"/>
      <c r="B4033" s="611">
        <v>44338</v>
      </c>
      <c r="C4033" s="362" t="s">
        <v>141</v>
      </c>
      <c r="D4033" s="562">
        <v>39467884</v>
      </c>
      <c r="E4033" s="562">
        <v>114416</v>
      </c>
      <c r="F4033" s="562">
        <v>39582300</v>
      </c>
      <c r="G4033" s="562">
        <f t="shared" si="174"/>
        <v>0</v>
      </c>
      <c r="H4033" s="562"/>
      <c r="I4033" s="562"/>
      <c r="J4033" s="562"/>
    </row>
    <row r="4034" spans="1:10" x14ac:dyDescent="0.25">
      <c r="A4034" s="362"/>
      <c r="B4034" s="611">
        <v>44338</v>
      </c>
      <c r="C4034" s="362" t="s">
        <v>89</v>
      </c>
      <c r="D4034" s="562">
        <v>86859921</v>
      </c>
      <c r="E4034" s="562">
        <v>57886359</v>
      </c>
      <c r="F4034" s="562">
        <v>144746300</v>
      </c>
      <c r="G4034" s="562">
        <f t="shared" si="174"/>
        <v>-20</v>
      </c>
      <c r="H4034" s="562"/>
      <c r="I4034" s="562"/>
      <c r="J4034" s="562"/>
    </row>
    <row r="4035" spans="1:10" x14ac:dyDescent="0.25">
      <c r="A4035" s="362"/>
      <c r="B4035" s="611">
        <v>44338</v>
      </c>
      <c r="C4035" s="362" t="s">
        <v>81</v>
      </c>
      <c r="D4035" s="562">
        <v>134150010</v>
      </c>
      <c r="E4035" s="562">
        <v>7838166</v>
      </c>
      <c r="F4035" s="562">
        <f>103334800+38653400</f>
        <v>141988200</v>
      </c>
      <c r="G4035" s="562">
        <f t="shared" si="174"/>
        <v>-24</v>
      </c>
      <c r="H4035" s="562"/>
      <c r="I4035" s="562"/>
      <c r="J4035" s="562"/>
    </row>
    <row r="4036" spans="1:10" x14ac:dyDescent="0.25">
      <c r="A4036" s="362"/>
      <c r="B4036" s="611">
        <v>44338</v>
      </c>
      <c r="C4036" s="362" t="s">
        <v>84</v>
      </c>
      <c r="D4036" s="562">
        <v>205891978</v>
      </c>
      <c r="E4036" s="562">
        <v>7768214</v>
      </c>
      <c r="F4036" s="562">
        <v>213660200</v>
      </c>
      <c r="G4036" s="562">
        <f t="shared" si="174"/>
        <v>-8</v>
      </c>
      <c r="H4036" s="562"/>
      <c r="I4036" s="562"/>
      <c r="J4036" s="562"/>
    </row>
    <row r="4037" spans="1:10" x14ac:dyDescent="0.25">
      <c r="A4037" s="362"/>
      <c r="B4037" s="611">
        <v>44338</v>
      </c>
      <c r="C4037" s="362" t="s">
        <v>4751</v>
      </c>
      <c r="D4037" s="562">
        <v>473494811</v>
      </c>
      <c r="E4037" s="562">
        <v>16325289</v>
      </c>
      <c r="F4037" s="562">
        <v>489820100</v>
      </c>
      <c r="G4037" s="562">
        <f t="shared" si="174"/>
        <v>0</v>
      </c>
      <c r="H4037" s="562"/>
      <c r="I4037" s="562"/>
      <c r="J4037" s="562"/>
    </row>
    <row r="4038" spans="1:10" x14ac:dyDescent="0.25">
      <c r="A4038" s="362"/>
      <c r="B4038" s="611">
        <v>44338</v>
      </c>
      <c r="C4038" s="362" t="s">
        <v>166</v>
      </c>
      <c r="D4038" s="562"/>
      <c r="E4038" s="562"/>
      <c r="F4038" s="562"/>
      <c r="G4038" s="562">
        <f t="shared" si="174"/>
        <v>0</v>
      </c>
      <c r="H4038" s="562"/>
      <c r="I4038" s="562"/>
      <c r="J4038" s="562"/>
    </row>
    <row r="4039" spans="1:10" x14ac:dyDescent="0.25">
      <c r="A4039" s="362"/>
      <c r="B4039" s="611">
        <v>44338</v>
      </c>
      <c r="C4039" s="362" t="s">
        <v>3435</v>
      </c>
      <c r="D4039" s="562"/>
      <c r="E4039" s="562"/>
      <c r="F4039" s="562"/>
      <c r="G4039" s="562">
        <f t="shared" si="174"/>
        <v>0</v>
      </c>
      <c r="H4039" s="562"/>
      <c r="I4039" s="562"/>
      <c r="J4039" s="562"/>
    </row>
    <row r="4040" spans="1:10" x14ac:dyDescent="0.25">
      <c r="A4040" s="362"/>
      <c r="B4040" s="611">
        <v>44338</v>
      </c>
      <c r="C4040" s="370" t="s">
        <v>85</v>
      </c>
      <c r="D4040" s="562">
        <v>15948400</v>
      </c>
      <c r="E4040" s="562"/>
      <c r="F4040" s="562">
        <v>15948400</v>
      </c>
      <c r="G4040" s="562">
        <f t="shared" si="174"/>
        <v>0</v>
      </c>
      <c r="H4040" s="562"/>
      <c r="I4040" s="562"/>
      <c r="J4040" s="562"/>
    </row>
    <row r="4041" spans="1:10" x14ac:dyDescent="0.25">
      <c r="A4041" s="532"/>
      <c r="B4041" s="532"/>
      <c r="C4041" s="532"/>
      <c r="D4041" s="564">
        <f>SUM(D4026:D4040)</f>
        <v>2200188925</v>
      </c>
      <c r="E4041" s="564">
        <f t="shared" ref="E4041:G4041" si="178">SUM(E4026:E4040)</f>
        <v>356082798</v>
      </c>
      <c r="F4041" s="564">
        <f t="shared" si="178"/>
        <v>2556272000</v>
      </c>
      <c r="G4041" s="564">
        <f t="shared" si="178"/>
        <v>-277</v>
      </c>
      <c r="H4041" s="564"/>
      <c r="I4041" s="564"/>
      <c r="J4041" s="564"/>
    </row>
    <row r="4042" spans="1:10" x14ac:dyDescent="0.25">
      <c r="A4042" s="362"/>
      <c r="B4042" s="611">
        <v>44340</v>
      </c>
      <c r="C4042" s="362" t="s">
        <v>86</v>
      </c>
      <c r="D4042" s="562">
        <v>74671947</v>
      </c>
      <c r="E4042" s="562">
        <v>30042670</v>
      </c>
      <c r="F4042" s="562">
        <v>104714600</v>
      </c>
      <c r="G4042" s="562">
        <f t="shared" si="174"/>
        <v>17</v>
      </c>
      <c r="H4042" s="562"/>
      <c r="I4042" s="562"/>
      <c r="J4042" s="562"/>
    </row>
    <row r="4043" spans="1:10" x14ac:dyDescent="0.25">
      <c r="A4043" s="362"/>
      <c r="B4043" s="611">
        <v>44340</v>
      </c>
      <c r="C4043" s="362" t="s">
        <v>87</v>
      </c>
      <c r="D4043" s="562">
        <v>161413408</v>
      </c>
      <c r="E4043" s="562">
        <v>55235039</v>
      </c>
      <c r="F4043" s="562">
        <v>216648500</v>
      </c>
      <c r="G4043" s="562">
        <f t="shared" si="174"/>
        <v>-53</v>
      </c>
      <c r="H4043" s="562"/>
      <c r="I4043" s="562"/>
      <c r="J4043" s="562"/>
    </row>
    <row r="4044" spans="1:10" x14ac:dyDescent="0.25">
      <c r="A4044" s="362"/>
      <c r="B4044" s="611">
        <v>44340</v>
      </c>
      <c r="C4044" s="362" t="s">
        <v>88</v>
      </c>
      <c r="D4044" s="562">
        <v>323965240</v>
      </c>
      <c r="E4044" s="562">
        <v>17666394</v>
      </c>
      <c r="F4044" s="562">
        <v>341631700</v>
      </c>
      <c r="G4044" s="562">
        <f t="shared" ref="G4044:G4107" si="179">D4044+E4044-F4044</f>
        <v>-66</v>
      </c>
      <c r="H4044" s="562"/>
      <c r="I4044" s="562"/>
      <c r="J4044" s="562"/>
    </row>
    <row r="4045" spans="1:10" x14ac:dyDescent="0.25">
      <c r="A4045" s="362"/>
      <c r="B4045" s="611">
        <v>44340</v>
      </c>
      <c r="C4045" s="362" t="s">
        <v>82</v>
      </c>
      <c r="D4045" s="562">
        <v>31835046</v>
      </c>
      <c r="E4045" s="562">
        <v>3700199</v>
      </c>
      <c r="F4045" s="562">
        <v>35535300</v>
      </c>
      <c r="G4045" s="562">
        <f t="shared" si="179"/>
        <v>-55</v>
      </c>
      <c r="H4045" s="562"/>
      <c r="I4045" s="562"/>
      <c r="J4045" s="562"/>
    </row>
    <row r="4046" spans="1:10" x14ac:dyDescent="0.25">
      <c r="A4046" s="362"/>
      <c r="B4046" s="611">
        <v>44340</v>
      </c>
      <c r="C4046" s="362" t="s">
        <v>80</v>
      </c>
      <c r="D4046" s="562">
        <v>217825263</v>
      </c>
      <c r="E4046" s="562"/>
      <c r="F4046" s="562">
        <v>217847700</v>
      </c>
      <c r="G4046" s="562">
        <f t="shared" si="179"/>
        <v>-22437</v>
      </c>
      <c r="H4046" s="562"/>
      <c r="I4046" s="562"/>
      <c r="J4046" s="562"/>
    </row>
    <row r="4047" spans="1:10" x14ac:dyDescent="0.25">
      <c r="A4047" s="362"/>
      <c r="B4047" s="611">
        <v>44340</v>
      </c>
      <c r="C4047" s="362" t="s">
        <v>83</v>
      </c>
      <c r="D4047" s="562">
        <v>297842483</v>
      </c>
      <c r="E4047" s="562">
        <v>2101617</v>
      </c>
      <c r="F4047" s="562">
        <v>299944100</v>
      </c>
      <c r="G4047" s="562">
        <f t="shared" si="179"/>
        <v>0</v>
      </c>
      <c r="H4047" s="562"/>
      <c r="I4047" s="562"/>
      <c r="J4047" s="562"/>
    </row>
    <row r="4048" spans="1:10" x14ac:dyDescent="0.25">
      <c r="A4048" s="362"/>
      <c r="B4048" s="611">
        <v>44340</v>
      </c>
      <c r="C4048" s="362" t="s">
        <v>78</v>
      </c>
      <c r="D4048" s="562">
        <v>118962753</v>
      </c>
      <c r="E4048" s="562">
        <v>1080147</v>
      </c>
      <c r="F4048" s="562">
        <v>120042900</v>
      </c>
      <c r="G4048" s="562">
        <f t="shared" si="179"/>
        <v>0</v>
      </c>
      <c r="H4048" s="562"/>
      <c r="I4048" s="562"/>
      <c r="J4048" s="562"/>
    </row>
    <row r="4049" spans="1:10" x14ac:dyDescent="0.25">
      <c r="A4049" s="362"/>
      <c r="B4049" s="611">
        <v>44340</v>
      </c>
      <c r="C4049" s="362" t="s">
        <v>141</v>
      </c>
      <c r="D4049" s="562">
        <v>78019593</v>
      </c>
      <c r="E4049" s="562">
        <v>9610291</v>
      </c>
      <c r="F4049" s="562">
        <v>87629900</v>
      </c>
      <c r="G4049" s="562">
        <f t="shared" si="179"/>
        <v>-16</v>
      </c>
      <c r="H4049" s="562"/>
      <c r="I4049" s="562"/>
      <c r="J4049" s="562"/>
    </row>
    <row r="4050" spans="1:10" x14ac:dyDescent="0.25">
      <c r="A4050" s="362"/>
      <c r="B4050" s="611">
        <v>44340</v>
      </c>
      <c r="C4050" s="362" t="s">
        <v>89</v>
      </c>
      <c r="D4050" s="562">
        <v>109099478</v>
      </c>
      <c r="E4050" s="562">
        <v>7644922</v>
      </c>
      <c r="F4050" s="562">
        <v>116744400</v>
      </c>
      <c r="G4050" s="562">
        <f t="shared" si="179"/>
        <v>0</v>
      </c>
      <c r="H4050" s="562"/>
      <c r="I4050" s="562"/>
      <c r="J4050" s="562"/>
    </row>
    <row r="4051" spans="1:10" x14ac:dyDescent="0.25">
      <c r="A4051" s="362"/>
      <c r="B4051" s="611">
        <v>44340</v>
      </c>
      <c r="C4051" s="362" t="s">
        <v>81</v>
      </c>
      <c r="D4051" s="562">
        <v>142946706</v>
      </c>
      <c r="E4051" s="562">
        <v>15085427</v>
      </c>
      <c r="F4051" s="562">
        <v>158032200</v>
      </c>
      <c r="G4051" s="562">
        <f t="shared" si="179"/>
        <v>-67</v>
      </c>
      <c r="H4051" s="562"/>
      <c r="I4051" s="562"/>
      <c r="J4051" s="562"/>
    </row>
    <row r="4052" spans="1:10" x14ac:dyDescent="0.25">
      <c r="A4052" s="362"/>
      <c r="B4052" s="611">
        <v>44340</v>
      </c>
      <c r="C4052" s="362" t="s">
        <v>84</v>
      </c>
      <c r="D4052" s="562">
        <v>138280262</v>
      </c>
      <c r="E4052" s="562">
        <v>24495714</v>
      </c>
      <c r="F4052" s="562">
        <v>162776100</v>
      </c>
      <c r="G4052" s="562">
        <f t="shared" si="179"/>
        <v>-124</v>
      </c>
      <c r="H4052" s="562"/>
      <c r="I4052" s="562"/>
      <c r="J4052" s="562"/>
    </row>
    <row r="4053" spans="1:10" x14ac:dyDescent="0.25">
      <c r="A4053" s="362"/>
      <c r="B4053" s="611">
        <v>44340</v>
      </c>
      <c r="C4053" s="362" t="s">
        <v>4751</v>
      </c>
      <c r="D4053" s="562">
        <v>184155617</v>
      </c>
      <c r="E4053" s="562">
        <v>8910083</v>
      </c>
      <c r="F4053" s="562">
        <v>193065900</v>
      </c>
      <c r="G4053" s="562">
        <f t="shared" si="179"/>
        <v>-200</v>
      </c>
      <c r="H4053" s="562"/>
      <c r="I4053" s="562"/>
      <c r="J4053" s="562"/>
    </row>
    <row r="4054" spans="1:10" x14ac:dyDescent="0.25">
      <c r="A4054" s="362"/>
      <c r="B4054" s="611">
        <v>44340</v>
      </c>
      <c r="C4054" s="362" t="s">
        <v>166</v>
      </c>
      <c r="D4054" s="562">
        <v>66326997</v>
      </c>
      <c r="E4054" s="562"/>
      <c r="F4054" s="562">
        <v>66327000</v>
      </c>
      <c r="G4054" s="562">
        <f t="shared" si="179"/>
        <v>-3</v>
      </c>
      <c r="H4054" s="562"/>
      <c r="I4054" s="562"/>
      <c r="J4054" s="562"/>
    </row>
    <row r="4055" spans="1:10" x14ac:dyDescent="0.25">
      <c r="A4055" s="362"/>
      <c r="B4055" s="611">
        <v>44340</v>
      </c>
      <c r="C4055" s="362" t="s">
        <v>3435</v>
      </c>
      <c r="D4055" s="562">
        <v>29700848</v>
      </c>
      <c r="E4055" s="562"/>
      <c r="F4055" s="562">
        <v>29700900</v>
      </c>
      <c r="G4055" s="562">
        <f t="shared" si="179"/>
        <v>-52</v>
      </c>
      <c r="H4055" s="562"/>
      <c r="I4055" s="562"/>
      <c r="J4055" s="562"/>
    </row>
    <row r="4056" spans="1:10" x14ac:dyDescent="0.25">
      <c r="A4056" s="362"/>
      <c r="B4056" s="611">
        <v>44340</v>
      </c>
      <c r="C4056" s="370" t="s">
        <v>85</v>
      </c>
      <c r="D4056" s="562">
        <v>69075400</v>
      </c>
      <c r="E4056" s="562"/>
      <c r="F4056" s="562">
        <v>69075400</v>
      </c>
      <c r="G4056" s="562">
        <f t="shared" si="179"/>
        <v>0</v>
      </c>
      <c r="H4056" s="562"/>
      <c r="I4056" s="562"/>
      <c r="J4056" s="562"/>
    </row>
    <row r="4057" spans="1:10" x14ac:dyDescent="0.25">
      <c r="A4057" s="532"/>
      <c r="B4057" s="532"/>
      <c r="C4057" s="532"/>
      <c r="D4057" s="564">
        <f>SUM(D4042:D4056)</f>
        <v>2044121041</v>
      </c>
      <c r="E4057" s="564">
        <f t="shared" ref="E4057:G4057" si="180">SUM(E4042:E4056)</f>
        <v>175572503</v>
      </c>
      <c r="F4057" s="564">
        <f t="shared" si="180"/>
        <v>2219716600</v>
      </c>
      <c r="G4057" s="564">
        <f t="shared" si="180"/>
        <v>-23056</v>
      </c>
      <c r="H4057" s="564"/>
      <c r="I4057" s="564"/>
      <c r="J4057" s="564"/>
    </row>
    <row r="4058" spans="1:10" x14ac:dyDescent="0.25">
      <c r="A4058" s="362"/>
      <c r="B4058" s="611">
        <v>44341</v>
      </c>
      <c r="C4058" s="362" t="s">
        <v>86</v>
      </c>
      <c r="D4058" s="562">
        <v>37350630</v>
      </c>
      <c r="E4058" s="562">
        <v>101295324</v>
      </c>
      <c r="F4058" s="562">
        <v>138646000</v>
      </c>
      <c r="G4058" s="562">
        <f t="shared" si="179"/>
        <v>-46</v>
      </c>
      <c r="H4058" s="562"/>
      <c r="I4058" s="562"/>
      <c r="J4058" s="562"/>
    </row>
    <row r="4059" spans="1:10" x14ac:dyDescent="0.25">
      <c r="A4059" s="362"/>
      <c r="B4059" s="611">
        <v>44341</v>
      </c>
      <c r="C4059" s="362" t="s">
        <v>87</v>
      </c>
      <c r="D4059" s="562">
        <v>146306143</v>
      </c>
      <c r="E4059" s="562">
        <v>126146582</v>
      </c>
      <c r="F4059" s="562">
        <v>272452300</v>
      </c>
      <c r="G4059" s="562">
        <f t="shared" si="179"/>
        <v>425</v>
      </c>
      <c r="H4059" s="562"/>
      <c r="I4059" s="562"/>
      <c r="J4059" s="562"/>
    </row>
    <row r="4060" spans="1:10" x14ac:dyDescent="0.25">
      <c r="A4060" s="362"/>
      <c r="B4060" s="611">
        <v>44341</v>
      </c>
      <c r="C4060" s="362" t="s">
        <v>88</v>
      </c>
      <c r="D4060" s="562">
        <v>391752145</v>
      </c>
      <c r="E4060" s="562">
        <v>7507799</v>
      </c>
      <c r="F4060" s="562">
        <v>399260000</v>
      </c>
      <c r="G4060" s="562">
        <f t="shared" si="179"/>
        <v>-56</v>
      </c>
      <c r="H4060" s="562"/>
      <c r="I4060" s="562"/>
      <c r="J4060" s="562"/>
    </row>
    <row r="4061" spans="1:10" x14ac:dyDescent="0.25">
      <c r="A4061" s="362"/>
      <c r="B4061" s="611">
        <v>44341</v>
      </c>
      <c r="C4061" s="362" t="s">
        <v>82</v>
      </c>
      <c r="D4061" s="562">
        <v>39826124</v>
      </c>
      <c r="E4061" s="562">
        <v>1014200</v>
      </c>
      <c r="F4061" s="562">
        <v>40840400</v>
      </c>
      <c r="G4061" s="562">
        <f t="shared" si="179"/>
        <v>-76</v>
      </c>
      <c r="H4061" s="562"/>
      <c r="I4061" s="562"/>
      <c r="J4061" s="562"/>
    </row>
    <row r="4062" spans="1:10" x14ac:dyDescent="0.25">
      <c r="A4062" s="362"/>
      <c r="B4062" s="611">
        <v>44341</v>
      </c>
      <c r="C4062" s="362" t="s">
        <v>80</v>
      </c>
      <c r="D4062" s="562">
        <v>500544900</v>
      </c>
      <c r="E4062" s="562">
        <v>21256800</v>
      </c>
      <c r="F4062" s="562">
        <v>521801700</v>
      </c>
      <c r="G4062" s="562">
        <f t="shared" si="179"/>
        <v>0</v>
      </c>
      <c r="H4062" s="562"/>
      <c r="I4062" s="562"/>
      <c r="J4062" s="562"/>
    </row>
    <row r="4063" spans="1:10" x14ac:dyDescent="0.25">
      <c r="A4063" s="362"/>
      <c r="B4063" s="611">
        <v>44341</v>
      </c>
      <c r="C4063" s="362" t="s">
        <v>83</v>
      </c>
      <c r="D4063" s="562">
        <v>285712502</v>
      </c>
      <c r="E4063" s="562">
        <v>125969722</v>
      </c>
      <c r="F4063" s="562">
        <v>411682300</v>
      </c>
      <c r="G4063" s="562">
        <f t="shared" si="179"/>
        <v>-76</v>
      </c>
      <c r="H4063" s="562"/>
      <c r="I4063" s="562"/>
      <c r="J4063" s="562"/>
    </row>
    <row r="4064" spans="1:10" x14ac:dyDescent="0.25">
      <c r="A4064" s="362"/>
      <c r="B4064" s="611">
        <v>44341</v>
      </c>
      <c r="C4064" s="362" t="s">
        <v>78</v>
      </c>
      <c r="D4064" s="562">
        <v>102965420</v>
      </c>
      <c r="E4064" s="562">
        <v>3203880</v>
      </c>
      <c r="F4064" s="562">
        <v>106169300</v>
      </c>
      <c r="G4064" s="562">
        <f t="shared" si="179"/>
        <v>0</v>
      </c>
      <c r="H4064" s="562"/>
      <c r="I4064" s="562"/>
      <c r="J4064" s="562"/>
    </row>
    <row r="4065" spans="1:10" x14ac:dyDescent="0.25">
      <c r="A4065" s="362"/>
      <c r="B4065" s="611">
        <v>44341</v>
      </c>
      <c r="C4065" s="362" t="s">
        <v>141</v>
      </c>
      <c r="D4065" s="562">
        <v>47939053</v>
      </c>
      <c r="E4065" s="562">
        <v>1132800</v>
      </c>
      <c r="F4065" s="562">
        <v>49071900</v>
      </c>
      <c r="G4065" s="562">
        <f t="shared" si="179"/>
        <v>-47</v>
      </c>
      <c r="H4065" s="562"/>
      <c r="I4065" s="562"/>
      <c r="J4065" s="562"/>
    </row>
    <row r="4066" spans="1:10" x14ac:dyDescent="0.25">
      <c r="A4066" s="362"/>
      <c r="B4066" s="611">
        <v>44341</v>
      </c>
      <c r="C4066" s="362" t="s">
        <v>89</v>
      </c>
      <c r="D4066" s="562">
        <v>112127019</v>
      </c>
      <c r="E4066" s="562">
        <v>110707781</v>
      </c>
      <c r="F4066" s="562">
        <v>222834800</v>
      </c>
      <c r="G4066" s="562">
        <f t="shared" si="179"/>
        <v>0</v>
      </c>
      <c r="H4066" s="562"/>
      <c r="I4066" s="562"/>
      <c r="J4066" s="562"/>
    </row>
    <row r="4067" spans="1:10" x14ac:dyDescent="0.25">
      <c r="A4067" s="362"/>
      <c r="B4067" s="611">
        <v>44341</v>
      </c>
      <c r="C4067" s="362" t="s">
        <v>81</v>
      </c>
      <c r="D4067" s="562">
        <v>49113003</v>
      </c>
      <c r="E4067" s="562">
        <v>52958501</v>
      </c>
      <c r="F4067" s="562">
        <v>102071500</v>
      </c>
      <c r="G4067" s="562">
        <f t="shared" si="179"/>
        <v>4</v>
      </c>
      <c r="H4067" s="562"/>
      <c r="I4067" s="562"/>
      <c r="J4067" s="562"/>
    </row>
    <row r="4068" spans="1:10" x14ac:dyDescent="0.25">
      <c r="A4068" s="362"/>
      <c r="B4068" s="611">
        <v>44341</v>
      </c>
      <c r="C4068" s="362" t="s">
        <v>84</v>
      </c>
      <c r="D4068" s="562">
        <v>166715998</v>
      </c>
      <c r="E4068" s="562">
        <v>93029599</v>
      </c>
      <c r="F4068" s="562">
        <v>259745600</v>
      </c>
      <c r="G4068" s="562">
        <f t="shared" si="179"/>
        <v>-3</v>
      </c>
      <c r="H4068" s="562"/>
      <c r="I4068" s="562"/>
      <c r="J4068" s="562"/>
    </row>
    <row r="4069" spans="1:10" x14ac:dyDescent="0.25">
      <c r="A4069" s="362"/>
      <c r="B4069" s="611">
        <v>44341</v>
      </c>
      <c r="C4069" s="362" t="s">
        <v>4751</v>
      </c>
      <c r="D4069" s="562">
        <v>161016816</v>
      </c>
      <c r="E4069" s="562">
        <v>17301284</v>
      </c>
      <c r="F4069" s="562">
        <v>178318100</v>
      </c>
      <c r="G4069" s="562">
        <f t="shared" si="179"/>
        <v>0</v>
      </c>
      <c r="H4069" s="562"/>
      <c r="I4069" s="562"/>
      <c r="J4069" s="562"/>
    </row>
    <row r="4070" spans="1:10" x14ac:dyDescent="0.25">
      <c r="A4070" s="362"/>
      <c r="B4070" s="611">
        <v>44341</v>
      </c>
      <c r="C4070" s="362" t="s">
        <v>166</v>
      </c>
      <c r="D4070" s="562">
        <v>108432707</v>
      </c>
      <c r="E4070" s="562"/>
      <c r="F4070" s="562">
        <v>108432800</v>
      </c>
      <c r="G4070" s="562">
        <f t="shared" si="179"/>
        <v>-93</v>
      </c>
      <c r="H4070" s="562"/>
      <c r="I4070" s="562"/>
      <c r="J4070" s="562"/>
    </row>
    <row r="4071" spans="1:10" x14ac:dyDescent="0.25">
      <c r="A4071" s="362"/>
      <c r="B4071" s="611">
        <v>44341</v>
      </c>
      <c r="C4071" s="362" t="s">
        <v>3435</v>
      </c>
      <c r="D4071" s="562">
        <v>33065411</v>
      </c>
      <c r="E4071" s="562"/>
      <c r="F4071" s="562">
        <v>33065500</v>
      </c>
      <c r="G4071" s="562">
        <f t="shared" si="179"/>
        <v>-89</v>
      </c>
      <c r="H4071" s="562"/>
      <c r="I4071" s="562"/>
      <c r="J4071" s="562"/>
    </row>
    <row r="4072" spans="1:10" x14ac:dyDescent="0.25">
      <c r="A4072" s="362"/>
      <c r="B4072" s="611">
        <v>44341</v>
      </c>
      <c r="C4072" s="370" t="s">
        <v>85</v>
      </c>
      <c r="D4072" s="562">
        <v>21520700</v>
      </c>
      <c r="E4072" s="562"/>
      <c r="F4072" s="562">
        <v>21520700</v>
      </c>
      <c r="G4072" s="562">
        <f t="shared" si="179"/>
        <v>0</v>
      </c>
      <c r="H4072" s="562"/>
      <c r="I4072" s="562"/>
      <c r="J4072" s="562"/>
    </row>
    <row r="4073" spans="1:10" x14ac:dyDescent="0.25">
      <c r="A4073" s="532"/>
      <c r="B4073" s="532"/>
      <c r="C4073" s="532"/>
      <c r="D4073" s="564">
        <f>SUM(D4058:D4072)</f>
        <v>2204388571</v>
      </c>
      <c r="E4073" s="564">
        <f t="shared" ref="E4073:G4073" si="181">SUM(E4058:E4072)</f>
        <v>661524272</v>
      </c>
      <c r="F4073" s="564">
        <f t="shared" si="181"/>
        <v>2865912900</v>
      </c>
      <c r="G4073" s="564">
        <f t="shared" si="181"/>
        <v>-57</v>
      </c>
      <c r="H4073" s="564"/>
      <c r="I4073" s="564"/>
      <c r="J4073" s="564"/>
    </row>
    <row r="4074" spans="1:10" x14ac:dyDescent="0.25">
      <c r="A4074" s="362"/>
      <c r="B4074" s="611">
        <v>44342</v>
      </c>
      <c r="C4074" s="362" t="s">
        <v>86</v>
      </c>
      <c r="D4074" s="562">
        <v>113992592</v>
      </c>
      <c r="E4074" s="562">
        <v>140153877</v>
      </c>
      <c r="F4074" s="562">
        <v>254146400</v>
      </c>
      <c r="G4074" s="562">
        <f t="shared" si="179"/>
        <v>69</v>
      </c>
      <c r="H4074" s="562"/>
      <c r="I4074" s="562"/>
      <c r="J4074" s="562"/>
    </row>
    <row r="4075" spans="1:10" x14ac:dyDescent="0.25">
      <c r="A4075" s="362"/>
      <c r="B4075" s="611">
        <v>44342</v>
      </c>
      <c r="C4075" s="362" t="s">
        <v>87</v>
      </c>
      <c r="D4075" s="562">
        <v>29240806</v>
      </c>
      <c r="E4075" s="562">
        <v>51988789</v>
      </c>
      <c r="F4075" s="562">
        <v>81229700</v>
      </c>
      <c r="G4075" s="562">
        <f t="shared" si="179"/>
        <v>-105</v>
      </c>
      <c r="H4075" s="562"/>
      <c r="I4075" s="562"/>
      <c r="J4075" s="562"/>
    </row>
    <row r="4076" spans="1:10" x14ac:dyDescent="0.25">
      <c r="A4076" s="362"/>
      <c r="B4076" s="611">
        <v>44342</v>
      </c>
      <c r="C4076" s="362" t="s">
        <v>88</v>
      </c>
      <c r="D4076" s="562">
        <v>254002827</v>
      </c>
      <c r="E4076" s="562">
        <v>34592593</v>
      </c>
      <c r="F4076" s="562">
        <v>288595400</v>
      </c>
      <c r="G4076" s="562">
        <f t="shared" si="179"/>
        <v>20</v>
      </c>
      <c r="H4076" s="562"/>
      <c r="I4076" s="562"/>
      <c r="J4076" s="562"/>
    </row>
    <row r="4077" spans="1:10" x14ac:dyDescent="0.25">
      <c r="A4077" s="362"/>
      <c r="B4077" s="611">
        <v>44342</v>
      </c>
      <c r="C4077" s="362" t="s">
        <v>82</v>
      </c>
      <c r="D4077" s="562">
        <v>145720805</v>
      </c>
      <c r="E4077" s="562">
        <v>3983067</v>
      </c>
      <c r="F4077" s="562">
        <v>149703900</v>
      </c>
      <c r="G4077" s="562">
        <f t="shared" si="179"/>
        <v>-28</v>
      </c>
      <c r="H4077" s="562"/>
      <c r="I4077" s="562"/>
      <c r="J4077" s="562"/>
    </row>
    <row r="4078" spans="1:10" x14ac:dyDescent="0.25">
      <c r="A4078" s="362"/>
      <c r="B4078" s="611">
        <v>44342</v>
      </c>
      <c r="C4078" s="362" t="s">
        <v>80</v>
      </c>
      <c r="D4078" s="562">
        <v>265044352</v>
      </c>
      <c r="E4078" s="562"/>
      <c r="F4078" s="562">
        <v>265045200</v>
      </c>
      <c r="G4078" s="562">
        <f t="shared" si="179"/>
        <v>-848</v>
      </c>
      <c r="H4078" s="562"/>
      <c r="I4078" s="562"/>
      <c r="J4078" s="562"/>
    </row>
    <row r="4079" spans="1:10" x14ac:dyDescent="0.25">
      <c r="A4079" s="362"/>
      <c r="B4079" s="611">
        <v>44342</v>
      </c>
      <c r="C4079" s="362" t="s">
        <v>83</v>
      </c>
      <c r="D4079" s="562">
        <v>296305298</v>
      </c>
      <c r="E4079" s="562">
        <v>292383344</v>
      </c>
      <c r="F4079" s="562">
        <v>588688700</v>
      </c>
      <c r="G4079" s="562">
        <f t="shared" si="179"/>
        <v>-58</v>
      </c>
      <c r="H4079" s="562"/>
      <c r="I4079" s="562"/>
      <c r="J4079" s="562"/>
    </row>
    <row r="4080" spans="1:10" x14ac:dyDescent="0.25">
      <c r="A4080" s="362"/>
      <c r="B4080" s="611">
        <v>44342</v>
      </c>
      <c r="C4080" s="362" t="s">
        <v>78</v>
      </c>
      <c r="D4080" s="562">
        <v>148105500</v>
      </c>
      <c r="E4080" s="562">
        <v>1379000</v>
      </c>
      <c r="F4080" s="562">
        <v>149484500</v>
      </c>
      <c r="G4080" s="562">
        <f t="shared" si="179"/>
        <v>0</v>
      </c>
      <c r="H4080" s="562"/>
      <c r="I4080" s="562"/>
      <c r="J4080" s="562"/>
    </row>
    <row r="4081" spans="1:10" x14ac:dyDescent="0.25">
      <c r="A4081" s="362"/>
      <c r="B4081" s="611">
        <v>44342</v>
      </c>
      <c r="C4081" s="362" t="s">
        <v>141</v>
      </c>
      <c r="D4081" s="562">
        <v>144937295</v>
      </c>
      <c r="E4081" s="562">
        <v>11279966</v>
      </c>
      <c r="F4081" s="562">
        <v>156217300</v>
      </c>
      <c r="G4081" s="562">
        <f t="shared" si="179"/>
        <v>-39</v>
      </c>
      <c r="H4081" s="562"/>
      <c r="I4081" s="562"/>
      <c r="J4081" s="562"/>
    </row>
    <row r="4082" spans="1:10" x14ac:dyDescent="0.25">
      <c r="A4082" s="362"/>
      <c r="B4082" s="611">
        <v>44342</v>
      </c>
      <c r="C4082" s="362" t="s">
        <v>89</v>
      </c>
      <c r="D4082" s="562">
        <v>191169189</v>
      </c>
      <c r="E4082" s="562">
        <v>58313911</v>
      </c>
      <c r="F4082" s="562">
        <v>249483100</v>
      </c>
      <c r="G4082" s="562">
        <f t="shared" si="179"/>
        <v>0</v>
      </c>
      <c r="H4082" s="562"/>
      <c r="I4082" s="562"/>
      <c r="J4082" s="562"/>
    </row>
    <row r="4083" spans="1:10" x14ac:dyDescent="0.25">
      <c r="A4083" s="362"/>
      <c r="B4083" s="611">
        <v>44342</v>
      </c>
      <c r="C4083" s="362" t="s">
        <v>81</v>
      </c>
      <c r="D4083" s="562">
        <v>51516943</v>
      </c>
      <c r="E4083" s="562">
        <v>11272282</v>
      </c>
      <c r="F4083" s="562">
        <v>62789300</v>
      </c>
      <c r="G4083" s="562">
        <f t="shared" si="179"/>
        <v>-75</v>
      </c>
      <c r="H4083" s="562"/>
      <c r="I4083" s="562"/>
      <c r="J4083" s="562"/>
    </row>
    <row r="4084" spans="1:10" x14ac:dyDescent="0.25">
      <c r="A4084" s="362"/>
      <c r="B4084" s="611">
        <v>44342</v>
      </c>
      <c r="C4084" s="362" t="s">
        <v>84</v>
      </c>
      <c r="D4084" s="562">
        <v>437281562</v>
      </c>
      <c r="E4084" s="562">
        <v>15780795</v>
      </c>
      <c r="F4084" s="562">
        <v>453062400</v>
      </c>
      <c r="G4084" s="562">
        <f t="shared" si="179"/>
        <v>-43</v>
      </c>
      <c r="H4084" s="562"/>
      <c r="I4084" s="562"/>
      <c r="J4084" s="562"/>
    </row>
    <row r="4085" spans="1:10" x14ac:dyDescent="0.25">
      <c r="A4085" s="362"/>
      <c r="B4085" s="611">
        <v>44342</v>
      </c>
      <c r="C4085" s="362" t="s">
        <v>4751</v>
      </c>
      <c r="D4085" s="562">
        <v>158096551</v>
      </c>
      <c r="E4085" s="562">
        <v>8752149</v>
      </c>
      <c r="F4085" s="562">
        <v>166848700</v>
      </c>
      <c r="G4085" s="562">
        <f t="shared" si="179"/>
        <v>0</v>
      </c>
      <c r="H4085" s="562"/>
      <c r="I4085" s="562"/>
      <c r="J4085" s="562"/>
    </row>
    <row r="4086" spans="1:10" x14ac:dyDescent="0.25">
      <c r="A4086" s="362"/>
      <c r="B4086" s="611">
        <v>44342</v>
      </c>
      <c r="C4086" s="362" t="s">
        <v>166</v>
      </c>
      <c r="D4086" s="562">
        <v>74617552</v>
      </c>
      <c r="E4086" s="562"/>
      <c r="F4086" s="562">
        <v>74617500</v>
      </c>
      <c r="G4086" s="562">
        <f t="shared" si="179"/>
        <v>52</v>
      </c>
      <c r="H4086" s="562"/>
      <c r="I4086" s="562"/>
      <c r="J4086" s="562"/>
    </row>
    <row r="4087" spans="1:10" x14ac:dyDescent="0.25">
      <c r="A4087" s="362"/>
      <c r="B4087" s="611">
        <v>44342</v>
      </c>
      <c r="C4087" s="362" t="s">
        <v>3435</v>
      </c>
      <c r="D4087" s="562">
        <v>29525359</v>
      </c>
      <c r="E4087" s="562"/>
      <c r="F4087" s="562">
        <v>29525400</v>
      </c>
      <c r="G4087" s="562">
        <f t="shared" si="179"/>
        <v>-41</v>
      </c>
      <c r="H4087" s="562"/>
      <c r="I4087" s="562"/>
      <c r="J4087" s="562"/>
    </row>
    <row r="4088" spans="1:10" x14ac:dyDescent="0.25">
      <c r="A4088" s="362"/>
      <c r="B4088" s="611">
        <v>44342</v>
      </c>
      <c r="C4088" s="370" t="s">
        <v>85</v>
      </c>
      <c r="D4088" s="562">
        <v>55446800</v>
      </c>
      <c r="E4088" s="562"/>
      <c r="F4088" s="562">
        <v>55446800</v>
      </c>
      <c r="G4088" s="562">
        <f t="shared" si="179"/>
        <v>0</v>
      </c>
      <c r="H4088" s="562"/>
      <c r="I4088" s="562"/>
      <c r="J4088" s="562"/>
    </row>
    <row r="4089" spans="1:10" x14ac:dyDescent="0.25">
      <c r="A4089" s="532"/>
      <c r="B4089" s="532"/>
      <c r="C4089" s="532"/>
      <c r="D4089" s="564">
        <f>SUM(D4074:D4088)</f>
        <v>2395003431</v>
      </c>
      <c r="E4089" s="564">
        <f t="shared" ref="E4089:G4089" si="182">SUM(E4074:E4088)</f>
        <v>629879773</v>
      </c>
      <c r="F4089" s="564">
        <f t="shared" si="182"/>
        <v>3024884300</v>
      </c>
      <c r="G4089" s="564">
        <f t="shared" si="182"/>
        <v>-1096</v>
      </c>
      <c r="H4089" s="564"/>
      <c r="I4089" s="564"/>
      <c r="J4089" s="564"/>
    </row>
    <row r="4090" spans="1:10" x14ac:dyDescent="0.25">
      <c r="A4090" s="362"/>
      <c r="B4090" s="611">
        <v>44343</v>
      </c>
      <c r="C4090" s="362" t="s">
        <v>86</v>
      </c>
      <c r="D4090" s="562">
        <v>168519489</v>
      </c>
      <c r="E4090" s="562">
        <v>36699750</v>
      </c>
      <c r="F4090" s="562">
        <v>205219200</v>
      </c>
      <c r="G4090" s="562">
        <f t="shared" si="179"/>
        <v>39</v>
      </c>
      <c r="H4090" s="562"/>
      <c r="I4090" s="562"/>
      <c r="J4090" s="562"/>
    </row>
    <row r="4091" spans="1:10" x14ac:dyDescent="0.25">
      <c r="A4091" s="362"/>
      <c r="B4091" s="611">
        <v>44343</v>
      </c>
      <c r="C4091" s="362" t="s">
        <v>87</v>
      </c>
      <c r="D4091" s="562">
        <v>50295405</v>
      </c>
      <c r="E4091" s="562">
        <v>194722305</v>
      </c>
      <c r="F4091" s="562">
        <v>245017700</v>
      </c>
      <c r="G4091" s="562">
        <f t="shared" si="179"/>
        <v>10</v>
      </c>
      <c r="H4091" s="562"/>
      <c r="I4091" s="562"/>
      <c r="J4091" s="562"/>
    </row>
    <row r="4092" spans="1:10" x14ac:dyDescent="0.25">
      <c r="A4092" s="362"/>
      <c r="B4092" s="611">
        <v>44343</v>
      </c>
      <c r="C4092" s="362" t="s">
        <v>88</v>
      </c>
      <c r="D4092" s="562">
        <v>165177188</v>
      </c>
      <c r="E4092" s="562">
        <v>89166406</v>
      </c>
      <c r="F4092" s="562">
        <v>254343600</v>
      </c>
      <c r="G4092" s="562">
        <f t="shared" si="179"/>
        <v>-6</v>
      </c>
      <c r="H4092" s="562"/>
      <c r="I4092" s="562"/>
      <c r="J4092" s="562"/>
    </row>
    <row r="4093" spans="1:10" x14ac:dyDescent="0.25">
      <c r="A4093" s="362"/>
      <c r="B4093" s="611">
        <v>44343</v>
      </c>
      <c r="C4093" s="362" t="s">
        <v>82</v>
      </c>
      <c r="D4093" s="562">
        <v>92510706</v>
      </c>
      <c r="E4093" s="562">
        <v>8021094</v>
      </c>
      <c r="F4093" s="562">
        <v>100531800</v>
      </c>
      <c r="G4093" s="562">
        <f t="shared" si="179"/>
        <v>0</v>
      </c>
      <c r="H4093" s="562"/>
      <c r="I4093" s="562"/>
      <c r="J4093" s="562"/>
    </row>
    <row r="4094" spans="1:10" x14ac:dyDescent="0.25">
      <c r="A4094" s="362"/>
      <c r="B4094" s="611">
        <v>44343</v>
      </c>
      <c r="C4094" s="362" t="s">
        <v>80</v>
      </c>
      <c r="D4094" s="562">
        <v>470436400</v>
      </c>
      <c r="E4094" s="562">
        <v>87451000</v>
      </c>
      <c r="F4094" s="562">
        <v>557887400</v>
      </c>
      <c r="G4094" s="562">
        <f t="shared" si="179"/>
        <v>0</v>
      </c>
      <c r="H4094" s="562"/>
      <c r="I4094" s="562"/>
      <c r="J4094" s="562"/>
    </row>
    <row r="4095" spans="1:10" x14ac:dyDescent="0.25">
      <c r="A4095" s="362"/>
      <c r="B4095" s="611">
        <v>44343</v>
      </c>
      <c r="C4095" s="362" t="s">
        <v>83</v>
      </c>
      <c r="D4095" s="562">
        <v>205551431</v>
      </c>
      <c r="E4095" s="562">
        <v>14446894</v>
      </c>
      <c r="F4095" s="562">
        <v>219998400</v>
      </c>
      <c r="G4095" s="562">
        <f t="shared" si="179"/>
        <v>-75</v>
      </c>
      <c r="H4095" s="562"/>
      <c r="I4095" s="562"/>
      <c r="J4095" s="562"/>
    </row>
    <row r="4096" spans="1:10" x14ac:dyDescent="0.25">
      <c r="A4096" s="362"/>
      <c r="B4096" s="611">
        <v>44343</v>
      </c>
      <c r="C4096" s="362" t="s">
        <v>78</v>
      </c>
      <c r="D4096" s="562">
        <v>113146958</v>
      </c>
      <c r="E4096" s="562">
        <v>1339242</v>
      </c>
      <c r="F4096" s="562">
        <v>114486200</v>
      </c>
      <c r="G4096" s="562">
        <f t="shared" si="179"/>
        <v>0</v>
      </c>
      <c r="H4096" s="562"/>
      <c r="I4096" s="562"/>
      <c r="J4096" s="562"/>
    </row>
    <row r="4097" spans="1:10" x14ac:dyDescent="0.25">
      <c r="A4097" s="362"/>
      <c r="B4097" s="611">
        <v>44343</v>
      </c>
      <c r="C4097" s="362" t="s">
        <v>141</v>
      </c>
      <c r="D4097" s="562">
        <v>124078771</v>
      </c>
      <c r="E4097" s="562">
        <v>2345341</v>
      </c>
      <c r="F4097" s="562">
        <v>126424200</v>
      </c>
      <c r="G4097" s="562">
        <f t="shared" si="179"/>
        <v>-88</v>
      </c>
      <c r="H4097" s="562"/>
      <c r="I4097" s="562"/>
      <c r="J4097" s="562"/>
    </row>
    <row r="4098" spans="1:10" x14ac:dyDescent="0.25">
      <c r="A4098" s="362"/>
      <c r="B4098" s="611">
        <v>44343</v>
      </c>
      <c r="C4098" s="362" t="s">
        <v>89</v>
      </c>
      <c r="D4098" s="562">
        <v>177347621</v>
      </c>
      <c r="E4098" s="562">
        <v>44820279</v>
      </c>
      <c r="F4098" s="562">
        <v>222167900</v>
      </c>
      <c r="G4098" s="562">
        <f t="shared" si="179"/>
        <v>0</v>
      </c>
      <c r="H4098" s="562"/>
      <c r="I4098" s="562"/>
      <c r="J4098" s="562"/>
    </row>
    <row r="4099" spans="1:10" x14ac:dyDescent="0.25">
      <c r="A4099" s="362"/>
      <c r="B4099" s="611">
        <v>44343</v>
      </c>
      <c r="C4099" s="362" t="s">
        <v>81</v>
      </c>
      <c r="D4099" s="562">
        <v>109902132</v>
      </c>
      <c r="E4099" s="562">
        <v>17034802</v>
      </c>
      <c r="F4099" s="562">
        <v>126937000</v>
      </c>
      <c r="G4099" s="562">
        <f t="shared" si="179"/>
        <v>-66</v>
      </c>
      <c r="H4099" s="562"/>
      <c r="I4099" s="562"/>
      <c r="J4099" s="562"/>
    </row>
    <row r="4100" spans="1:10" x14ac:dyDescent="0.25">
      <c r="A4100" s="362"/>
      <c r="B4100" s="611">
        <v>44343</v>
      </c>
      <c r="C4100" s="362" t="s">
        <v>84</v>
      </c>
      <c r="D4100" s="562">
        <v>188745084</v>
      </c>
      <c r="E4100" s="562">
        <v>10629709</v>
      </c>
      <c r="F4100" s="562">
        <v>199374700</v>
      </c>
      <c r="G4100" s="562">
        <f t="shared" si="179"/>
        <v>93</v>
      </c>
      <c r="H4100" s="562"/>
      <c r="I4100" s="562"/>
      <c r="J4100" s="562"/>
    </row>
    <row r="4101" spans="1:10" x14ac:dyDescent="0.25">
      <c r="A4101" s="362"/>
      <c r="B4101" s="611">
        <v>44343</v>
      </c>
      <c r="C4101" s="362" t="s">
        <v>4751</v>
      </c>
      <c r="D4101" s="562">
        <v>251981965</v>
      </c>
      <c r="E4101" s="562">
        <v>25212035</v>
      </c>
      <c r="F4101" s="562">
        <v>277194000</v>
      </c>
      <c r="G4101" s="562">
        <f t="shared" si="179"/>
        <v>0</v>
      </c>
      <c r="H4101" s="562"/>
      <c r="I4101" s="562"/>
      <c r="J4101" s="562"/>
    </row>
    <row r="4102" spans="1:10" x14ac:dyDescent="0.25">
      <c r="A4102" s="362"/>
      <c r="B4102" s="611">
        <v>44343</v>
      </c>
      <c r="C4102" s="362" t="s">
        <v>166</v>
      </c>
      <c r="D4102" s="562">
        <v>157648002</v>
      </c>
      <c r="E4102" s="562"/>
      <c r="F4102" s="562">
        <v>157648000</v>
      </c>
      <c r="G4102" s="562">
        <f t="shared" si="179"/>
        <v>2</v>
      </c>
      <c r="H4102" s="562"/>
      <c r="I4102" s="562"/>
      <c r="J4102" s="562"/>
    </row>
    <row r="4103" spans="1:10" x14ac:dyDescent="0.25">
      <c r="A4103" s="362"/>
      <c r="B4103" s="611">
        <v>44343</v>
      </c>
      <c r="C4103" s="362" t="s">
        <v>3435</v>
      </c>
      <c r="D4103" s="562">
        <v>68654845</v>
      </c>
      <c r="E4103" s="562"/>
      <c r="F4103" s="562">
        <v>68654900</v>
      </c>
      <c r="G4103" s="562">
        <f t="shared" si="179"/>
        <v>-55</v>
      </c>
      <c r="H4103" s="562"/>
      <c r="I4103" s="562"/>
      <c r="J4103" s="562"/>
    </row>
    <row r="4104" spans="1:10" x14ac:dyDescent="0.25">
      <c r="A4104" s="362"/>
      <c r="B4104" s="611">
        <v>44343</v>
      </c>
      <c r="C4104" s="370" t="s">
        <v>85</v>
      </c>
      <c r="D4104" s="562">
        <v>33285800</v>
      </c>
      <c r="E4104" s="562"/>
      <c r="F4104" s="562">
        <v>33285800</v>
      </c>
      <c r="G4104" s="562">
        <f t="shared" si="179"/>
        <v>0</v>
      </c>
      <c r="H4104" s="562"/>
      <c r="I4104" s="562"/>
      <c r="J4104" s="562"/>
    </row>
    <row r="4105" spans="1:10" x14ac:dyDescent="0.25">
      <c r="A4105" s="532"/>
      <c r="B4105" s="532"/>
      <c r="C4105" s="532"/>
      <c r="D4105" s="564">
        <f>SUM(D4090:D4104)</f>
        <v>2377281797</v>
      </c>
      <c r="E4105" s="564">
        <f t="shared" ref="E4105:G4105" si="183">SUM(E4090:E4104)</f>
        <v>531888857</v>
      </c>
      <c r="F4105" s="564">
        <f t="shared" si="183"/>
        <v>2909170800</v>
      </c>
      <c r="G4105" s="564">
        <f t="shared" si="183"/>
        <v>-146</v>
      </c>
      <c r="H4105" s="564"/>
      <c r="I4105" s="564"/>
      <c r="J4105" s="564"/>
    </row>
    <row r="4106" spans="1:10" x14ac:dyDescent="0.25">
      <c r="A4106" s="362"/>
      <c r="B4106" s="611">
        <v>44344</v>
      </c>
      <c r="C4106" s="362" t="s">
        <v>86</v>
      </c>
      <c r="D4106" s="562">
        <v>46479618</v>
      </c>
      <c r="E4106" s="562">
        <v>144320874</v>
      </c>
      <c r="F4106" s="562">
        <v>190800500</v>
      </c>
      <c r="G4106" s="562">
        <f t="shared" si="179"/>
        <v>-8</v>
      </c>
      <c r="H4106" s="562"/>
      <c r="I4106" s="562"/>
      <c r="J4106" s="562"/>
    </row>
    <row r="4107" spans="1:10" x14ac:dyDescent="0.25">
      <c r="A4107" s="362"/>
      <c r="B4107" s="611">
        <v>44344</v>
      </c>
      <c r="C4107" s="362" t="s">
        <v>87</v>
      </c>
      <c r="D4107" s="562">
        <v>117354322</v>
      </c>
      <c r="E4107" s="562">
        <v>25699453</v>
      </c>
      <c r="F4107" s="562">
        <v>143053800</v>
      </c>
      <c r="G4107" s="562">
        <f t="shared" si="179"/>
        <v>-25</v>
      </c>
      <c r="H4107" s="562"/>
      <c r="I4107" s="562"/>
      <c r="J4107" s="562"/>
    </row>
    <row r="4108" spans="1:10" x14ac:dyDescent="0.25">
      <c r="A4108" s="362"/>
      <c r="B4108" s="611">
        <v>44344</v>
      </c>
      <c r="C4108" s="362" t="s">
        <v>88</v>
      </c>
      <c r="D4108" s="562">
        <v>139228798</v>
      </c>
      <c r="E4108" s="562">
        <v>60575722</v>
      </c>
      <c r="F4108" s="562">
        <v>199804600</v>
      </c>
      <c r="G4108" s="562">
        <f t="shared" ref="G4108:G4171" si="184">D4108+E4108-F4108</f>
        <v>-80</v>
      </c>
      <c r="H4108" s="562"/>
      <c r="I4108" s="562"/>
      <c r="J4108" s="562"/>
    </row>
    <row r="4109" spans="1:10" x14ac:dyDescent="0.25">
      <c r="A4109" s="362"/>
      <c r="B4109" s="611">
        <v>44344</v>
      </c>
      <c r="C4109" s="362" t="s">
        <v>82</v>
      </c>
      <c r="D4109" s="562">
        <v>112203476</v>
      </c>
      <c r="E4109" s="562">
        <v>1143146</v>
      </c>
      <c r="F4109" s="562">
        <v>113346700</v>
      </c>
      <c r="G4109" s="562">
        <f t="shared" si="184"/>
        <v>-78</v>
      </c>
      <c r="H4109" s="562"/>
      <c r="I4109" s="562"/>
      <c r="J4109" s="562"/>
    </row>
    <row r="4110" spans="1:10" x14ac:dyDescent="0.25">
      <c r="A4110" s="362"/>
      <c r="B4110" s="611">
        <v>44344</v>
      </c>
      <c r="C4110" s="362" t="s">
        <v>80</v>
      </c>
      <c r="D4110" s="562">
        <v>176022845</v>
      </c>
      <c r="E4110" s="562">
        <v>490000</v>
      </c>
      <c r="F4110" s="562">
        <v>176512400</v>
      </c>
      <c r="G4110" s="562">
        <f t="shared" si="184"/>
        <v>445</v>
      </c>
      <c r="H4110" s="562"/>
      <c r="I4110" s="562"/>
      <c r="J4110" s="562"/>
    </row>
    <row r="4111" spans="1:10" x14ac:dyDescent="0.25">
      <c r="A4111" s="362"/>
      <c r="B4111" s="611">
        <v>44344</v>
      </c>
      <c r="C4111" s="362" t="s">
        <v>83</v>
      </c>
      <c r="D4111" s="562">
        <v>314340452</v>
      </c>
      <c r="E4111" s="562">
        <v>42792048</v>
      </c>
      <c r="F4111" s="562">
        <v>357132500</v>
      </c>
      <c r="G4111" s="562">
        <f t="shared" si="184"/>
        <v>0</v>
      </c>
      <c r="H4111" s="562"/>
      <c r="I4111" s="562"/>
      <c r="J4111" s="562"/>
    </row>
    <row r="4112" spans="1:10" x14ac:dyDescent="0.25">
      <c r="A4112" s="362"/>
      <c r="B4112" s="611">
        <v>44344</v>
      </c>
      <c r="C4112" s="362" t="s">
        <v>78</v>
      </c>
      <c r="D4112" s="562">
        <v>170885805</v>
      </c>
      <c r="E4112" s="562">
        <v>1278795</v>
      </c>
      <c r="F4112" s="562">
        <v>172164600</v>
      </c>
      <c r="G4112" s="562">
        <f t="shared" si="184"/>
        <v>0</v>
      </c>
      <c r="H4112" s="562"/>
      <c r="I4112" s="562"/>
      <c r="J4112" s="562"/>
    </row>
    <row r="4113" spans="1:10" x14ac:dyDescent="0.25">
      <c r="A4113" s="362"/>
      <c r="B4113" s="611">
        <v>44344</v>
      </c>
      <c r="C4113" s="362" t="s">
        <v>141</v>
      </c>
      <c r="D4113" s="562">
        <v>121643250</v>
      </c>
      <c r="E4113" s="562">
        <v>3239572</v>
      </c>
      <c r="F4113" s="562">
        <v>124882900</v>
      </c>
      <c r="G4113" s="562">
        <f t="shared" si="184"/>
        <v>-78</v>
      </c>
      <c r="H4113" s="562"/>
      <c r="I4113" s="562"/>
      <c r="J4113" s="562"/>
    </row>
    <row r="4114" spans="1:10" x14ac:dyDescent="0.25">
      <c r="A4114" s="362"/>
      <c r="B4114" s="611">
        <v>44344</v>
      </c>
      <c r="C4114" s="362" t="s">
        <v>89</v>
      </c>
      <c r="D4114" s="562">
        <v>237864755</v>
      </c>
      <c r="E4114" s="562">
        <v>59065845</v>
      </c>
      <c r="F4114" s="562">
        <v>296930500</v>
      </c>
      <c r="G4114" s="562">
        <f t="shared" si="184"/>
        <v>100</v>
      </c>
      <c r="H4114" s="562"/>
      <c r="I4114" s="562"/>
      <c r="J4114" s="562"/>
    </row>
    <row r="4115" spans="1:10" x14ac:dyDescent="0.25">
      <c r="A4115" s="362"/>
      <c r="B4115" s="611">
        <v>44344</v>
      </c>
      <c r="C4115" s="362" t="s">
        <v>81</v>
      </c>
      <c r="D4115" s="562">
        <v>159993163</v>
      </c>
      <c r="E4115" s="562">
        <v>14462978</v>
      </c>
      <c r="F4115" s="562">
        <v>174456200</v>
      </c>
      <c r="G4115" s="562">
        <f t="shared" si="184"/>
        <v>-59</v>
      </c>
      <c r="H4115" s="562"/>
      <c r="I4115" s="562"/>
      <c r="J4115" s="562"/>
    </row>
    <row r="4116" spans="1:10" x14ac:dyDescent="0.25">
      <c r="A4116" s="362"/>
      <c r="B4116" s="611">
        <v>44344</v>
      </c>
      <c r="C4116" s="362" t="s">
        <v>84</v>
      </c>
      <c r="D4116" s="562">
        <v>266485874</v>
      </c>
      <c r="E4116" s="562">
        <v>13492424</v>
      </c>
      <c r="F4116" s="562">
        <v>279976800</v>
      </c>
      <c r="G4116" s="562">
        <f t="shared" si="184"/>
        <v>1498</v>
      </c>
      <c r="H4116" s="562"/>
      <c r="I4116" s="562"/>
      <c r="J4116" s="562"/>
    </row>
    <row r="4117" spans="1:10" x14ac:dyDescent="0.25">
      <c r="A4117" s="362"/>
      <c r="B4117" s="611">
        <v>44344</v>
      </c>
      <c r="C4117" s="362" t="s">
        <v>4751</v>
      </c>
      <c r="D4117" s="562">
        <v>203189455</v>
      </c>
      <c r="E4117" s="562">
        <v>15446145</v>
      </c>
      <c r="F4117" s="562">
        <v>218635600</v>
      </c>
      <c r="G4117" s="562">
        <f t="shared" si="184"/>
        <v>0</v>
      </c>
      <c r="H4117" s="562"/>
      <c r="I4117" s="562"/>
      <c r="J4117" s="562"/>
    </row>
    <row r="4118" spans="1:10" x14ac:dyDescent="0.25">
      <c r="A4118" s="362"/>
      <c r="B4118" s="611">
        <v>44344</v>
      </c>
      <c r="C4118" s="362" t="s">
        <v>166</v>
      </c>
      <c r="D4118" s="562">
        <v>49030118</v>
      </c>
      <c r="E4118" s="562"/>
      <c r="F4118" s="562">
        <v>49030000</v>
      </c>
      <c r="G4118" s="562">
        <f t="shared" si="184"/>
        <v>118</v>
      </c>
      <c r="H4118" s="562"/>
      <c r="I4118" s="562"/>
      <c r="J4118" s="562"/>
    </row>
    <row r="4119" spans="1:10" x14ac:dyDescent="0.25">
      <c r="A4119" s="362"/>
      <c r="B4119" s="611">
        <v>44344</v>
      </c>
      <c r="C4119" s="362" t="s">
        <v>3435</v>
      </c>
      <c r="D4119" s="562">
        <v>10731395</v>
      </c>
      <c r="E4119" s="562"/>
      <c r="F4119" s="562">
        <v>10731400</v>
      </c>
      <c r="G4119" s="562">
        <f t="shared" si="184"/>
        <v>-5</v>
      </c>
      <c r="H4119" s="562"/>
      <c r="I4119" s="562"/>
      <c r="J4119" s="562"/>
    </row>
    <row r="4120" spans="1:10" x14ac:dyDescent="0.25">
      <c r="A4120" s="362"/>
      <c r="B4120" s="611">
        <v>44344</v>
      </c>
      <c r="C4120" s="370" t="s">
        <v>85</v>
      </c>
      <c r="D4120" s="562">
        <v>26097300</v>
      </c>
      <c r="E4120" s="562"/>
      <c r="F4120" s="562">
        <v>26097300</v>
      </c>
      <c r="G4120" s="562">
        <f t="shared" si="184"/>
        <v>0</v>
      </c>
      <c r="H4120" s="562"/>
      <c r="I4120" s="562"/>
      <c r="J4120" s="562"/>
    </row>
    <row r="4121" spans="1:10" x14ac:dyDescent="0.25">
      <c r="A4121" s="532"/>
      <c r="B4121" s="532"/>
      <c r="C4121" s="532"/>
      <c r="D4121" s="564">
        <f>SUM(D4106:D4120)</f>
        <v>2151550626</v>
      </c>
      <c r="E4121" s="564">
        <f t="shared" ref="E4121:G4121" si="185">SUM(E4106:E4120)</f>
        <v>382007002</v>
      </c>
      <c r="F4121" s="564">
        <f t="shared" si="185"/>
        <v>2533555800</v>
      </c>
      <c r="G4121" s="564">
        <f t="shared" si="185"/>
        <v>1828</v>
      </c>
      <c r="H4121" s="564"/>
      <c r="I4121" s="564"/>
      <c r="J4121" s="564"/>
    </row>
    <row r="4122" spans="1:10" x14ac:dyDescent="0.25">
      <c r="A4122" s="362"/>
      <c r="B4122" s="611">
        <v>44345</v>
      </c>
      <c r="C4122" s="362" t="s">
        <v>86</v>
      </c>
      <c r="D4122" s="562">
        <v>111482348</v>
      </c>
      <c r="E4122" s="562">
        <v>76315139</v>
      </c>
      <c r="F4122" s="562">
        <v>187797500</v>
      </c>
      <c r="G4122" s="562">
        <f t="shared" si="184"/>
        <v>-13</v>
      </c>
      <c r="H4122" s="562"/>
      <c r="I4122" s="562"/>
      <c r="J4122" s="562"/>
    </row>
    <row r="4123" spans="1:10" x14ac:dyDescent="0.25">
      <c r="A4123" s="362"/>
      <c r="B4123" s="611">
        <v>44345</v>
      </c>
      <c r="C4123" s="362" t="s">
        <v>87</v>
      </c>
      <c r="D4123" s="562">
        <v>30881503</v>
      </c>
      <c r="E4123" s="562">
        <v>173919658</v>
      </c>
      <c r="F4123" s="562">
        <v>204801200</v>
      </c>
      <c r="G4123" s="562">
        <f t="shared" si="184"/>
        <v>-39</v>
      </c>
      <c r="H4123" s="562"/>
      <c r="I4123" s="562"/>
      <c r="J4123" s="562"/>
    </row>
    <row r="4124" spans="1:10" x14ac:dyDescent="0.25">
      <c r="A4124" s="362"/>
      <c r="B4124" s="611">
        <v>44345</v>
      </c>
      <c r="C4124" s="362" t="s">
        <v>88</v>
      </c>
      <c r="D4124" s="562">
        <v>141882628</v>
      </c>
      <c r="E4124" s="562">
        <v>82367411</v>
      </c>
      <c r="F4124" s="562">
        <v>224250100</v>
      </c>
      <c r="G4124" s="562">
        <f t="shared" si="184"/>
        <v>-61</v>
      </c>
      <c r="H4124" s="562"/>
      <c r="I4124" s="562"/>
      <c r="J4124" s="562"/>
    </row>
    <row r="4125" spans="1:10" x14ac:dyDescent="0.25">
      <c r="A4125" s="362"/>
      <c r="B4125" s="611">
        <v>44345</v>
      </c>
      <c r="C4125" s="362" t="s">
        <v>82</v>
      </c>
      <c r="D4125" s="562">
        <v>181012382</v>
      </c>
      <c r="E4125" s="562">
        <v>3185632</v>
      </c>
      <c r="F4125" s="562">
        <v>184198100</v>
      </c>
      <c r="G4125" s="562">
        <f t="shared" si="184"/>
        <v>-86</v>
      </c>
      <c r="H4125" s="562"/>
      <c r="I4125" s="562"/>
      <c r="J4125" s="562"/>
    </row>
    <row r="4126" spans="1:10" x14ac:dyDescent="0.25">
      <c r="A4126" s="362"/>
      <c r="B4126" s="611">
        <v>44345</v>
      </c>
      <c r="C4126" s="362" t="s">
        <v>80</v>
      </c>
      <c r="D4126" s="562">
        <v>304322683</v>
      </c>
      <c r="E4126" s="562">
        <v>409917</v>
      </c>
      <c r="F4126" s="562">
        <v>304732600</v>
      </c>
      <c r="G4126" s="562">
        <f t="shared" si="184"/>
        <v>0</v>
      </c>
      <c r="H4126" s="562"/>
      <c r="I4126" s="562"/>
      <c r="J4126" s="562"/>
    </row>
    <row r="4127" spans="1:10" x14ac:dyDescent="0.25">
      <c r="A4127" s="362"/>
      <c r="B4127" s="611">
        <v>44345</v>
      </c>
      <c r="C4127" s="362" t="s">
        <v>83</v>
      </c>
      <c r="D4127" s="562">
        <v>209415865</v>
      </c>
      <c r="E4127" s="562">
        <v>45585935</v>
      </c>
      <c r="F4127" s="562">
        <v>255001800</v>
      </c>
      <c r="G4127" s="562">
        <f t="shared" si="184"/>
        <v>0</v>
      </c>
      <c r="H4127" s="562"/>
      <c r="I4127" s="562"/>
      <c r="J4127" s="562"/>
    </row>
    <row r="4128" spans="1:10" x14ac:dyDescent="0.25">
      <c r="A4128" s="362"/>
      <c r="B4128" s="611">
        <v>44345</v>
      </c>
      <c r="C4128" s="362" t="s">
        <v>78</v>
      </c>
      <c r="D4128" s="562">
        <v>184295404</v>
      </c>
      <c r="E4128" s="562">
        <v>5788196</v>
      </c>
      <c r="F4128" s="562">
        <v>190083600</v>
      </c>
      <c r="G4128" s="562">
        <f t="shared" si="184"/>
        <v>0</v>
      </c>
      <c r="H4128" s="562"/>
      <c r="I4128" s="562"/>
      <c r="J4128" s="562"/>
    </row>
    <row r="4129" spans="1:10" x14ac:dyDescent="0.25">
      <c r="A4129" s="362"/>
      <c r="B4129" s="611">
        <v>44345</v>
      </c>
      <c r="C4129" s="362" t="s">
        <v>141</v>
      </c>
      <c r="D4129" s="562">
        <v>52714662</v>
      </c>
      <c r="E4129" s="562">
        <v>8956438</v>
      </c>
      <c r="F4129" s="562">
        <v>61671100</v>
      </c>
      <c r="G4129" s="562">
        <f t="shared" si="184"/>
        <v>0</v>
      </c>
      <c r="H4129" s="562"/>
      <c r="I4129" s="562"/>
      <c r="J4129" s="562"/>
    </row>
    <row r="4130" spans="1:10" x14ac:dyDescent="0.25">
      <c r="A4130" s="362"/>
      <c r="B4130" s="611">
        <v>44345</v>
      </c>
      <c r="C4130" s="362" t="s">
        <v>89</v>
      </c>
      <c r="D4130" s="562">
        <v>126230676</v>
      </c>
      <c r="E4130" s="562">
        <v>42516324</v>
      </c>
      <c r="F4130" s="562">
        <v>168747000</v>
      </c>
      <c r="G4130" s="562">
        <f t="shared" si="184"/>
        <v>0</v>
      </c>
      <c r="H4130" s="562"/>
      <c r="I4130" s="562"/>
      <c r="J4130" s="562"/>
    </row>
    <row r="4131" spans="1:10" x14ac:dyDescent="0.25">
      <c r="A4131" s="362"/>
      <c r="B4131" s="611">
        <v>44345</v>
      </c>
      <c r="C4131" s="362" t="s">
        <v>81</v>
      </c>
      <c r="D4131" s="562">
        <v>145892923</v>
      </c>
      <c r="E4131" s="562">
        <v>36232637</v>
      </c>
      <c r="F4131" s="562">
        <f>46052500+136073100</f>
        <v>182125600</v>
      </c>
      <c r="G4131" s="562">
        <f t="shared" si="184"/>
        <v>-40</v>
      </c>
      <c r="H4131" s="562"/>
      <c r="I4131" s="562"/>
      <c r="J4131" s="562"/>
    </row>
    <row r="4132" spans="1:10" x14ac:dyDescent="0.25">
      <c r="A4132" s="362"/>
      <c r="B4132" s="611">
        <v>44345</v>
      </c>
      <c r="C4132" s="362" t="s">
        <v>84</v>
      </c>
      <c r="D4132" s="562">
        <v>122086231</v>
      </c>
      <c r="E4132" s="562">
        <v>44517685</v>
      </c>
      <c r="F4132" s="562">
        <v>166603900</v>
      </c>
      <c r="G4132" s="562">
        <f t="shared" si="184"/>
        <v>16</v>
      </c>
      <c r="H4132" s="562"/>
      <c r="I4132" s="562"/>
      <c r="J4132" s="562"/>
    </row>
    <row r="4133" spans="1:10" x14ac:dyDescent="0.25">
      <c r="A4133" s="362"/>
      <c r="B4133" s="611">
        <v>44345</v>
      </c>
      <c r="C4133" s="362" t="s">
        <v>4751</v>
      </c>
      <c r="D4133" s="562">
        <v>192874570</v>
      </c>
      <c r="E4133" s="562">
        <v>11593530</v>
      </c>
      <c r="F4133" s="562">
        <v>204468100</v>
      </c>
      <c r="G4133" s="562">
        <f t="shared" si="184"/>
        <v>0</v>
      </c>
      <c r="H4133" s="562"/>
      <c r="I4133" s="562"/>
      <c r="J4133" s="562"/>
    </row>
    <row r="4134" spans="1:10" x14ac:dyDescent="0.25">
      <c r="A4134" s="362"/>
      <c r="B4134" s="611">
        <v>44345</v>
      </c>
      <c r="C4134" s="362" t="s">
        <v>166</v>
      </c>
      <c r="D4134" s="562"/>
      <c r="E4134" s="562"/>
      <c r="F4134" s="562"/>
      <c r="G4134" s="562">
        <f t="shared" si="184"/>
        <v>0</v>
      </c>
      <c r="H4134" s="562"/>
      <c r="I4134" s="562"/>
      <c r="J4134" s="562"/>
    </row>
    <row r="4135" spans="1:10" x14ac:dyDescent="0.25">
      <c r="A4135" s="362"/>
      <c r="B4135" s="611">
        <v>44345</v>
      </c>
      <c r="C4135" s="362" t="s">
        <v>3435</v>
      </c>
      <c r="D4135" s="562"/>
      <c r="E4135" s="562"/>
      <c r="F4135" s="562"/>
      <c r="G4135" s="562">
        <f t="shared" si="184"/>
        <v>0</v>
      </c>
      <c r="H4135" s="562"/>
      <c r="I4135" s="562"/>
      <c r="J4135" s="562"/>
    </row>
    <row r="4136" spans="1:10" x14ac:dyDescent="0.25">
      <c r="A4136" s="362"/>
      <c r="B4136" s="611">
        <v>44345</v>
      </c>
      <c r="C4136" s="370" t="s">
        <v>85</v>
      </c>
      <c r="D4136" s="562">
        <v>35356500</v>
      </c>
      <c r="E4136" s="562"/>
      <c r="F4136" s="562">
        <v>35356500</v>
      </c>
      <c r="G4136" s="562">
        <f t="shared" si="184"/>
        <v>0</v>
      </c>
      <c r="H4136" s="562"/>
      <c r="I4136" s="562"/>
      <c r="J4136" s="562"/>
    </row>
    <row r="4137" spans="1:10" x14ac:dyDescent="0.25">
      <c r="A4137" s="532"/>
      <c r="B4137" s="532"/>
      <c r="C4137" s="532"/>
      <c r="D4137" s="564"/>
      <c r="E4137" s="564"/>
      <c r="F4137" s="564"/>
      <c r="G4137" s="564"/>
      <c r="H4137" s="564"/>
      <c r="I4137" s="564"/>
      <c r="J4137" s="564"/>
    </row>
    <row r="4138" spans="1:10" x14ac:dyDescent="0.25">
      <c r="A4138" s="362"/>
      <c r="B4138" s="611">
        <v>44347</v>
      </c>
      <c r="C4138" s="362" t="s">
        <v>86</v>
      </c>
      <c r="D4138" s="562">
        <v>61512681</v>
      </c>
      <c r="E4138" s="562">
        <v>9233700</v>
      </c>
      <c r="F4138" s="562">
        <v>70770500</v>
      </c>
      <c r="G4138" s="562">
        <f t="shared" si="184"/>
        <v>-24119</v>
      </c>
      <c r="H4138" s="562"/>
      <c r="I4138" s="562"/>
      <c r="J4138" s="562"/>
    </row>
    <row r="4139" spans="1:10" x14ac:dyDescent="0.25">
      <c r="A4139" s="362"/>
      <c r="B4139" s="611">
        <v>44347</v>
      </c>
      <c r="C4139" s="362" t="s">
        <v>87</v>
      </c>
      <c r="D4139" s="562">
        <v>68035067</v>
      </c>
      <c r="E4139" s="562">
        <v>132469153</v>
      </c>
      <c r="F4139" s="562">
        <v>200504300</v>
      </c>
      <c r="G4139" s="562">
        <f t="shared" si="184"/>
        <v>-80</v>
      </c>
      <c r="H4139" s="562"/>
      <c r="I4139" s="562"/>
      <c r="J4139" s="562"/>
    </row>
    <row r="4140" spans="1:10" x14ac:dyDescent="0.25">
      <c r="A4140" s="362"/>
      <c r="B4140" s="611">
        <v>44347</v>
      </c>
      <c r="C4140" s="362" t="s">
        <v>88</v>
      </c>
      <c r="D4140" s="562">
        <v>105782504</v>
      </c>
      <c r="E4140" s="562">
        <v>86403336</v>
      </c>
      <c r="F4140" s="562">
        <v>192185900</v>
      </c>
      <c r="G4140" s="562">
        <f t="shared" si="184"/>
        <v>-60</v>
      </c>
      <c r="H4140" s="562"/>
      <c r="I4140" s="562"/>
      <c r="J4140" s="562"/>
    </row>
    <row r="4141" spans="1:10" x14ac:dyDescent="0.25">
      <c r="A4141" s="362"/>
      <c r="B4141" s="611">
        <v>44347</v>
      </c>
      <c r="C4141" s="362" t="s">
        <v>82</v>
      </c>
      <c r="D4141" s="562">
        <v>46004779</v>
      </c>
      <c r="E4141" s="562">
        <v>1646603</v>
      </c>
      <c r="F4141" s="562">
        <v>47651400</v>
      </c>
      <c r="G4141" s="562">
        <f t="shared" si="184"/>
        <v>-18</v>
      </c>
      <c r="H4141" s="562"/>
      <c r="I4141" s="562"/>
      <c r="J4141" s="562"/>
    </row>
    <row r="4142" spans="1:10" x14ac:dyDescent="0.25">
      <c r="A4142" s="362"/>
      <c r="B4142" s="611">
        <v>44347</v>
      </c>
      <c r="C4142" s="362" t="s">
        <v>80</v>
      </c>
      <c r="D4142" s="562">
        <v>170586800</v>
      </c>
      <c r="E4142" s="562"/>
      <c r="F4142" s="562">
        <v>170586800</v>
      </c>
      <c r="G4142" s="562">
        <f t="shared" si="184"/>
        <v>0</v>
      </c>
      <c r="H4142" s="562"/>
      <c r="I4142" s="562"/>
      <c r="J4142" s="562"/>
    </row>
    <row r="4143" spans="1:10" x14ac:dyDescent="0.25">
      <c r="A4143" s="362"/>
      <c r="B4143" s="611">
        <v>44347</v>
      </c>
      <c r="C4143" s="362" t="s">
        <v>83</v>
      </c>
      <c r="D4143" s="562">
        <v>304208371</v>
      </c>
      <c r="E4143" s="562">
        <v>40272229</v>
      </c>
      <c r="F4143" s="562">
        <v>344480600</v>
      </c>
      <c r="G4143" s="562">
        <f t="shared" si="184"/>
        <v>0</v>
      </c>
      <c r="H4143" s="562"/>
      <c r="I4143" s="562"/>
      <c r="J4143" s="562"/>
    </row>
    <row r="4144" spans="1:10" x14ac:dyDescent="0.25">
      <c r="A4144" s="362"/>
      <c r="B4144" s="611">
        <v>44347</v>
      </c>
      <c r="C4144" s="362" t="s">
        <v>78</v>
      </c>
      <c r="D4144" s="562">
        <v>54802749</v>
      </c>
      <c r="E4144" s="562">
        <v>5825451</v>
      </c>
      <c r="F4144" s="562">
        <v>60628200</v>
      </c>
      <c r="G4144" s="562">
        <f t="shared" si="184"/>
        <v>0</v>
      </c>
      <c r="H4144" s="562"/>
      <c r="I4144" s="562"/>
      <c r="J4144" s="562"/>
    </row>
    <row r="4145" spans="1:10" x14ac:dyDescent="0.25">
      <c r="A4145" s="362"/>
      <c r="B4145" s="611">
        <v>44347</v>
      </c>
      <c r="C4145" s="362" t="s">
        <v>141</v>
      </c>
      <c r="D4145" s="562">
        <v>39650880</v>
      </c>
      <c r="E4145" s="562">
        <v>7842899</v>
      </c>
      <c r="F4145" s="562">
        <v>47493800</v>
      </c>
      <c r="G4145" s="562">
        <f t="shared" si="184"/>
        <v>-21</v>
      </c>
      <c r="H4145" s="562"/>
      <c r="I4145" s="562"/>
      <c r="J4145" s="562"/>
    </row>
    <row r="4146" spans="1:10" x14ac:dyDescent="0.25">
      <c r="A4146" s="362"/>
      <c r="B4146" s="611">
        <v>44347</v>
      </c>
      <c r="C4146" s="362" t="s">
        <v>89</v>
      </c>
      <c r="D4146" s="562">
        <v>100274204</v>
      </c>
      <c r="E4146" s="562">
        <v>16534596</v>
      </c>
      <c r="F4146" s="562">
        <v>116808800</v>
      </c>
      <c r="G4146" s="562">
        <f t="shared" si="184"/>
        <v>0</v>
      </c>
      <c r="H4146" s="562"/>
      <c r="I4146" s="562"/>
      <c r="J4146" s="562"/>
    </row>
    <row r="4147" spans="1:10" x14ac:dyDescent="0.25">
      <c r="A4147" s="362"/>
      <c r="B4147" s="611">
        <v>44347</v>
      </c>
      <c r="C4147" s="362" t="s">
        <v>81</v>
      </c>
      <c r="D4147" s="562">
        <v>81786309</v>
      </c>
      <c r="E4147" s="562">
        <v>8815856</v>
      </c>
      <c r="F4147" s="562">
        <v>90602200</v>
      </c>
      <c r="G4147" s="562">
        <f t="shared" si="184"/>
        <v>-35</v>
      </c>
      <c r="H4147" s="562"/>
      <c r="I4147" s="562"/>
      <c r="J4147" s="562"/>
    </row>
    <row r="4148" spans="1:10" x14ac:dyDescent="0.25">
      <c r="A4148" s="362"/>
      <c r="B4148" s="611">
        <v>44347</v>
      </c>
      <c r="C4148" s="362" t="s">
        <v>84</v>
      </c>
      <c r="D4148" s="562">
        <v>132172708</v>
      </c>
      <c r="E4148" s="562">
        <v>5342114</v>
      </c>
      <c r="F4148" s="562">
        <v>137019800</v>
      </c>
      <c r="G4148" s="562">
        <f t="shared" si="184"/>
        <v>495022</v>
      </c>
      <c r="H4148" s="562"/>
      <c r="I4148" s="562"/>
      <c r="J4148" s="562"/>
    </row>
    <row r="4149" spans="1:10" x14ac:dyDescent="0.25">
      <c r="A4149" s="362"/>
      <c r="B4149" s="611">
        <v>44347</v>
      </c>
      <c r="C4149" s="362" t="s">
        <v>4751</v>
      </c>
      <c r="D4149" s="562">
        <v>168119831</v>
      </c>
      <c r="E4149" s="562">
        <v>16767369</v>
      </c>
      <c r="F4149" s="562">
        <v>184887200</v>
      </c>
      <c r="G4149" s="562">
        <f t="shared" si="184"/>
        <v>0</v>
      </c>
      <c r="H4149" s="562"/>
      <c r="I4149" s="562"/>
      <c r="J4149" s="562"/>
    </row>
    <row r="4150" spans="1:10" x14ac:dyDescent="0.25">
      <c r="A4150" s="362"/>
      <c r="B4150" s="611">
        <v>44347</v>
      </c>
      <c r="C4150" s="362" t="s">
        <v>166</v>
      </c>
      <c r="D4150" s="562">
        <v>47643072</v>
      </c>
      <c r="E4150" s="562"/>
      <c r="F4150" s="562">
        <v>47643100</v>
      </c>
      <c r="G4150" s="562">
        <f t="shared" si="184"/>
        <v>-28</v>
      </c>
      <c r="H4150" s="562"/>
      <c r="I4150" s="562"/>
      <c r="J4150" s="562"/>
    </row>
    <row r="4151" spans="1:10" x14ac:dyDescent="0.25">
      <c r="A4151" s="362"/>
      <c r="B4151" s="611">
        <v>44347</v>
      </c>
      <c r="C4151" s="362" t="s">
        <v>3435</v>
      </c>
      <c r="D4151" s="562">
        <v>27980771</v>
      </c>
      <c r="E4151" s="562"/>
      <c r="F4151" s="562">
        <v>27980800</v>
      </c>
      <c r="G4151" s="562">
        <f t="shared" si="184"/>
        <v>-29</v>
      </c>
      <c r="H4151" s="562"/>
      <c r="I4151" s="562"/>
      <c r="J4151" s="562"/>
    </row>
    <row r="4152" spans="1:10" x14ac:dyDescent="0.25">
      <c r="A4152" s="362"/>
      <c r="B4152" s="611">
        <v>44347</v>
      </c>
      <c r="C4152" s="370" t="s">
        <v>85</v>
      </c>
      <c r="D4152" s="562">
        <v>39357100</v>
      </c>
      <c r="E4152" s="562"/>
      <c r="F4152" s="562">
        <v>39357100</v>
      </c>
      <c r="G4152" s="562">
        <f t="shared" si="184"/>
        <v>0</v>
      </c>
      <c r="H4152" s="562"/>
      <c r="I4152" s="562"/>
      <c r="J4152" s="562"/>
    </row>
    <row r="4153" spans="1:10" x14ac:dyDescent="0.25">
      <c r="A4153" s="532"/>
      <c r="B4153" s="532"/>
      <c r="C4153" s="532"/>
      <c r="D4153" s="564">
        <f>SUM(D4138:D4152)</f>
        <v>1447917826</v>
      </c>
      <c r="E4153" s="564">
        <f t="shared" ref="E4153:G4153" si="186">SUM(E4138:E4152)</f>
        <v>331153306</v>
      </c>
      <c r="F4153" s="564">
        <f t="shared" si="186"/>
        <v>1778600500</v>
      </c>
      <c r="G4153" s="564">
        <f t="shared" si="186"/>
        <v>470632</v>
      </c>
      <c r="H4153" s="564"/>
      <c r="I4153" s="564"/>
      <c r="J4153" s="564"/>
    </row>
    <row r="4154" spans="1:10" x14ac:dyDescent="0.25">
      <c r="A4154" s="362"/>
      <c r="B4154" s="611">
        <v>44348</v>
      </c>
      <c r="C4154" s="362" t="s">
        <v>86</v>
      </c>
      <c r="D4154" s="562">
        <v>79418635</v>
      </c>
      <c r="E4154" s="562">
        <v>12608280</v>
      </c>
      <c r="F4154" s="562"/>
      <c r="G4154" s="562">
        <f t="shared" si="184"/>
        <v>92026915</v>
      </c>
      <c r="H4154" s="562"/>
      <c r="I4154" s="562"/>
      <c r="J4154" s="562"/>
    </row>
    <row r="4155" spans="1:10" x14ac:dyDescent="0.25">
      <c r="A4155" s="362"/>
      <c r="B4155" s="611">
        <v>44348</v>
      </c>
      <c r="C4155" s="362" t="s">
        <v>87</v>
      </c>
      <c r="D4155" s="562">
        <v>59908045</v>
      </c>
      <c r="E4155" s="562">
        <v>12913420</v>
      </c>
      <c r="F4155" s="562"/>
      <c r="G4155" s="562">
        <f t="shared" si="184"/>
        <v>72821465</v>
      </c>
      <c r="H4155" s="562"/>
      <c r="I4155" s="562"/>
      <c r="J4155" s="562"/>
    </row>
    <row r="4156" spans="1:10" x14ac:dyDescent="0.25">
      <c r="A4156" s="362"/>
      <c r="B4156" s="611">
        <v>44348</v>
      </c>
      <c r="C4156" s="362" t="s">
        <v>88</v>
      </c>
      <c r="D4156" s="562">
        <v>133208906</v>
      </c>
      <c r="E4156" s="562">
        <v>8115628</v>
      </c>
      <c r="F4156" s="562"/>
      <c r="G4156" s="562">
        <f t="shared" si="184"/>
        <v>141324534</v>
      </c>
      <c r="H4156" s="562"/>
      <c r="I4156" s="562"/>
      <c r="J4156" s="562"/>
    </row>
    <row r="4157" spans="1:10" x14ac:dyDescent="0.25">
      <c r="A4157" s="362"/>
      <c r="B4157" s="611">
        <v>44348</v>
      </c>
      <c r="C4157" s="362" t="s">
        <v>82</v>
      </c>
      <c r="D4157" s="562">
        <v>33486377</v>
      </c>
      <c r="E4157" s="562">
        <v>3912300</v>
      </c>
      <c r="F4157" s="562"/>
      <c r="G4157" s="562">
        <f t="shared" si="184"/>
        <v>37398677</v>
      </c>
      <c r="H4157" s="562"/>
      <c r="I4157" s="562"/>
      <c r="J4157" s="562"/>
    </row>
    <row r="4158" spans="1:10" x14ac:dyDescent="0.25">
      <c r="A4158" s="362"/>
      <c r="B4158" s="611">
        <v>44348</v>
      </c>
      <c r="C4158" s="362" t="s">
        <v>80</v>
      </c>
      <c r="D4158" s="562">
        <v>175555221</v>
      </c>
      <c r="E4158" s="562"/>
      <c r="F4158" s="562"/>
      <c r="G4158" s="562">
        <f t="shared" si="184"/>
        <v>175555221</v>
      </c>
      <c r="H4158" s="562"/>
      <c r="I4158" s="562"/>
      <c r="J4158" s="562"/>
    </row>
    <row r="4159" spans="1:10" x14ac:dyDescent="0.25">
      <c r="A4159" s="362"/>
      <c r="B4159" s="611">
        <v>44348</v>
      </c>
      <c r="C4159" s="362" t="s">
        <v>83</v>
      </c>
      <c r="D4159" s="562">
        <v>198746084</v>
      </c>
      <c r="E4159" s="562">
        <v>106827238</v>
      </c>
      <c r="F4159" s="562"/>
      <c r="G4159" s="562">
        <f t="shared" si="184"/>
        <v>305573322</v>
      </c>
      <c r="H4159" s="562"/>
      <c r="I4159" s="562"/>
      <c r="J4159" s="562"/>
    </row>
    <row r="4160" spans="1:10" x14ac:dyDescent="0.25">
      <c r="A4160" s="362"/>
      <c r="B4160" s="611">
        <v>44348</v>
      </c>
      <c r="C4160" s="362" t="s">
        <v>78</v>
      </c>
      <c r="D4160" s="562">
        <v>53826279</v>
      </c>
      <c r="E4160" s="562">
        <v>832321</v>
      </c>
      <c r="F4160" s="562"/>
      <c r="G4160" s="562">
        <f t="shared" si="184"/>
        <v>54658600</v>
      </c>
      <c r="H4160" s="562"/>
      <c r="I4160" s="562"/>
      <c r="J4160" s="562"/>
    </row>
    <row r="4161" spans="1:10" x14ac:dyDescent="0.25">
      <c r="A4161" s="362"/>
      <c r="B4161" s="611">
        <v>44348</v>
      </c>
      <c r="C4161" s="362" t="s">
        <v>141</v>
      </c>
      <c r="D4161" s="562">
        <v>96164164</v>
      </c>
      <c r="E4161" s="562"/>
      <c r="F4161" s="562"/>
      <c r="G4161" s="562">
        <f t="shared" si="184"/>
        <v>96164164</v>
      </c>
      <c r="H4161" s="562"/>
      <c r="I4161" s="562"/>
      <c r="J4161" s="562"/>
    </row>
    <row r="4162" spans="1:10" x14ac:dyDescent="0.25">
      <c r="A4162" s="362"/>
      <c r="B4162" s="611">
        <v>44348</v>
      </c>
      <c r="C4162" s="362" t="s">
        <v>89</v>
      </c>
      <c r="D4162" s="562">
        <v>154856290</v>
      </c>
      <c r="E4162" s="562">
        <v>15168110</v>
      </c>
      <c r="F4162" s="562"/>
      <c r="G4162" s="562">
        <f t="shared" si="184"/>
        <v>170024400</v>
      </c>
      <c r="H4162" s="562"/>
      <c r="I4162" s="562"/>
      <c r="J4162" s="562"/>
    </row>
    <row r="4163" spans="1:10" x14ac:dyDescent="0.25">
      <c r="A4163" s="362"/>
      <c r="B4163" s="611">
        <v>44348</v>
      </c>
      <c r="C4163" s="362" t="s">
        <v>81</v>
      </c>
      <c r="D4163" s="562">
        <v>77557902</v>
      </c>
      <c r="E4163" s="562">
        <v>11592892</v>
      </c>
      <c r="F4163" s="562"/>
      <c r="G4163" s="562">
        <f t="shared" si="184"/>
        <v>89150794</v>
      </c>
      <c r="H4163" s="562"/>
      <c r="I4163" s="562"/>
      <c r="J4163" s="562"/>
    </row>
    <row r="4164" spans="1:10" x14ac:dyDescent="0.25">
      <c r="A4164" s="362"/>
      <c r="B4164" s="611">
        <v>44348</v>
      </c>
      <c r="C4164" s="362" t="s">
        <v>84</v>
      </c>
      <c r="D4164" s="562">
        <v>190545261</v>
      </c>
      <c r="E4164" s="562">
        <v>73192871</v>
      </c>
      <c r="F4164" s="562"/>
      <c r="G4164" s="562">
        <f t="shared" si="184"/>
        <v>263738132</v>
      </c>
      <c r="H4164" s="562"/>
      <c r="I4164" s="562"/>
      <c r="J4164" s="562"/>
    </row>
    <row r="4165" spans="1:10" x14ac:dyDescent="0.25">
      <c r="A4165" s="362"/>
      <c r="B4165" s="611">
        <v>44348</v>
      </c>
      <c r="C4165" s="362" t="s">
        <v>4751</v>
      </c>
      <c r="D4165" s="562">
        <v>143643912</v>
      </c>
      <c r="E4165" s="562">
        <v>9969288</v>
      </c>
      <c r="F4165" s="562"/>
      <c r="G4165" s="562">
        <f t="shared" si="184"/>
        <v>153613200</v>
      </c>
      <c r="H4165" s="562"/>
      <c r="I4165" s="562"/>
      <c r="J4165" s="562"/>
    </row>
    <row r="4166" spans="1:10" x14ac:dyDescent="0.25">
      <c r="A4166" s="362"/>
      <c r="B4166" s="611">
        <v>44348</v>
      </c>
      <c r="C4166" s="362" t="s">
        <v>166</v>
      </c>
      <c r="D4166" s="562">
        <v>69239057</v>
      </c>
      <c r="E4166" s="562">
        <v>37024400</v>
      </c>
      <c r="F4166" s="562"/>
      <c r="G4166" s="562">
        <f t="shared" si="184"/>
        <v>106263457</v>
      </c>
      <c r="H4166" s="562"/>
      <c r="I4166" s="562"/>
      <c r="J4166" s="562"/>
    </row>
    <row r="4167" spans="1:10" x14ac:dyDescent="0.25">
      <c r="A4167" s="362"/>
      <c r="B4167" s="611">
        <v>44348</v>
      </c>
      <c r="C4167" s="362" t="s">
        <v>3435</v>
      </c>
      <c r="D4167" s="562">
        <v>31747470</v>
      </c>
      <c r="E4167" s="562"/>
      <c r="F4167" s="562"/>
      <c r="G4167" s="562">
        <f t="shared" si="184"/>
        <v>31747470</v>
      </c>
      <c r="H4167" s="562"/>
      <c r="I4167" s="562"/>
      <c r="J4167" s="562"/>
    </row>
    <row r="4168" spans="1:10" x14ac:dyDescent="0.25">
      <c r="A4168" s="362"/>
      <c r="B4168" s="611">
        <v>44348</v>
      </c>
      <c r="C4168" s="370" t="s">
        <v>85</v>
      </c>
      <c r="D4168" s="562">
        <v>27313200</v>
      </c>
      <c r="E4168" s="562"/>
      <c r="F4168" s="562"/>
      <c r="G4168" s="562">
        <f t="shared" si="184"/>
        <v>27313200</v>
      </c>
      <c r="H4168" s="562"/>
      <c r="I4168" s="562"/>
      <c r="J4168" s="562"/>
    </row>
    <row r="4169" spans="1:10" x14ac:dyDescent="0.25">
      <c r="A4169" s="532"/>
      <c r="B4169" s="532"/>
      <c r="C4169" s="532"/>
      <c r="D4169" s="564">
        <f>SUM(D4154:D4168)</f>
        <v>1525216803</v>
      </c>
      <c r="E4169" s="564">
        <f t="shared" ref="E4169:G4169" si="187">SUM(E4154:E4168)</f>
        <v>292156748</v>
      </c>
      <c r="F4169" s="564">
        <f t="shared" si="187"/>
        <v>0</v>
      </c>
      <c r="G4169" s="564">
        <f t="shared" si="187"/>
        <v>1817373551</v>
      </c>
      <c r="H4169" s="564"/>
      <c r="I4169" s="564"/>
      <c r="J4169" s="564"/>
    </row>
    <row r="4170" spans="1:10" x14ac:dyDescent="0.25">
      <c r="A4170" s="362"/>
      <c r="B4170" s="611">
        <v>44349</v>
      </c>
      <c r="C4170" s="362" t="s">
        <v>86</v>
      </c>
      <c r="D4170" s="562">
        <v>42197007</v>
      </c>
      <c r="E4170" s="562">
        <v>86817211</v>
      </c>
      <c r="F4170" s="562">
        <v>129014200</v>
      </c>
      <c r="G4170" s="562">
        <f t="shared" si="184"/>
        <v>18</v>
      </c>
      <c r="H4170" s="562"/>
      <c r="I4170" s="562"/>
      <c r="J4170" s="562"/>
    </row>
    <row r="4171" spans="1:10" x14ac:dyDescent="0.25">
      <c r="A4171" s="362"/>
      <c r="B4171" s="611">
        <v>44349</v>
      </c>
      <c r="C4171" s="362" t="s">
        <v>87</v>
      </c>
      <c r="D4171" s="562">
        <v>43361128</v>
      </c>
      <c r="E4171" s="562">
        <v>60571034</v>
      </c>
      <c r="F4171" s="562">
        <v>103935200</v>
      </c>
      <c r="G4171" s="562">
        <f t="shared" si="184"/>
        <v>-3038</v>
      </c>
      <c r="H4171" s="562"/>
      <c r="I4171" s="562"/>
      <c r="J4171" s="562"/>
    </row>
    <row r="4172" spans="1:10" x14ac:dyDescent="0.25">
      <c r="A4172" s="362"/>
      <c r="B4172" s="611">
        <v>44349</v>
      </c>
      <c r="C4172" s="362" t="s">
        <v>88</v>
      </c>
      <c r="D4172" s="562">
        <v>182832508</v>
      </c>
      <c r="E4172" s="562">
        <v>10354507</v>
      </c>
      <c r="F4172" s="562">
        <v>193187100</v>
      </c>
      <c r="G4172" s="562">
        <f t="shared" ref="G4172:G4235" si="188">D4172+E4172-F4172</f>
        <v>-85</v>
      </c>
      <c r="H4172" s="562"/>
      <c r="I4172" s="562"/>
      <c r="J4172" s="562"/>
    </row>
    <row r="4173" spans="1:10" x14ac:dyDescent="0.25">
      <c r="A4173" s="362"/>
      <c r="B4173" s="611">
        <v>44349</v>
      </c>
      <c r="C4173" s="362" t="s">
        <v>82</v>
      </c>
      <c r="D4173" s="562">
        <v>79584976</v>
      </c>
      <c r="E4173" s="562">
        <v>122076857</v>
      </c>
      <c r="F4173" s="562">
        <v>201661900</v>
      </c>
      <c r="G4173" s="562">
        <f t="shared" si="188"/>
        <v>-67</v>
      </c>
      <c r="H4173" s="562"/>
      <c r="I4173" s="562"/>
      <c r="J4173" s="562"/>
    </row>
    <row r="4174" spans="1:10" x14ac:dyDescent="0.25">
      <c r="A4174" s="362"/>
      <c r="B4174" s="611">
        <v>44349</v>
      </c>
      <c r="C4174" s="362" t="s">
        <v>80</v>
      </c>
      <c r="D4174" s="562">
        <v>353794158</v>
      </c>
      <c r="E4174" s="562"/>
      <c r="F4174" s="562">
        <v>353789300</v>
      </c>
      <c r="G4174" s="562">
        <f t="shared" si="188"/>
        <v>4858</v>
      </c>
      <c r="H4174" s="562"/>
      <c r="I4174" s="562"/>
      <c r="J4174" s="562"/>
    </row>
    <row r="4175" spans="1:10" x14ac:dyDescent="0.25">
      <c r="A4175" s="362"/>
      <c r="B4175" s="611">
        <v>44349</v>
      </c>
      <c r="C4175" s="362" t="s">
        <v>83</v>
      </c>
      <c r="D4175" s="562">
        <v>150610113</v>
      </c>
      <c r="E4175" s="562">
        <v>159623949</v>
      </c>
      <c r="F4175" s="562">
        <v>310234100</v>
      </c>
      <c r="G4175" s="562">
        <f t="shared" si="188"/>
        <v>-38</v>
      </c>
      <c r="H4175" s="562"/>
      <c r="I4175" s="562"/>
      <c r="J4175" s="562"/>
    </row>
    <row r="4176" spans="1:10" x14ac:dyDescent="0.25">
      <c r="A4176" s="362"/>
      <c r="B4176" s="611">
        <v>44349</v>
      </c>
      <c r="C4176" s="362" t="s">
        <v>78</v>
      </c>
      <c r="D4176" s="562">
        <v>109820351</v>
      </c>
      <c r="E4176" s="562">
        <v>3201049</v>
      </c>
      <c r="F4176" s="562">
        <v>113021400</v>
      </c>
      <c r="G4176" s="562">
        <f t="shared" si="188"/>
        <v>0</v>
      </c>
      <c r="H4176" s="562"/>
      <c r="I4176" s="562"/>
      <c r="J4176" s="562"/>
    </row>
    <row r="4177" spans="1:10" x14ac:dyDescent="0.25">
      <c r="A4177" s="362"/>
      <c r="B4177" s="611">
        <v>44349</v>
      </c>
      <c r="C4177" s="362" t="s">
        <v>141</v>
      </c>
      <c r="D4177" s="562">
        <v>68191132</v>
      </c>
      <c r="E4177" s="562">
        <v>2521412</v>
      </c>
      <c r="F4177" s="562">
        <v>70712500</v>
      </c>
      <c r="G4177" s="562">
        <f t="shared" si="188"/>
        <v>44</v>
      </c>
      <c r="H4177" s="562"/>
      <c r="I4177" s="562"/>
      <c r="J4177" s="562"/>
    </row>
    <row r="4178" spans="1:10" x14ac:dyDescent="0.25">
      <c r="A4178" s="362"/>
      <c r="B4178" s="611">
        <v>44349</v>
      </c>
      <c r="C4178" s="362" t="s">
        <v>89</v>
      </c>
      <c r="D4178" s="562">
        <v>146801443</v>
      </c>
      <c r="E4178" s="562">
        <v>11004857</v>
      </c>
      <c r="F4178" s="562">
        <v>157806300</v>
      </c>
      <c r="G4178" s="562">
        <f t="shared" si="188"/>
        <v>0</v>
      </c>
      <c r="H4178" s="562"/>
      <c r="I4178" s="562"/>
      <c r="J4178" s="562"/>
    </row>
    <row r="4179" spans="1:10" x14ac:dyDescent="0.25">
      <c r="A4179" s="362"/>
      <c r="B4179" s="611">
        <v>44349</v>
      </c>
      <c r="C4179" s="362" t="s">
        <v>81</v>
      </c>
      <c r="D4179" s="562">
        <v>164025872</v>
      </c>
      <c r="E4179" s="562">
        <v>8256338</v>
      </c>
      <c r="F4179" s="562">
        <v>172282200</v>
      </c>
      <c r="G4179" s="562">
        <f t="shared" si="188"/>
        <v>10</v>
      </c>
      <c r="H4179" s="562"/>
      <c r="I4179" s="562"/>
      <c r="J4179" s="562"/>
    </row>
    <row r="4180" spans="1:10" x14ac:dyDescent="0.25">
      <c r="A4180" s="362"/>
      <c r="B4180" s="611">
        <v>44349</v>
      </c>
      <c r="C4180" s="362" t="s">
        <v>84</v>
      </c>
      <c r="D4180" s="562">
        <v>248090514</v>
      </c>
      <c r="E4180" s="562">
        <v>10775042</v>
      </c>
      <c r="F4180" s="562">
        <v>258865600</v>
      </c>
      <c r="G4180" s="562">
        <f t="shared" si="188"/>
        <v>-44</v>
      </c>
      <c r="H4180" s="562"/>
      <c r="I4180" s="562"/>
      <c r="J4180" s="562"/>
    </row>
    <row r="4181" spans="1:10" x14ac:dyDescent="0.25">
      <c r="A4181" s="362"/>
      <c r="B4181" s="611">
        <v>44349</v>
      </c>
      <c r="C4181" s="362" t="s">
        <v>4751</v>
      </c>
      <c r="D4181" s="562">
        <v>172774095</v>
      </c>
      <c r="E4181" s="562">
        <v>7543405</v>
      </c>
      <c r="F4181" s="562">
        <v>180317500</v>
      </c>
      <c r="G4181" s="562">
        <f t="shared" si="188"/>
        <v>0</v>
      </c>
      <c r="H4181" s="562"/>
      <c r="I4181" s="562"/>
      <c r="J4181" s="562"/>
    </row>
    <row r="4182" spans="1:10" x14ac:dyDescent="0.25">
      <c r="A4182" s="362"/>
      <c r="B4182" s="611">
        <v>44349</v>
      </c>
      <c r="C4182" s="362" t="s">
        <v>166</v>
      </c>
      <c r="D4182" s="562">
        <v>52017676</v>
      </c>
      <c r="E4182" s="562"/>
      <c r="F4182" s="562">
        <v>52017700</v>
      </c>
      <c r="G4182" s="562">
        <f t="shared" si="188"/>
        <v>-24</v>
      </c>
      <c r="H4182" s="562"/>
      <c r="I4182" s="562"/>
      <c r="J4182" s="562"/>
    </row>
    <row r="4183" spans="1:10" x14ac:dyDescent="0.25">
      <c r="A4183" s="362"/>
      <c r="B4183" s="611">
        <v>44349</v>
      </c>
      <c r="C4183" s="362" t="s">
        <v>3435</v>
      </c>
      <c r="D4183" s="562">
        <v>75094758</v>
      </c>
      <c r="E4183" s="562"/>
      <c r="F4183" s="562">
        <v>75094800</v>
      </c>
      <c r="G4183" s="562">
        <f t="shared" si="188"/>
        <v>-42</v>
      </c>
      <c r="H4183" s="562"/>
      <c r="I4183" s="562"/>
      <c r="J4183" s="562"/>
    </row>
    <row r="4184" spans="1:10" x14ac:dyDescent="0.25">
      <c r="A4184" s="362"/>
      <c r="B4184" s="611">
        <v>44349</v>
      </c>
      <c r="C4184" s="370" t="s">
        <v>85</v>
      </c>
      <c r="D4184" s="565">
        <v>36767800</v>
      </c>
      <c r="E4184" s="362"/>
      <c r="F4184" s="362">
        <v>36767800</v>
      </c>
      <c r="G4184" s="562">
        <f t="shared" si="188"/>
        <v>0</v>
      </c>
      <c r="H4184" s="362"/>
      <c r="I4184" s="362"/>
      <c r="J4184" s="362"/>
    </row>
    <row r="4185" spans="1:10" x14ac:dyDescent="0.25">
      <c r="A4185" s="532"/>
      <c r="B4185" s="532"/>
      <c r="C4185" s="532"/>
      <c r="D4185" s="632">
        <f>SUM(D4170:D4184)</f>
        <v>1925963531</v>
      </c>
      <c r="E4185" s="632">
        <f t="shared" ref="E4185:G4185" si="189">SUM(E4170:E4184)</f>
        <v>482745661</v>
      </c>
      <c r="F4185" s="632">
        <f t="shared" si="189"/>
        <v>2408707600</v>
      </c>
      <c r="G4185" s="632">
        <f t="shared" si="189"/>
        <v>1592</v>
      </c>
      <c r="H4185" s="532"/>
      <c r="I4185" s="532"/>
      <c r="J4185" s="532"/>
    </row>
    <row r="4186" spans="1:10" x14ac:dyDescent="0.25">
      <c r="A4186" s="362"/>
      <c r="B4186" s="611">
        <v>44350</v>
      </c>
      <c r="C4186" s="362" t="s">
        <v>86</v>
      </c>
      <c r="D4186" s="562">
        <v>116938300</v>
      </c>
      <c r="E4186" s="562">
        <v>58469548</v>
      </c>
      <c r="F4186" s="562">
        <v>175407700</v>
      </c>
      <c r="G4186" s="562">
        <f t="shared" si="188"/>
        <v>148</v>
      </c>
      <c r="H4186" s="562"/>
      <c r="I4186" s="562"/>
      <c r="J4186" s="562"/>
    </row>
    <row r="4187" spans="1:10" x14ac:dyDescent="0.25">
      <c r="A4187" s="362"/>
      <c r="B4187" s="611">
        <v>44350</v>
      </c>
      <c r="C4187" s="362" t="s">
        <v>87</v>
      </c>
      <c r="D4187" s="562">
        <v>66495085</v>
      </c>
      <c r="E4187" s="562">
        <v>139991048</v>
      </c>
      <c r="F4187" s="562">
        <v>206485800</v>
      </c>
      <c r="G4187" s="562">
        <f t="shared" si="188"/>
        <v>333</v>
      </c>
      <c r="H4187" s="562"/>
      <c r="I4187" s="562"/>
      <c r="J4187" s="562"/>
    </row>
    <row r="4188" spans="1:10" x14ac:dyDescent="0.25">
      <c r="A4188" s="362"/>
      <c r="B4188" s="611">
        <v>44350</v>
      </c>
      <c r="C4188" s="362" t="s">
        <v>88</v>
      </c>
      <c r="D4188" s="562">
        <v>202285727</v>
      </c>
      <c r="E4188" s="562">
        <v>18421669</v>
      </c>
      <c r="F4188" s="562">
        <v>220707400</v>
      </c>
      <c r="G4188" s="562">
        <f t="shared" si="188"/>
        <v>-4</v>
      </c>
      <c r="H4188" s="562"/>
      <c r="I4188" s="562"/>
      <c r="J4188" s="562"/>
    </row>
    <row r="4189" spans="1:10" x14ac:dyDescent="0.25">
      <c r="A4189" s="362"/>
      <c r="B4189" s="611">
        <v>44350</v>
      </c>
      <c r="C4189" s="362" t="s">
        <v>82</v>
      </c>
      <c r="D4189" s="562">
        <v>107200762</v>
      </c>
      <c r="E4189" s="562">
        <v>1193500</v>
      </c>
      <c r="F4189" s="562">
        <v>108394300</v>
      </c>
      <c r="G4189" s="562">
        <f t="shared" si="188"/>
        <v>-38</v>
      </c>
      <c r="H4189" s="562"/>
      <c r="I4189" s="562"/>
      <c r="J4189" s="562"/>
    </row>
    <row r="4190" spans="1:10" x14ac:dyDescent="0.25">
      <c r="A4190" s="362"/>
      <c r="B4190" s="611">
        <v>44350</v>
      </c>
      <c r="C4190" s="362" t="s">
        <v>80</v>
      </c>
      <c r="D4190" s="562">
        <v>191215789</v>
      </c>
      <c r="E4190" s="562"/>
      <c r="F4190" s="562">
        <v>191215700</v>
      </c>
      <c r="G4190" s="562">
        <f t="shared" si="188"/>
        <v>89</v>
      </c>
      <c r="H4190" s="562"/>
      <c r="I4190" s="562"/>
      <c r="J4190" s="562"/>
    </row>
    <row r="4191" spans="1:10" x14ac:dyDescent="0.25">
      <c r="A4191" s="362"/>
      <c r="B4191" s="611">
        <v>44350</v>
      </c>
      <c r="C4191" s="362" t="s">
        <v>83</v>
      </c>
      <c r="D4191" s="562">
        <v>209844123</v>
      </c>
      <c r="E4191" s="562">
        <v>5460773</v>
      </c>
      <c r="F4191" s="562">
        <v>215304900</v>
      </c>
      <c r="G4191" s="562">
        <f t="shared" si="188"/>
        <v>-4</v>
      </c>
      <c r="H4191" s="562"/>
      <c r="I4191" s="562"/>
      <c r="J4191" s="562"/>
    </row>
    <row r="4192" spans="1:10" x14ac:dyDescent="0.25">
      <c r="A4192" s="362"/>
      <c r="B4192" s="611">
        <v>44350</v>
      </c>
      <c r="C4192" s="362" t="s">
        <v>78</v>
      </c>
      <c r="D4192" s="562">
        <v>73426095</v>
      </c>
      <c r="E4192" s="562">
        <v>2011805</v>
      </c>
      <c r="F4192" s="562">
        <v>75437900</v>
      </c>
      <c r="G4192" s="562">
        <f t="shared" si="188"/>
        <v>0</v>
      </c>
      <c r="H4192" s="562"/>
      <c r="I4192" s="562"/>
      <c r="J4192" s="562"/>
    </row>
    <row r="4193" spans="1:10" x14ac:dyDescent="0.25">
      <c r="A4193" s="362"/>
      <c r="B4193" s="611">
        <v>44350</v>
      </c>
      <c r="C4193" s="362" t="s">
        <v>141</v>
      </c>
      <c r="D4193" s="562">
        <v>80639161</v>
      </c>
      <c r="E4193" s="562">
        <v>597000</v>
      </c>
      <c r="F4193" s="562">
        <v>81236200</v>
      </c>
      <c r="G4193" s="562">
        <f t="shared" si="188"/>
        <v>-39</v>
      </c>
      <c r="H4193" s="562"/>
      <c r="I4193" s="562"/>
      <c r="J4193" s="562"/>
    </row>
    <row r="4194" spans="1:10" x14ac:dyDescent="0.25">
      <c r="A4194" s="362"/>
      <c r="B4194" s="611">
        <v>44350</v>
      </c>
      <c r="C4194" s="362" t="s">
        <v>89</v>
      </c>
      <c r="D4194" s="562">
        <v>140694202</v>
      </c>
      <c r="E4194" s="562">
        <v>21260498</v>
      </c>
      <c r="F4194" s="562">
        <v>161954700</v>
      </c>
      <c r="G4194" s="562">
        <f t="shared" si="188"/>
        <v>0</v>
      </c>
      <c r="H4194" s="562"/>
      <c r="I4194" s="562"/>
      <c r="J4194" s="562"/>
    </row>
    <row r="4195" spans="1:10" x14ac:dyDescent="0.25">
      <c r="A4195" s="362"/>
      <c r="B4195" s="611">
        <v>44350</v>
      </c>
      <c r="C4195" s="362" t="s">
        <v>81</v>
      </c>
      <c r="D4195" s="562">
        <v>74368329</v>
      </c>
      <c r="E4195" s="562">
        <v>22565790</v>
      </c>
      <c r="F4195" s="562">
        <v>96934200</v>
      </c>
      <c r="G4195" s="562">
        <f t="shared" si="188"/>
        <v>-81</v>
      </c>
      <c r="H4195" s="562"/>
      <c r="I4195" s="562"/>
      <c r="J4195" s="562"/>
    </row>
    <row r="4196" spans="1:10" x14ac:dyDescent="0.25">
      <c r="A4196" s="362"/>
      <c r="B4196" s="611">
        <v>44350</v>
      </c>
      <c r="C4196" s="362" t="s">
        <v>84</v>
      </c>
      <c r="D4196" s="562">
        <v>203077099</v>
      </c>
      <c r="E4196" s="562">
        <v>10878689</v>
      </c>
      <c r="F4196" s="562">
        <v>213955800</v>
      </c>
      <c r="G4196" s="562">
        <f t="shared" si="188"/>
        <v>-12</v>
      </c>
      <c r="H4196" s="562"/>
      <c r="I4196" s="562"/>
      <c r="J4196" s="562"/>
    </row>
    <row r="4197" spans="1:10" x14ac:dyDescent="0.25">
      <c r="A4197" s="362"/>
      <c r="B4197" s="611">
        <v>44350</v>
      </c>
      <c r="C4197" s="362" t="s">
        <v>4751</v>
      </c>
      <c r="D4197" s="562">
        <v>300689403</v>
      </c>
      <c r="E4197" s="562">
        <v>17062097</v>
      </c>
      <c r="F4197" s="562">
        <v>317751600</v>
      </c>
      <c r="G4197" s="562">
        <f t="shared" si="188"/>
        <v>-100</v>
      </c>
      <c r="H4197" s="562"/>
      <c r="I4197" s="562"/>
      <c r="J4197" s="562"/>
    </row>
    <row r="4198" spans="1:10" x14ac:dyDescent="0.25">
      <c r="A4198" s="362"/>
      <c r="B4198" s="611">
        <v>44350</v>
      </c>
      <c r="C4198" s="362" t="s">
        <v>166</v>
      </c>
      <c r="D4198" s="562">
        <v>65609418</v>
      </c>
      <c r="E4198" s="562"/>
      <c r="F4198" s="562">
        <v>65609500</v>
      </c>
      <c r="G4198" s="562">
        <f t="shared" si="188"/>
        <v>-82</v>
      </c>
      <c r="H4198" s="562"/>
      <c r="I4198" s="562"/>
      <c r="J4198" s="562"/>
    </row>
    <row r="4199" spans="1:10" x14ac:dyDescent="0.25">
      <c r="A4199" s="362"/>
      <c r="B4199" s="611">
        <v>44350</v>
      </c>
      <c r="C4199" s="362" t="s">
        <v>3435</v>
      </c>
      <c r="D4199" s="562">
        <v>66195825</v>
      </c>
      <c r="E4199" s="562"/>
      <c r="F4199" s="562">
        <v>66195900</v>
      </c>
      <c r="G4199" s="562">
        <f t="shared" si="188"/>
        <v>-75</v>
      </c>
      <c r="H4199" s="562"/>
      <c r="I4199" s="562"/>
      <c r="J4199" s="562"/>
    </row>
    <row r="4200" spans="1:10" x14ac:dyDescent="0.25">
      <c r="A4200" s="362"/>
      <c r="B4200" s="611">
        <v>44350</v>
      </c>
      <c r="C4200" s="370" t="s">
        <v>85</v>
      </c>
      <c r="D4200" s="562">
        <v>38433700</v>
      </c>
      <c r="E4200" s="562"/>
      <c r="F4200" s="562">
        <v>38433700</v>
      </c>
      <c r="G4200" s="562">
        <f t="shared" si="188"/>
        <v>0</v>
      </c>
      <c r="H4200" s="562"/>
      <c r="I4200" s="562"/>
      <c r="J4200" s="562"/>
    </row>
    <row r="4201" spans="1:10" x14ac:dyDescent="0.25">
      <c r="A4201" s="532"/>
      <c r="B4201" s="532"/>
      <c r="C4201" s="532"/>
      <c r="D4201" s="564">
        <f>SUM(D4186:D4200)</f>
        <v>1937113018</v>
      </c>
      <c r="E4201" s="564">
        <f t="shared" ref="E4201:G4201" si="190">SUM(E4186:E4200)</f>
        <v>297912417</v>
      </c>
      <c r="F4201" s="564">
        <f t="shared" si="190"/>
        <v>2235025300</v>
      </c>
      <c r="G4201" s="564">
        <f t="shared" si="190"/>
        <v>135</v>
      </c>
      <c r="H4201" s="564"/>
      <c r="I4201" s="564"/>
      <c r="J4201" s="564"/>
    </row>
    <row r="4202" spans="1:10" x14ac:dyDescent="0.25">
      <c r="A4202" s="362"/>
      <c r="B4202" s="611">
        <v>44351</v>
      </c>
      <c r="C4202" s="362" t="s">
        <v>86</v>
      </c>
      <c r="D4202" s="562">
        <v>100033051</v>
      </c>
      <c r="E4202" s="562">
        <v>121081260</v>
      </c>
      <c r="F4202" s="562">
        <v>221114300</v>
      </c>
      <c r="G4202" s="562">
        <f t="shared" si="188"/>
        <v>11</v>
      </c>
      <c r="H4202" s="562"/>
      <c r="I4202" s="562"/>
      <c r="J4202" s="562"/>
    </row>
    <row r="4203" spans="1:10" x14ac:dyDescent="0.25">
      <c r="A4203" s="362"/>
      <c r="B4203" s="611">
        <v>44351</v>
      </c>
      <c r="C4203" s="362" t="s">
        <v>87</v>
      </c>
      <c r="D4203" s="562">
        <v>191513459</v>
      </c>
      <c r="E4203" s="562">
        <v>81355237</v>
      </c>
      <c r="F4203" s="562">
        <v>272869200</v>
      </c>
      <c r="G4203" s="562">
        <f t="shared" si="188"/>
        <v>-504</v>
      </c>
      <c r="H4203" s="562"/>
      <c r="I4203" s="562"/>
      <c r="J4203" s="562"/>
    </row>
    <row r="4204" spans="1:10" x14ac:dyDescent="0.25">
      <c r="A4204" s="362"/>
      <c r="B4204" s="611">
        <v>44351</v>
      </c>
      <c r="C4204" s="362" t="s">
        <v>88</v>
      </c>
      <c r="D4204" s="562">
        <v>187639766</v>
      </c>
      <c r="E4204" s="562">
        <v>17022610</v>
      </c>
      <c r="F4204" s="562">
        <v>204662400</v>
      </c>
      <c r="G4204" s="562">
        <f t="shared" si="188"/>
        <v>-24</v>
      </c>
      <c r="H4204" s="562"/>
      <c r="I4204" s="562"/>
      <c r="J4204" s="562"/>
    </row>
    <row r="4205" spans="1:10" x14ac:dyDescent="0.25">
      <c r="A4205" s="362"/>
      <c r="B4205" s="611">
        <v>44351</v>
      </c>
      <c r="C4205" s="362" t="s">
        <v>82</v>
      </c>
      <c r="D4205" s="562">
        <v>83036490</v>
      </c>
      <c r="E4205" s="562">
        <v>63620692</v>
      </c>
      <c r="F4205" s="562">
        <v>146657200</v>
      </c>
      <c r="G4205" s="562">
        <f t="shared" si="188"/>
        <v>-18</v>
      </c>
      <c r="H4205" s="562"/>
      <c r="I4205" s="562"/>
      <c r="J4205" s="562"/>
    </row>
    <row r="4206" spans="1:10" x14ac:dyDescent="0.25">
      <c r="A4206" s="362"/>
      <c r="B4206" s="611">
        <v>44351</v>
      </c>
      <c r="C4206" s="362" t="s">
        <v>80</v>
      </c>
      <c r="D4206" s="562">
        <v>212534271</v>
      </c>
      <c r="E4206" s="562"/>
      <c r="F4206" s="562">
        <v>212534700</v>
      </c>
      <c r="G4206" s="562">
        <f t="shared" si="188"/>
        <v>-429</v>
      </c>
      <c r="H4206" s="562"/>
      <c r="I4206" s="562"/>
      <c r="J4206" s="562"/>
    </row>
    <row r="4207" spans="1:10" x14ac:dyDescent="0.25">
      <c r="A4207" s="362"/>
      <c r="B4207" s="611">
        <v>44351</v>
      </c>
      <c r="C4207" s="362" t="s">
        <v>83</v>
      </c>
      <c r="D4207" s="562">
        <v>283933127</v>
      </c>
      <c r="E4207" s="562">
        <v>15708505</v>
      </c>
      <c r="F4207" s="562">
        <v>299641600</v>
      </c>
      <c r="G4207" s="562">
        <f t="shared" si="188"/>
        <v>32</v>
      </c>
      <c r="H4207" s="562"/>
      <c r="I4207" s="562"/>
      <c r="J4207" s="562"/>
    </row>
    <row r="4208" spans="1:10" x14ac:dyDescent="0.25">
      <c r="A4208" s="362"/>
      <c r="B4208" s="611">
        <v>44351</v>
      </c>
      <c r="C4208" s="362" t="s">
        <v>78</v>
      </c>
      <c r="D4208" s="562">
        <v>160828396</v>
      </c>
      <c r="E4208" s="562">
        <v>1798404</v>
      </c>
      <c r="F4208" s="562">
        <v>162626800</v>
      </c>
      <c r="G4208" s="562">
        <f t="shared" si="188"/>
        <v>0</v>
      </c>
      <c r="H4208" s="562"/>
      <c r="I4208" s="562"/>
      <c r="J4208" s="562"/>
    </row>
    <row r="4209" spans="1:10" x14ac:dyDescent="0.25">
      <c r="A4209" s="362"/>
      <c r="B4209" s="611">
        <v>44351</v>
      </c>
      <c r="C4209" s="362" t="s">
        <v>141</v>
      </c>
      <c r="D4209" s="562">
        <v>71467835</v>
      </c>
      <c r="E4209" s="562">
        <v>591261</v>
      </c>
      <c r="F4209" s="562">
        <v>72059200</v>
      </c>
      <c r="G4209" s="562">
        <f t="shared" si="188"/>
        <v>-104</v>
      </c>
      <c r="H4209" s="562"/>
      <c r="I4209" s="562"/>
      <c r="J4209" s="562"/>
    </row>
    <row r="4210" spans="1:10" x14ac:dyDescent="0.25">
      <c r="A4210" s="362"/>
      <c r="B4210" s="611">
        <v>44351</v>
      </c>
      <c r="C4210" s="362" t="s">
        <v>89</v>
      </c>
      <c r="D4210" s="562">
        <v>185720918</v>
      </c>
      <c r="E4210" s="562">
        <v>18161882</v>
      </c>
      <c r="F4210" s="562">
        <v>203882800</v>
      </c>
      <c r="G4210" s="562">
        <f t="shared" si="188"/>
        <v>0</v>
      </c>
      <c r="H4210" s="562"/>
      <c r="I4210" s="562"/>
      <c r="J4210" s="562"/>
    </row>
    <row r="4211" spans="1:10" x14ac:dyDescent="0.25">
      <c r="A4211" s="362"/>
      <c r="B4211" s="611">
        <v>44351</v>
      </c>
      <c r="C4211" s="362" t="s">
        <v>81</v>
      </c>
      <c r="D4211" s="562">
        <v>188906846</v>
      </c>
      <c r="E4211" s="562">
        <v>23295657</v>
      </c>
      <c r="F4211" s="562">
        <f>147822800+64379700</f>
        <v>212202500</v>
      </c>
      <c r="G4211" s="562">
        <f t="shared" si="188"/>
        <v>3</v>
      </c>
      <c r="H4211" s="562"/>
      <c r="I4211" s="562"/>
      <c r="J4211" s="562"/>
    </row>
    <row r="4212" spans="1:10" x14ac:dyDescent="0.25">
      <c r="A4212" s="362"/>
      <c r="B4212" s="611">
        <v>44351</v>
      </c>
      <c r="C4212" s="362" t="s">
        <v>84</v>
      </c>
      <c r="D4212" s="562">
        <v>190613056</v>
      </c>
      <c r="E4212" s="562">
        <v>17292736</v>
      </c>
      <c r="F4212" s="562">
        <v>207905800</v>
      </c>
      <c r="G4212" s="562">
        <f t="shared" si="188"/>
        <v>-8</v>
      </c>
      <c r="H4212" s="562"/>
      <c r="I4212" s="562"/>
      <c r="J4212" s="562"/>
    </row>
    <row r="4213" spans="1:10" x14ac:dyDescent="0.25">
      <c r="A4213" s="362"/>
      <c r="B4213" s="611">
        <v>44351</v>
      </c>
      <c r="C4213" s="362" t="s">
        <v>4751</v>
      </c>
      <c r="D4213" s="562">
        <v>153364156</v>
      </c>
      <c r="E4213" s="562">
        <v>62567544</v>
      </c>
      <c r="F4213" s="562">
        <v>215931300</v>
      </c>
      <c r="G4213" s="562">
        <f t="shared" si="188"/>
        <v>400</v>
      </c>
      <c r="H4213" s="562"/>
      <c r="I4213" s="562"/>
      <c r="J4213" s="562"/>
    </row>
    <row r="4214" spans="1:10" x14ac:dyDescent="0.25">
      <c r="A4214" s="362"/>
      <c r="B4214" s="611">
        <v>44351</v>
      </c>
      <c r="C4214" s="362" t="s">
        <v>166</v>
      </c>
      <c r="D4214" s="562"/>
      <c r="E4214" s="562"/>
      <c r="F4214" s="562"/>
      <c r="G4214" s="562">
        <f t="shared" si="188"/>
        <v>0</v>
      </c>
      <c r="H4214" s="562"/>
      <c r="I4214" s="562"/>
      <c r="J4214" s="562"/>
    </row>
    <row r="4215" spans="1:10" x14ac:dyDescent="0.25">
      <c r="A4215" s="362"/>
      <c r="B4215" s="611">
        <v>44351</v>
      </c>
      <c r="C4215" s="362" t="s">
        <v>3435</v>
      </c>
      <c r="D4215" s="562"/>
      <c r="E4215" s="562"/>
      <c r="F4215" s="562"/>
      <c r="G4215" s="562">
        <f t="shared" si="188"/>
        <v>0</v>
      </c>
      <c r="H4215" s="562"/>
      <c r="I4215" s="562"/>
      <c r="J4215" s="562"/>
    </row>
    <row r="4216" spans="1:10" x14ac:dyDescent="0.25">
      <c r="A4216" s="362"/>
      <c r="B4216" s="611">
        <v>44351</v>
      </c>
      <c r="C4216" s="370" t="s">
        <v>85</v>
      </c>
      <c r="D4216" s="562">
        <v>27207700</v>
      </c>
      <c r="E4216" s="562"/>
      <c r="F4216" s="562">
        <v>27207700</v>
      </c>
      <c r="G4216" s="562">
        <f t="shared" si="188"/>
        <v>0</v>
      </c>
      <c r="H4216" s="562"/>
      <c r="I4216" s="562"/>
      <c r="J4216" s="562"/>
    </row>
    <row r="4217" spans="1:10" x14ac:dyDescent="0.25">
      <c r="A4217" s="532"/>
      <c r="B4217" s="532"/>
      <c r="C4217" s="532"/>
      <c r="D4217" s="564">
        <f>SUM(D4202:D4216)</f>
        <v>2036799071</v>
      </c>
      <c r="E4217" s="564">
        <f t="shared" ref="E4217:G4217" si="191">SUM(E4202:E4216)</f>
        <v>422495788</v>
      </c>
      <c r="F4217" s="564">
        <f t="shared" si="191"/>
        <v>2459295500</v>
      </c>
      <c r="G4217" s="564">
        <f t="shared" si="191"/>
        <v>-641</v>
      </c>
      <c r="H4217" s="564"/>
      <c r="I4217" s="564"/>
      <c r="J4217" s="564"/>
    </row>
    <row r="4218" spans="1:10" x14ac:dyDescent="0.25">
      <c r="A4218" s="362"/>
      <c r="B4218" s="611">
        <v>44354</v>
      </c>
      <c r="C4218" s="362" t="s">
        <v>86</v>
      </c>
      <c r="D4218" s="562">
        <v>49308553</v>
      </c>
      <c r="E4218" s="562">
        <v>42141691</v>
      </c>
      <c r="F4218" s="562">
        <v>91450300</v>
      </c>
      <c r="G4218" s="562">
        <f t="shared" si="188"/>
        <v>-56</v>
      </c>
      <c r="H4218" s="562"/>
      <c r="I4218" s="562"/>
      <c r="J4218" s="562"/>
    </row>
    <row r="4219" spans="1:10" x14ac:dyDescent="0.25">
      <c r="A4219" s="362"/>
      <c r="B4219" s="611">
        <v>44354</v>
      </c>
      <c r="C4219" s="362" t="s">
        <v>87</v>
      </c>
      <c r="D4219" s="562">
        <v>136781354</v>
      </c>
      <c r="E4219" s="562">
        <v>83792260</v>
      </c>
      <c r="F4219" s="562">
        <v>220573800</v>
      </c>
      <c r="G4219" s="562">
        <f t="shared" si="188"/>
        <v>-186</v>
      </c>
      <c r="H4219" s="562"/>
      <c r="I4219" s="562"/>
      <c r="J4219" s="562"/>
    </row>
    <row r="4220" spans="1:10" x14ac:dyDescent="0.25">
      <c r="A4220" s="362"/>
      <c r="B4220" s="611">
        <v>44354</v>
      </c>
      <c r="C4220" s="362" t="s">
        <v>88</v>
      </c>
      <c r="D4220" s="562">
        <v>337311338</v>
      </c>
      <c r="E4220" s="562">
        <v>12451599</v>
      </c>
      <c r="F4220" s="562">
        <v>349763000</v>
      </c>
      <c r="G4220" s="562">
        <f t="shared" si="188"/>
        <v>-63</v>
      </c>
      <c r="H4220" s="562"/>
      <c r="I4220" s="562"/>
      <c r="J4220" s="562"/>
    </row>
    <row r="4221" spans="1:10" x14ac:dyDescent="0.25">
      <c r="A4221" s="362"/>
      <c r="B4221" s="611">
        <v>44354</v>
      </c>
      <c r="C4221" s="362" t="s">
        <v>82</v>
      </c>
      <c r="D4221" s="562">
        <v>74106622</v>
      </c>
      <c r="E4221" s="562">
        <v>2766275</v>
      </c>
      <c r="F4221" s="562">
        <v>76873000</v>
      </c>
      <c r="G4221" s="562">
        <f t="shared" si="188"/>
        <v>-103</v>
      </c>
      <c r="H4221" s="562"/>
      <c r="I4221" s="562"/>
      <c r="J4221" s="562"/>
    </row>
    <row r="4222" spans="1:10" x14ac:dyDescent="0.25">
      <c r="A4222" s="362"/>
      <c r="B4222" s="611">
        <v>44354</v>
      </c>
      <c r="C4222" s="362" t="s">
        <v>80</v>
      </c>
      <c r="D4222" s="562">
        <v>284712539</v>
      </c>
      <c r="E4222" s="562"/>
      <c r="F4222" s="562">
        <v>284814600</v>
      </c>
      <c r="G4222" s="562">
        <f t="shared" si="188"/>
        <v>-102061</v>
      </c>
      <c r="H4222" s="562"/>
      <c r="I4222" s="562"/>
      <c r="J4222" s="562"/>
    </row>
    <row r="4223" spans="1:10" x14ac:dyDescent="0.25">
      <c r="A4223" s="362"/>
      <c r="B4223" s="611">
        <v>44354</v>
      </c>
      <c r="C4223" s="362" t="s">
        <v>83</v>
      </c>
      <c r="D4223" s="562">
        <v>291685633</v>
      </c>
      <c r="E4223" s="562">
        <v>16924474</v>
      </c>
      <c r="F4223" s="562">
        <v>308610100</v>
      </c>
      <c r="G4223" s="562">
        <f t="shared" si="188"/>
        <v>7</v>
      </c>
      <c r="H4223" s="562"/>
      <c r="I4223" s="562"/>
      <c r="J4223" s="562"/>
    </row>
    <row r="4224" spans="1:10" x14ac:dyDescent="0.25">
      <c r="A4224" s="362"/>
      <c r="B4224" s="611">
        <v>44354</v>
      </c>
      <c r="C4224" s="362" t="s">
        <v>78</v>
      </c>
      <c r="D4224" s="562">
        <v>93558535</v>
      </c>
      <c r="E4224" s="562">
        <v>22645365</v>
      </c>
      <c r="F4224" s="562">
        <v>116203900</v>
      </c>
      <c r="G4224" s="562">
        <f t="shared" si="188"/>
        <v>0</v>
      </c>
      <c r="H4224" s="562"/>
      <c r="I4224" s="562"/>
      <c r="J4224" s="562"/>
    </row>
    <row r="4225" spans="1:10" x14ac:dyDescent="0.25">
      <c r="A4225" s="362"/>
      <c r="B4225" s="611">
        <v>44354</v>
      </c>
      <c r="C4225" s="362" t="s">
        <v>141</v>
      </c>
      <c r="D4225" s="562">
        <v>151509791</v>
      </c>
      <c r="E4225" s="562">
        <v>2519469</v>
      </c>
      <c r="F4225" s="562">
        <v>154029300</v>
      </c>
      <c r="G4225" s="562">
        <f t="shared" si="188"/>
        <v>-40</v>
      </c>
      <c r="H4225" s="562"/>
      <c r="I4225" s="562"/>
      <c r="J4225" s="562"/>
    </row>
    <row r="4226" spans="1:10" x14ac:dyDescent="0.25">
      <c r="A4226" s="362"/>
      <c r="B4226" s="611">
        <v>44354</v>
      </c>
      <c r="C4226" s="362" t="s">
        <v>89</v>
      </c>
      <c r="D4226" s="562">
        <v>262036701</v>
      </c>
      <c r="E4226" s="562">
        <v>43468099</v>
      </c>
      <c r="F4226" s="562">
        <v>305504800</v>
      </c>
      <c r="G4226" s="562">
        <f t="shared" si="188"/>
        <v>0</v>
      </c>
      <c r="H4226" s="562"/>
      <c r="I4226" s="562"/>
      <c r="J4226" s="562"/>
    </row>
    <row r="4227" spans="1:10" x14ac:dyDescent="0.25">
      <c r="A4227" s="362"/>
      <c r="B4227" s="611">
        <v>44354</v>
      </c>
      <c r="C4227" s="362" t="s">
        <v>81</v>
      </c>
      <c r="D4227" s="562">
        <v>85040442</v>
      </c>
      <c r="E4227" s="562">
        <v>10626141</v>
      </c>
      <c r="F4227" s="562">
        <v>95666600</v>
      </c>
      <c r="G4227" s="562">
        <f t="shared" si="188"/>
        <v>-17</v>
      </c>
      <c r="H4227" s="562"/>
      <c r="I4227" s="562"/>
      <c r="J4227" s="562"/>
    </row>
    <row r="4228" spans="1:10" x14ac:dyDescent="0.25">
      <c r="A4228" s="362"/>
      <c r="B4228" s="611">
        <v>44354</v>
      </c>
      <c r="C4228" s="362" t="s">
        <v>84</v>
      </c>
      <c r="D4228" s="562">
        <v>420890055</v>
      </c>
      <c r="E4228" s="562">
        <v>11907212</v>
      </c>
      <c r="F4228" s="562">
        <v>432797000</v>
      </c>
      <c r="G4228" s="562">
        <f t="shared" si="188"/>
        <v>267</v>
      </c>
      <c r="H4228" s="562"/>
      <c r="I4228" s="562"/>
      <c r="J4228" s="562"/>
    </row>
    <row r="4229" spans="1:10" x14ac:dyDescent="0.25">
      <c r="A4229" s="362"/>
      <c r="B4229" s="611">
        <v>44354</v>
      </c>
      <c r="C4229" s="362" t="s">
        <v>4751</v>
      </c>
      <c r="D4229" s="562">
        <v>248398371</v>
      </c>
      <c r="E4229" s="562">
        <v>162625229</v>
      </c>
      <c r="F4229" s="562">
        <v>411023600</v>
      </c>
      <c r="G4229" s="562">
        <f t="shared" si="188"/>
        <v>0</v>
      </c>
      <c r="H4229" s="562"/>
      <c r="I4229" s="562"/>
      <c r="J4229" s="562"/>
    </row>
    <row r="4230" spans="1:10" x14ac:dyDescent="0.25">
      <c r="A4230" s="362"/>
      <c r="B4230" s="611">
        <v>44354</v>
      </c>
      <c r="C4230" s="362" t="s">
        <v>166</v>
      </c>
      <c r="D4230" s="562">
        <v>102387835</v>
      </c>
      <c r="E4230" s="562"/>
      <c r="F4230" s="562">
        <v>102387800</v>
      </c>
      <c r="G4230" s="562">
        <f t="shared" si="188"/>
        <v>35</v>
      </c>
      <c r="H4230" s="562"/>
      <c r="I4230" s="562"/>
      <c r="J4230" s="562"/>
    </row>
    <row r="4231" spans="1:10" x14ac:dyDescent="0.25">
      <c r="A4231" s="362"/>
      <c r="B4231" s="611">
        <v>44354</v>
      </c>
      <c r="C4231" s="362" t="s">
        <v>3435</v>
      </c>
      <c r="D4231" s="562">
        <v>92133475</v>
      </c>
      <c r="E4231" s="562"/>
      <c r="F4231" s="562">
        <v>92133500</v>
      </c>
      <c r="G4231" s="562">
        <f t="shared" si="188"/>
        <v>-25</v>
      </c>
      <c r="H4231" s="562"/>
      <c r="I4231" s="562"/>
      <c r="J4231" s="562"/>
    </row>
    <row r="4232" spans="1:10" x14ac:dyDescent="0.25">
      <c r="A4232" s="362"/>
      <c r="B4232" s="611">
        <v>44354</v>
      </c>
      <c r="C4232" s="370" t="s">
        <v>85</v>
      </c>
      <c r="D4232" s="562">
        <v>41860700</v>
      </c>
      <c r="E4232" s="562"/>
      <c r="F4232" s="562">
        <v>41860700</v>
      </c>
      <c r="G4232" s="562">
        <f t="shared" si="188"/>
        <v>0</v>
      </c>
      <c r="H4232" s="562"/>
      <c r="I4232" s="562"/>
      <c r="J4232" s="562"/>
    </row>
    <row r="4233" spans="1:10" x14ac:dyDescent="0.25">
      <c r="A4233" s="532"/>
      <c r="B4233" s="532"/>
      <c r="C4233" s="532"/>
      <c r="D4233" s="564">
        <f>SUM(D4218:D4232)</f>
        <v>2671721944</v>
      </c>
      <c r="E4233" s="564">
        <f t="shared" ref="E4233:G4233" si="192">SUM(E4218:E4232)</f>
        <v>411867814</v>
      </c>
      <c r="F4233" s="564">
        <f t="shared" si="192"/>
        <v>3083692000</v>
      </c>
      <c r="G4233" s="564">
        <f t="shared" si="192"/>
        <v>-102242</v>
      </c>
      <c r="H4233" s="564"/>
      <c r="I4233" s="564"/>
      <c r="J4233" s="564"/>
    </row>
    <row r="4234" spans="1:10" x14ac:dyDescent="0.25">
      <c r="A4234" s="362"/>
      <c r="B4234" s="611">
        <v>44355</v>
      </c>
      <c r="C4234" s="362" t="s">
        <v>86</v>
      </c>
      <c r="D4234" s="562">
        <v>68128027</v>
      </c>
      <c r="E4234" s="562">
        <v>8263960</v>
      </c>
      <c r="F4234" s="562">
        <v>76392000</v>
      </c>
      <c r="G4234" s="562">
        <f t="shared" si="188"/>
        <v>-13</v>
      </c>
      <c r="H4234" s="562"/>
      <c r="I4234" s="562"/>
      <c r="J4234" s="562"/>
    </row>
    <row r="4235" spans="1:10" x14ac:dyDescent="0.25">
      <c r="A4235" s="362"/>
      <c r="B4235" s="611">
        <v>44355</v>
      </c>
      <c r="C4235" s="362" t="s">
        <v>87</v>
      </c>
      <c r="D4235" s="562">
        <v>73623117</v>
      </c>
      <c r="E4235" s="562">
        <v>57637551</v>
      </c>
      <c r="F4235" s="562">
        <v>131260700</v>
      </c>
      <c r="G4235" s="562">
        <f t="shared" si="188"/>
        <v>-32</v>
      </c>
      <c r="H4235" s="562"/>
      <c r="I4235" s="562"/>
      <c r="J4235" s="562"/>
    </row>
    <row r="4236" spans="1:10" x14ac:dyDescent="0.25">
      <c r="A4236" s="362"/>
      <c r="B4236" s="611">
        <v>44355</v>
      </c>
      <c r="C4236" s="362" t="s">
        <v>88</v>
      </c>
      <c r="D4236" s="562">
        <v>202028472</v>
      </c>
      <c r="E4236" s="562">
        <v>19281788</v>
      </c>
      <c r="F4236" s="562">
        <v>221310300</v>
      </c>
      <c r="G4236" s="562">
        <f t="shared" ref="G4236:G4299" si="193">D4236+E4236-F4236</f>
        <v>-40</v>
      </c>
      <c r="H4236" s="562"/>
      <c r="I4236" s="562"/>
      <c r="J4236" s="562"/>
    </row>
    <row r="4237" spans="1:10" x14ac:dyDescent="0.25">
      <c r="A4237" s="362"/>
      <c r="B4237" s="611">
        <v>44355</v>
      </c>
      <c r="C4237" s="362" t="s">
        <v>82</v>
      </c>
      <c r="D4237" s="562">
        <v>71946898</v>
      </c>
      <c r="E4237" s="562">
        <v>1534129</v>
      </c>
      <c r="F4237" s="562">
        <v>73481100</v>
      </c>
      <c r="G4237" s="562">
        <f t="shared" si="193"/>
        <v>-73</v>
      </c>
      <c r="H4237" s="562"/>
      <c r="I4237" s="562"/>
      <c r="J4237" s="562"/>
    </row>
    <row r="4238" spans="1:10" x14ac:dyDescent="0.25">
      <c r="A4238" s="362"/>
      <c r="B4238" s="611">
        <v>44355</v>
      </c>
      <c r="C4238" s="362" t="s">
        <v>80</v>
      </c>
      <c r="D4238" s="562">
        <v>254884096</v>
      </c>
      <c r="E4238" s="562">
        <v>529724</v>
      </c>
      <c r="F4238" s="562">
        <v>255404000</v>
      </c>
      <c r="G4238" s="562">
        <f t="shared" si="193"/>
        <v>9820</v>
      </c>
      <c r="H4238" s="562"/>
      <c r="I4238" s="562"/>
      <c r="J4238" s="562"/>
    </row>
    <row r="4239" spans="1:10" x14ac:dyDescent="0.25">
      <c r="A4239" s="362"/>
      <c r="B4239" s="611">
        <v>44355</v>
      </c>
      <c r="C4239" s="362" t="s">
        <v>83</v>
      </c>
      <c r="D4239" s="562">
        <v>298899746</v>
      </c>
      <c r="E4239" s="562">
        <v>104309124</v>
      </c>
      <c r="F4239" s="562">
        <v>403208900</v>
      </c>
      <c r="G4239" s="562">
        <f t="shared" si="193"/>
        <v>-30</v>
      </c>
      <c r="H4239" s="562"/>
      <c r="I4239" s="562"/>
      <c r="J4239" s="562"/>
    </row>
    <row r="4240" spans="1:10" x14ac:dyDescent="0.25">
      <c r="A4240" s="362"/>
      <c r="B4240" s="611">
        <v>44355</v>
      </c>
      <c r="C4240" s="362" t="s">
        <v>78</v>
      </c>
      <c r="D4240" s="562">
        <v>101240080</v>
      </c>
      <c r="E4240" s="562">
        <v>3748720</v>
      </c>
      <c r="F4240" s="562">
        <v>104988800</v>
      </c>
      <c r="G4240" s="562">
        <f t="shared" si="193"/>
        <v>0</v>
      </c>
      <c r="H4240" s="562"/>
      <c r="I4240" s="562"/>
      <c r="J4240" s="562"/>
    </row>
    <row r="4241" spans="1:10" x14ac:dyDescent="0.25">
      <c r="A4241" s="362"/>
      <c r="B4241" s="611">
        <v>44355</v>
      </c>
      <c r="C4241" s="362" t="s">
        <v>141</v>
      </c>
      <c r="D4241" s="562">
        <v>60661252</v>
      </c>
      <c r="E4241" s="562">
        <v>14359417</v>
      </c>
      <c r="F4241" s="562">
        <v>75020700</v>
      </c>
      <c r="G4241" s="562">
        <f t="shared" si="193"/>
        <v>-31</v>
      </c>
      <c r="H4241" s="562"/>
      <c r="I4241" s="562"/>
      <c r="J4241" s="562"/>
    </row>
    <row r="4242" spans="1:10" x14ac:dyDescent="0.25">
      <c r="A4242" s="362"/>
      <c r="B4242" s="611">
        <v>44355</v>
      </c>
      <c r="C4242" s="362" t="s">
        <v>89</v>
      </c>
      <c r="D4242" s="562">
        <v>114304485</v>
      </c>
      <c r="E4242" s="562">
        <v>6380915</v>
      </c>
      <c r="F4242" s="562">
        <v>120685400</v>
      </c>
      <c r="G4242" s="562">
        <f t="shared" si="193"/>
        <v>0</v>
      </c>
      <c r="H4242" s="562"/>
      <c r="I4242" s="562"/>
      <c r="J4242" s="562"/>
    </row>
    <row r="4243" spans="1:10" x14ac:dyDescent="0.25">
      <c r="A4243" s="362"/>
      <c r="B4243" s="611">
        <v>44355</v>
      </c>
      <c r="C4243" s="362" t="s">
        <v>81</v>
      </c>
      <c r="D4243" s="562">
        <v>71939861</v>
      </c>
      <c r="E4243" s="562">
        <v>9797934</v>
      </c>
      <c r="F4243" s="562">
        <v>81737800</v>
      </c>
      <c r="G4243" s="562">
        <f t="shared" si="193"/>
        <v>-5</v>
      </c>
      <c r="H4243" s="562"/>
      <c r="I4243" s="562"/>
      <c r="J4243" s="562"/>
    </row>
    <row r="4244" spans="1:10" x14ac:dyDescent="0.25">
      <c r="A4244" s="362"/>
      <c r="B4244" s="611">
        <v>44355</v>
      </c>
      <c r="C4244" s="362" t="s">
        <v>84</v>
      </c>
      <c r="D4244" s="562">
        <v>164754365</v>
      </c>
      <c r="E4244" s="562">
        <v>8829855</v>
      </c>
      <c r="F4244" s="562">
        <v>173575300</v>
      </c>
      <c r="G4244" s="562">
        <f t="shared" si="193"/>
        <v>8920</v>
      </c>
      <c r="H4244" s="562"/>
      <c r="I4244" s="562"/>
      <c r="J4244" s="562"/>
    </row>
    <row r="4245" spans="1:10" x14ac:dyDescent="0.25">
      <c r="A4245" s="362"/>
      <c r="B4245" s="611">
        <v>44355</v>
      </c>
      <c r="C4245" s="362" t="s">
        <v>4751</v>
      </c>
      <c r="D4245" s="562">
        <v>205533248</v>
      </c>
      <c r="E4245" s="562">
        <v>19577252</v>
      </c>
      <c r="F4245" s="562">
        <v>225110400</v>
      </c>
      <c r="G4245" s="562">
        <f t="shared" si="193"/>
        <v>100</v>
      </c>
      <c r="H4245" s="562"/>
      <c r="I4245" s="562"/>
      <c r="J4245" s="562"/>
    </row>
    <row r="4246" spans="1:10" x14ac:dyDescent="0.25">
      <c r="A4246" s="362"/>
      <c r="B4246" s="611">
        <v>44355</v>
      </c>
      <c r="C4246" s="362" t="s">
        <v>166</v>
      </c>
      <c r="D4246" s="562">
        <v>112586843</v>
      </c>
      <c r="E4246" s="562"/>
      <c r="F4246" s="562">
        <v>112586900</v>
      </c>
      <c r="G4246" s="562">
        <f t="shared" si="193"/>
        <v>-57</v>
      </c>
      <c r="H4246" s="562"/>
      <c r="I4246" s="562"/>
      <c r="J4246" s="562"/>
    </row>
    <row r="4247" spans="1:10" x14ac:dyDescent="0.25">
      <c r="A4247" s="362"/>
      <c r="B4247" s="611">
        <v>44355</v>
      </c>
      <c r="C4247" s="362" t="s">
        <v>3435</v>
      </c>
      <c r="D4247" s="562">
        <v>35382640</v>
      </c>
      <c r="E4247" s="562"/>
      <c r="F4247" s="562">
        <v>35382700</v>
      </c>
      <c r="G4247" s="562">
        <f t="shared" si="193"/>
        <v>-60</v>
      </c>
      <c r="H4247" s="562"/>
      <c r="I4247" s="562"/>
      <c r="J4247" s="562"/>
    </row>
    <row r="4248" spans="1:10" x14ac:dyDescent="0.25">
      <c r="A4248" s="362"/>
      <c r="B4248" s="611">
        <v>44355</v>
      </c>
      <c r="C4248" s="370" t="s">
        <v>85</v>
      </c>
      <c r="D4248" s="562">
        <v>34259200</v>
      </c>
      <c r="E4248" s="562"/>
      <c r="F4248" s="562">
        <v>34259200</v>
      </c>
      <c r="G4248" s="562">
        <f t="shared" si="193"/>
        <v>0</v>
      </c>
      <c r="H4248" s="562"/>
      <c r="I4248" s="562"/>
      <c r="J4248" s="562"/>
    </row>
    <row r="4249" spans="1:10" x14ac:dyDescent="0.25">
      <c r="A4249" s="532"/>
      <c r="B4249" s="532"/>
      <c r="C4249" s="532"/>
      <c r="D4249" s="564">
        <f>SUM(D4234:D4248)</f>
        <v>1870172330</v>
      </c>
      <c r="E4249" s="564">
        <f t="shared" ref="E4249:G4249" si="194">SUM(E4234:E4248)</f>
        <v>254250369</v>
      </c>
      <c r="F4249" s="564">
        <f t="shared" si="194"/>
        <v>2124404200</v>
      </c>
      <c r="G4249" s="564">
        <f t="shared" si="194"/>
        <v>18499</v>
      </c>
      <c r="H4249" s="564"/>
      <c r="I4249" s="564"/>
      <c r="J4249" s="564"/>
    </row>
    <row r="4250" spans="1:10" x14ac:dyDescent="0.25">
      <c r="A4250" s="362"/>
      <c r="B4250" s="611">
        <v>44356</v>
      </c>
      <c r="C4250" s="362" t="s">
        <v>86</v>
      </c>
      <c r="D4250" s="562">
        <v>85682061</v>
      </c>
      <c r="E4250" s="562">
        <v>1362960</v>
      </c>
      <c r="F4250" s="562">
        <v>87045000</v>
      </c>
      <c r="G4250" s="562">
        <f t="shared" si="193"/>
        <v>21</v>
      </c>
      <c r="H4250" s="562"/>
      <c r="I4250" s="562"/>
      <c r="J4250" s="562"/>
    </row>
    <row r="4251" spans="1:10" x14ac:dyDescent="0.25">
      <c r="A4251" s="362"/>
      <c r="B4251" s="611">
        <v>44356</v>
      </c>
      <c r="C4251" s="362" t="s">
        <v>87</v>
      </c>
      <c r="D4251" s="562">
        <v>68797488</v>
      </c>
      <c r="E4251" s="562">
        <v>39422189</v>
      </c>
      <c r="F4251" s="562">
        <v>108219700</v>
      </c>
      <c r="G4251" s="562">
        <f t="shared" si="193"/>
        <v>-23</v>
      </c>
      <c r="H4251" s="562"/>
      <c r="I4251" s="562"/>
      <c r="J4251" s="562"/>
    </row>
    <row r="4252" spans="1:10" x14ac:dyDescent="0.25">
      <c r="A4252" s="362"/>
      <c r="B4252" s="611">
        <v>44356</v>
      </c>
      <c r="C4252" s="362" t="s">
        <v>88</v>
      </c>
      <c r="D4252" s="562">
        <v>198693583</v>
      </c>
      <c r="E4252" s="562">
        <v>103856762</v>
      </c>
      <c r="F4252" s="562">
        <v>302550400</v>
      </c>
      <c r="G4252" s="562">
        <f t="shared" si="193"/>
        <v>-55</v>
      </c>
      <c r="H4252" s="562"/>
      <c r="I4252" s="562"/>
      <c r="J4252" s="562"/>
    </row>
    <row r="4253" spans="1:10" x14ac:dyDescent="0.25">
      <c r="A4253" s="362"/>
      <c r="B4253" s="611">
        <v>44356</v>
      </c>
      <c r="C4253" s="362" t="s">
        <v>82</v>
      </c>
      <c r="D4253" s="562">
        <v>70261250</v>
      </c>
      <c r="E4253" s="562">
        <v>1683000</v>
      </c>
      <c r="F4253" s="562">
        <v>71944300</v>
      </c>
      <c r="G4253" s="562">
        <f t="shared" si="193"/>
        <v>-50</v>
      </c>
      <c r="H4253" s="562"/>
      <c r="I4253" s="562"/>
      <c r="J4253" s="562"/>
    </row>
    <row r="4254" spans="1:10" x14ac:dyDescent="0.25">
      <c r="A4254" s="362"/>
      <c r="B4254" s="611">
        <v>44356</v>
      </c>
      <c r="C4254" s="362" t="s">
        <v>80</v>
      </c>
      <c r="D4254" s="562">
        <v>246899500</v>
      </c>
      <c r="E4254" s="562">
        <v>87006000</v>
      </c>
      <c r="F4254" s="562">
        <v>333905500</v>
      </c>
      <c r="G4254" s="562">
        <f t="shared" si="193"/>
        <v>0</v>
      </c>
      <c r="H4254" s="562"/>
      <c r="I4254" s="562"/>
      <c r="J4254" s="562"/>
    </row>
    <row r="4255" spans="1:10" x14ac:dyDescent="0.25">
      <c r="A4255" s="362"/>
      <c r="B4255" s="611">
        <v>44356</v>
      </c>
      <c r="C4255" s="362" t="s">
        <v>83</v>
      </c>
      <c r="D4255" s="562">
        <v>276139020</v>
      </c>
      <c r="E4255" s="562">
        <v>212791064</v>
      </c>
      <c r="F4255" s="562">
        <v>488930100</v>
      </c>
      <c r="G4255" s="562">
        <f t="shared" si="193"/>
        <v>-16</v>
      </c>
      <c r="H4255" s="562"/>
      <c r="I4255" s="562"/>
      <c r="J4255" s="562"/>
    </row>
    <row r="4256" spans="1:10" x14ac:dyDescent="0.25">
      <c r="A4256" s="362"/>
      <c r="B4256" s="611">
        <v>44356</v>
      </c>
      <c r="C4256" s="362" t="s">
        <v>78</v>
      </c>
      <c r="D4256" s="562">
        <v>151370129</v>
      </c>
      <c r="E4256" s="562">
        <v>546271</v>
      </c>
      <c r="F4256" s="562">
        <v>151916400</v>
      </c>
      <c r="G4256" s="562">
        <f t="shared" si="193"/>
        <v>0</v>
      </c>
      <c r="H4256" s="562"/>
      <c r="I4256" s="562"/>
      <c r="J4256" s="562"/>
    </row>
    <row r="4257" spans="1:10" x14ac:dyDescent="0.25">
      <c r="A4257" s="362"/>
      <c r="B4257" s="611">
        <v>44356</v>
      </c>
      <c r="C4257" s="362" t="s">
        <v>141</v>
      </c>
      <c r="D4257" s="562">
        <v>104093900</v>
      </c>
      <c r="E4257" s="562">
        <v>8000000</v>
      </c>
      <c r="F4257" s="562">
        <v>112093900</v>
      </c>
      <c r="G4257" s="562">
        <f t="shared" si="193"/>
        <v>0</v>
      </c>
      <c r="H4257" s="562"/>
      <c r="I4257" s="562"/>
      <c r="J4257" s="562"/>
    </row>
    <row r="4258" spans="1:10" x14ac:dyDescent="0.25">
      <c r="A4258" s="362"/>
      <c r="B4258" s="611">
        <v>44356</v>
      </c>
      <c r="C4258" s="362" t="s">
        <v>89</v>
      </c>
      <c r="D4258" s="562">
        <v>171008729</v>
      </c>
      <c r="E4258" s="562">
        <v>30887171</v>
      </c>
      <c r="F4258" s="562">
        <v>201895900</v>
      </c>
      <c r="G4258" s="562">
        <f t="shared" si="193"/>
        <v>0</v>
      </c>
      <c r="H4258" s="562"/>
      <c r="I4258" s="562"/>
      <c r="J4258" s="562"/>
    </row>
    <row r="4259" spans="1:10" x14ac:dyDescent="0.25">
      <c r="A4259" s="362"/>
      <c r="B4259" s="611">
        <v>44356</v>
      </c>
      <c r="C4259" s="362" t="s">
        <v>81</v>
      </c>
      <c r="D4259" s="562">
        <v>62793189</v>
      </c>
      <c r="E4259" s="562">
        <v>11264478</v>
      </c>
      <c r="F4259" s="562">
        <v>74057700</v>
      </c>
      <c r="G4259" s="562">
        <f t="shared" si="193"/>
        <v>-33</v>
      </c>
      <c r="H4259" s="562"/>
      <c r="I4259" s="562"/>
      <c r="J4259" s="562"/>
    </row>
    <row r="4260" spans="1:10" x14ac:dyDescent="0.25">
      <c r="A4260" s="362"/>
      <c r="B4260" s="611">
        <v>44356</v>
      </c>
      <c r="C4260" s="362" t="s">
        <v>84</v>
      </c>
      <c r="D4260" s="562">
        <v>365334506</v>
      </c>
      <c r="E4260" s="562">
        <v>7611303</v>
      </c>
      <c r="F4260" s="562">
        <v>372945800</v>
      </c>
      <c r="G4260" s="562">
        <f t="shared" si="193"/>
        <v>9</v>
      </c>
      <c r="H4260" s="562"/>
      <c r="I4260" s="562"/>
      <c r="J4260" s="562"/>
    </row>
    <row r="4261" spans="1:10" x14ac:dyDescent="0.25">
      <c r="A4261" s="362"/>
      <c r="B4261" s="611">
        <v>44356</v>
      </c>
      <c r="C4261" s="362" t="s">
        <v>4751</v>
      </c>
      <c r="D4261" s="562">
        <v>226155419</v>
      </c>
      <c r="E4261" s="562">
        <v>8373981</v>
      </c>
      <c r="F4261" s="562">
        <v>234529400</v>
      </c>
      <c r="G4261" s="562">
        <f t="shared" si="193"/>
        <v>0</v>
      </c>
      <c r="H4261" s="562"/>
      <c r="I4261" s="562"/>
      <c r="J4261" s="562"/>
    </row>
    <row r="4262" spans="1:10" x14ac:dyDescent="0.25">
      <c r="A4262" s="362"/>
      <c r="B4262" s="611">
        <v>44356</v>
      </c>
      <c r="C4262" s="362" t="s">
        <v>166</v>
      </c>
      <c r="D4262" s="562">
        <v>57318628</v>
      </c>
      <c r="E4262" s="562"/>
      <c r="F4262" s="562">
        <v>57318700</v>
      </c>
      <c r="G4262" s="562">
        <f t="shared" si="193"/>
        <v>-72</v>
      </c>
      <c r="H4262" s="562"/>
      <c r="I4262" s="562"/>
      <c r="J4262" s="562"/>
    </row>
    <row r="4263" spans="1:10" x14ac:dyDescent="0.25">
      <c r="A4263" s="362"/>
      <c r="B4263" s="611">
        <v>44356</v>
      </c>
      <c r="C4263" s="362" t="s">
        <v>3435</v>
      </c>
      <c r="D4263" s="562">
        <v>30526285</v>
      </c>
      <c r="E4263" s="562"/>
      <c r="F4263" s="562">
        <v>30526300</v>
      </c>
      <c r="G4263" s="562">
        <f t="shared" si="193"/>
        <v>-15</v>
      </c>
      <c r="H4263" s="562"/>
      <c r="I4263" s="562"/>
      <c r="J4263" s="562"/>
    </row>
    <row r="4264" spans="1:10" x14ac:dyDescent="0.25">
      <c r="A4264" s="362"/>
      <c r="B4264" s="611">
        <v>44356</v>
      </c>
      <c r="C4264" s="370" t="s">
        <v>85</v>
      </c>
      <c r="D4264" s="562">
        <v>40825400</v>
      </c>
      <c r="E4264" s="562"/>
      <c r="F4264" s="562">
        <v>40825400</v>
      </c>
      <c r="G4264" s="562">
        <f t="shared" si="193"/>
        <v>0</v>
      </c>
      <c r="H4264" s="562"/>
      <c r="I4264" s="562"/>
      <c r="J4264" s="562"/>
    </row>
    <row r="4265" spans="1:10" x14ac:dyDescent="0.25">
      <c r="A4265" s="532"/>
      <c r="B4265" s="532"/>
      <c r="C4265" s="532"/>
      <c r="D4265" s="564">
        <f>SUM(D4250:D4264)</f>
        <v>2155899087</v>
      </c>
      <c r="E4265" s="564">
        <f t="shared" ref="E4265:G4265" si="195">SUM(E4250:E4264)</f>
        <v>512805179</v>
      </c>
      <c r="F4265" s="564">
        <f t="shared" si="195"/>
        <v>2668704500</v>
      </c>
      <c r="G4265" s="564">
        <f t="shared" si="195"/>
        <v>-234</v>
      </c>
      <c r="H4265" s="564"/>
      <c r="I4265" s="564"/>
      <c r="J4265" s="564"/>
    </row>
    <row r="4266" spans="1:10" x14ac:dyDescent="0.25">
      <c r="A4266" s="362"/>
      <c r="B4266" s="611">
        <v>44357</v>
      </c>
      <c r="C4266" s="362" t="s">
        <v>86</v>
      </c>
      <c r="D4266" s="562">
        <v>142045540</v>
      </c>
      <c r="E4266" s="562">
        <v>59548166</v>
      </c>
      <c r="F4266" s="562">
        <v>201593800</v>
      </c>
      <c r="G4266" s="562">
        <f t="shared" si="193"/>
        <v>-94</v>
      </c>
      <c r="H4266" s="562"/>
      <c r="I4266" s="562"/>
      <c r="J4266" s="562"/>
    </row>
    <row r="4267" spans="1:10" x14ac:dyDescent="0.25">
      <c r="A4267" s="362"/>
      <c r="B4267" s="611">
        <v>44357</v>
      </c>
      <c r="C4267" s="362" t="s">
        <v>87</v>
      </c>
      <c r="D4267" s="562">
        <v>66647666</v>
      </c>
      <c r="E4267" s="562">
        <v>219992133</v>
      </c>
      <c r="F4267" s="562">
        <v>286639900</v>
      </c>
      <c r="G4267" s="562">
        <f t="shared" si="193"/>
        <v>-101</v>
      </c>
      <c r="H4267" s="562"/>
      <c r="I4267" s="562"/>
      <c r="J4267" s="562"/>
    </row>
    <row r="4268" spans="1:10" x14ac:dyDescent="0.25">
      <c r="A4268" s="362"/>
      <c r="B4268" s="611">
        <v>44357</v>
      </c>
      <c r="C4268" s="362" t="s">
        <v>88</v>
      </c>
      <c r="D4268" s="562">
        <v>345719225</v>
      </c>
      <c r="E4268" s="562">
        <v>71266495</v>
      </c>
      <c r="F4268" s="562">
        <v>416985800</v>
      </c>
      <c r="G4268" s="562">
        <f t="shared" si="193"/>
        <v>-80</v>
      </c>
      <c r="H4268" s="562"/>
      <c r="I4268" s="562"/>
      <c r="J4268" s="562"/>
    </row>
    <row r="4269" spans="1:10" x14ac:dyDescent="0.25">
      <c r="A4269" s="362"/>
      <c r="B4269" s="611">
        <v>44357</v>
      </c>
      <c r="C4269" s="362" t="s">
        <v>82</v>
      </c>
      <c r="D4269" s="562">
        <v>85807249</v>
      </c>
      <c r="E4269" s="562">
        <v>2026774</v>
      </c>
      <c r="F4269" s="562">
        <v>87834100</v>
      </c>
      <c r="G4269" s="562">
        <f t="shared" si="193"/>
        <v>-77</v>
      </c>
      <c r="H4269" s="562"/>
      <c r="I4269" s="562"/>
      <c r="J4269" s="562"/>
    </row>
    <row r="4270" spans="1:10" x14ac:dyDescent="0.25">
      <c r="A4270" s="362"/>
      <c r="B4270" s="611">
        <v>44357</v>
      </c>
      <c r="C4270" s="362" t="s">
        <v>80</v>
      </c>
      <c r="D4270" s="562">
        <v>360697652</v>
      </c>
      <c r="E4270" s="562"/>
      <c r="F4270" s="562">
        <v>360732200</v>
      </c>
      <c r="G4270" s="562">
        <f t="shared" si="193"/>
        <v>-34548</v>
      </c>
      <c r="H4270" s="562"/>
      <c r="I4270" s="562"/>
      <c r="J4270" s="562"/>
    </row>
    <row r="4271" spans="1:10" x14ac:dyDescent="0.25">
      <c r="A4271" s="362"/>
      <c r="B4271" s="611">
        <v>44357</v>
      </c>
      <c r="C4271" s="362" t="s">
        <v>83</v>
      </c>
      <c r="D4271" s="562">
        <v>206950893</v>
      </c>
      <c r="E4271" s="562">
        <v>77067217</v>
      </c>
      <c r="F4271" s="562">
        <v>283968200</v>
      </c>
      <c r="G4271" s="562">
        <f t="shared" si="193"/>
        <v>49910</v>
      </c>
      <c r="H4271" s="562"/>
      <c r="I4271" s="562"/>
      <c r="J4271" s="562"/>
    </row>
    <row r="4272" spans="1:10" x14ac:dyDescent="0.25">
      <c r="A4272" s="362"/>
      <c r="B4272" s="611">
        <v>44357</v>
      </c>
      <c r="C4272" s="362" t="s">
        <v>78</v>
      </c>
      <c r="D4272" s="562">
        <v>93172055</v>
      </c>
      <c r="E4272" s="562">
        <v>1809945</v>
      </c>
      <c r="F4272" s="562">
        <v>94982000</v>
      </c>
      <c r="G4272" s="562">
        <f t="shared" si="193"/>
        <v>0</v>
      </c>
      <c r="H4272" s="562"/>
      <c r="I4272" s="562"/>
      <c r="J4272" s="562"/>
    </row>
    <row r="4273" spans="1:10" x14ac:dyDescent="0.25">
      <c r="A4273" s="362"/>
      <c r="B4273" s="611">
        <v>44357</v>
      </c>
      <c r="C4273" s="362" t="s">
        <v>141</v>
      </c>
      <c r="D4273" s="562">
        <v>81108756</v>
      </c>
      <c r="E4273" s="562">
        <v>36508447</v>
      </c>
      <c r="F4273" s="562">
        <v>117617300</v>
      </c>
      <c r="G4273" s="562">
        <f t="shared" si="193"/>
        <v>-97</v>
      </c>
      <c r="H4273" s="562"/>
      <c r="I4273" s="562"/>
      <c r="J4273" s="562"/>
    </row>
    <row r="4274" spans="1:10" x14ac:dyDescent="0.25">
      <c r="A4274" s="362"/>
      <c r="B4274" s="611">
        <v>44357</v>
      </c>
      <c r="C4274" s="362" t="s">
        <v>89</v>
      </c>
      <c r="D4274" s="562">
        <v>162908255</v>
      </c>
      <c r="E4274" s="562">
        <v>11223045</v>
      </c>
      <c r="F4274" s="562">
        <v>174131300</v>
      </c>
      <c r="G4274" s="562">
        <f t="shared" si="193"/>
        <v>0</v>
      </c>
      <c r="H4274" s="562"/>
      <c r="I4274" s="562"/>
      <c r="J4274" s="562"/>
    </row>
    <row r="4275" spans="1:10" x14ac:dyDescent="0.25">
      <c r="A4275" s="362"/>
      <c r="B4275" s="611">
        <v>44357</v>
      </c>
      <c r="C4275" s="362" t="s">
        <v>81</v>
      </c>
      <c r="D4275" s="562">
        <v>178346850</v>
      </c>
      <c r="E4275" s="562">
        <v>19189856</v>
      </c>
      <c r="F4275" s="562">
        <v>197536700</v>
      </c>
      <c r="G4275" s="562">
        <f t="shared" si="193"/>
        <v>6</v>
      </c>
      <c r="H4275" s="562"/>
      <c r="I4275" s="562"/>
      <c r="J4275" s="562"/>
    </row>
    <row r="4276" spans="1:10" x14ac:dyDescent="0.25">
      <c r="A4276" s="362"/>
      <c r="B4276" s="611">
        <v>44357</v>
      </c>
      <c r="C4276" s="362" t="s">
        <v>84</v>
      </c>
      <c r="D4276" s="562">
        <v>196789684</v>
      </c>
      <c r="E4276" s="562">
        <v>14699540</v>
      </c>
      <c r="F4276" s="562">
        <v>211489300</v>
      </c>
      <c r="G4276" s="562">
        <f t="shared" si="193"/>
        <v>-76</v>
      </c>
      <c r="H4276" s="562"/>
      <c r="I4276" s="562"/>
      <c r="J4276" s="562"/>
    </row>
    <row r="4277" spans="1:10" x14ac:dyDescent="0.25">
      <c r="A4277" s="362"/>
      <c r="B4277" s="611">
        <v>44357</v>
      </c>
      <c r="C4277" s="362" t="s">
        <v>4751</v>
      </c>
      <c r="D4277" s="562">
        <v>190201178</v>
      </c>
      <c r="E4277" s="562">
        <v>6639322</v>
      </c>
      <c r="F4277" s="562">
        <v>196840500</v>
      </c>
      <c r="G4277" s="562">
        <f t="shared" si="193"/>
        <v>0</v>
      </c>
      <c r="H4277" s="562"/>
      <c r="I4277" s="562"/>
      <c r="J4277" s="562"/>
    </row>
    <row r="4278" spans="1:10" x14ac:dyDescent="0.25">
      <c r="A4278" s="362"/>
      <c r="B4278" s="611">
        <v>44357</v>
      </c>
      <c r="C4278" s="362" t="s">
        <v>166</v>
      </c>
      <c r="D4278" s="562">
        <v>103666315</v>
      </c>
      <c r="E4278" s="562"/>
      <c r="F4278" s="562">
        <v>103666400</v>
      </c>
      <c r="G4278" s="562">
        <f t="shared" si="193"/>
        <v>-85</v>
      </c>
      <c r="H4278" s="562"/>
      <c r="I4278" s="562"/>
      <c r="J4278" s="562"/>
    </row>
    <row r="4279" spans="1:10" x14ac:dyDescent="0.25">
      <c r="A4279" s="362"/>
      <c r="B4279" s="611">
        <v>44357</v>
      </c>
      <c r="C4279" s="362" t="s">
        <v>3435</v>
      </c>
      <c r="D4279" s="562">
        <v>65486395</v>
      </c>
      <c r="E4279" s="562"/>
      <c r="F4279" s="562">
        <v>65486400</v>
      </c>
      <c r="G4279" s="562">
        <f t="shared" si="193"/>
        <v>-5</v>
      </c>
      <c r="H4279" s="562"/>
      <c r="I4279" s="562"/>
      <c r="J4279" s="562"/>
    </row>
    <row r="4280" spans="1:10" x14ac:dyDescent="0.25">
      <c r="A4280" s="362"/>
      <c r="B4280" s="611">
        <v>44357</v>
      </c>
      <c r="C4280" s="370" t="s">
        <v>85</v>
      </c>
      <c r="D4280" s="562">
        <v>22788000</v>
      </c>
      <c r="E4280" s="562"/>
      <c r="F4280" s="562">
        <v>22788000</v>
      </c>
      <c r="G4280" s="562">
        <f t="shared" si="193"/>
        <v>0</v>
      </c>
      <c r="H4280" s="562"/>
      <c r="I4280" s="562"/>
      <c r="J4280" s="562"/>
    </row>
    <row r="4281" spans="1:10" x14ac:dyDescent="0.25">
      <c r="A4281" s="532"/>
      <c r="B4281" s="532"/>
      <c r="C4281" s="532"/>
      <c r="D4281" s="564">
        <f>SUM(D4266:D4280)</f>
        <v>2302335713</v>
      </c>
      <c r="E4281" s="564">
        <f t="shared" ref="E4281:G4281" si="196">SUM(E4266:E4280)</f>
        <v>519970940</v>
      </c>
      <c r="F4281" s="564">
        <f t="shared" si="196"/>
        <v>2822291900</v>
      </c>
      <c r="G4281" s="564">
        <f t="shared" si="196"/>
        <v>14753</v>
      </c>
      <c r="H4281" s="564"/>
      <c r="I4281" s="564"/>
      <c r="J4281" s="564"/>
    </row>
    <row r="4282" spans="1:10" x14ac:dyDescent="0.25">
      <c r="A4282" s="362"/>
      <c r="B4282" s="611">
        <v>44358</v>
      </c>
      <c r="C4282" s="362" t="s">
        <v>86</v>
      </c>
      <c r="D4282" s="562">
        <v>71053762</v>
      </c>
      <c r="E4282" s="562">
        <v>630000</v>
      </c>
      <c r="F4282" s="562">
        <v>71683800</v>
      </c>
      <c r="G4282" s="562">
        <f t="shared" si="193"/>
        <v>-38</v>
      </c>
      <c r="H4282" s="562"/>
      <c r="I4282" s="562"/>
      <c r="J4282" s="562"/>
    </row>
    <row r="4283" spans="1:10" x14ac:dyDescent="0.25">
      <c r="A4283" s="362"/>
      <c r="B4283" s="611">
        <v>44358</v>
      </c>
      <c r="C4283" s="362" t="s">
        <v>87</v>
      </c>
      <c r="D4283" s="562">
        <v>98457748</v>
      </c>
      <c r="E4283" s="562">
        <v>18026768</v>
      </c>
      <c r="F4283" s="562">
        <v>116484500</v>
      </c>
      <c r="G4283" s="562">
        <f t="shared" si="193"/>
        <v>16</v>
      </c>
      <c r="H4283" s="562"/>
      <c r="I4283" s="562"/>
      <c r="J4283" s="562"/>
    </row>
    <row r="4284" spans="1:10" x14ac:dyDescent="0.25">
      <c r="A4284" s="362"/>
      <c r="B4284" s="611">
        <v>44358</v>
      </c>
      <c r="C4284" s="362" t="s">
        <v>88</v>
      </c>
      <c r="D4284" s="562">
        <v>137569141</v>
      </c>
      <c r="E4284" s="562">
        <v>33014463</v>
      </c>
      <c r="F4284" s="562">
        <v>170583700</v>
      </c>
      <c r="G4284" s="562">
        <f t="shared" si="193"/>
        <v>-96</v>
      </c>
      <c r="H4284" s="562"/>
      <c r="I4284" s="562"/>
      <c r="J4284" s="562"/>
    </row>
    <row r="4285" spans="1:10" x14ac:dyDescent="0.25">
      <c r="A4285" s="362"/>
      <c r="B4285" s="611">
        <v>44358</v>
      </c>
      <c r="C4285" s="362" t="s">
        <v>82</v>
      </c>
      <c r="D4285" s="562">
        <v>64339290</v>
      </c>
      <c r="E4285" s="562">
        <v>1127817</v>
      </c>
      <c r="F4285" s="562">
        <v>65467200</v>
      </c>
      <c r="G4285" s="562">
        <f t="shared" si="193"/>
        <v>-93</v>
      </c>
      <c r="H4285" s="562"/>
      <c r="I4285" s="562"/>
      <c r="J4285" s="562"/>
    </row>
    <row r="4286" spans="1:10" x14ac:dyDescent="0.25">
      <c r="A4286" s="362"/>
      <c r="B4286" s="611">
        <v>44358</v>
      </c>
      <c r="C4286" s="362" t="s">
        <v>80</v>
      </c>
      <c r="D4286" s="562">
        <v>252131374</v>
      </c>
      <c r="E4286" s="562">
        <v>79800</v>
      </c>
      <c r="F4286" s="562">
        <v>252208200</v>
      </c>
      <c r="G4286" s="562">
        <f t="shared" si="193"/>
        <v>2974</v>
      </c>
      <c r="H4286" s="562"/>
      <c r="I4286" s="562"/>
      <c r="J4286" s="562"/>
    </row>
    <row r="4287" spans="1:10" x14ac:dyDescent="0.25">
      <c r="A4287" s="362"/>
      <c r="B4287" s="611">
        <v>44358</v>
      </c>
      <c r="C4287" s="362" t="s">
        <v>83</v>
      </c>
      <c r="D4287" s="562">
        <v>191875298</v>
      </c>
      <c r="E4287" s="562">
        <v>97761155</v>
      </c>
      <c r="F4287" s="562">
        <v>289636500</v>
      </c>
      <c r="G4287" s="562">
        <f t="shared" si="193"/>
        <v>-47</v>
      </c>
      <c r="H4287" s="562"/>
      <c r="I4287" s="562"/>
      <c r="J4287" s="562"/>
    </row>
    <row r="4288" spans="1:10" x14ac:dyDescent="0.25">
      <c r="A4288" s="362"/>
      <c r="B4288" s="611">
        <v>44358</v>
      </c>
      <c r="C4288" s="362" t="s">
        <v>78</v>
      </c>
      <c r="D4288" s="562">
        <v>97400181</v>
      </c>
      <c r="E4288" s="562">
        <v>123019</v>
      </c>
      <c r="F4288" s="562">
        <v>97523200</v>
      </c>
      <c r="G4288" s="562">
        <f t="shared" si="193"/>
        <v>0</v>
      </c>
      <c r="H4288" s="562"/>
      <c r="I4288" s="562"/>
      <c r="J4288" s="562"/>
    </row>
    <row r="4289" spans="1:10" x14ac:dyDescent="0.25">
      <c r="A4289" s="362"/>
      <c r="B4289" s="611">
        <v>44358</v>
      </c>
      <c r="C4289" s="362" t="s">
        <v>141</v>
      </c>
      <c r="D4289" s="562">
        <v>79924575</v>
      </c>
      <c r="E4289" s="562">
        <v>5168533</v>
      </c>
      <c r="F4289" s="562">
        <v>85093200</v>
      </c>
      <c r="G4289" s="562">
        <f t="shared" si="193"/>
        <v>-92</v>
      </c>
      <c r="H4289" s="562"/>
      <c r="I4289" s="562"/>
      <c r="J4289" s="562"/>
    </row>
    <row r="4290" spans="1:10" x14ac:dyDescent="0.25">
      <c r="A4290" s="362"/>
      <c r="B4290" s="611">
        <v>44358</v>
      </c>
      <c r="C4290" s="362" t="s">
        <v>89</v>
      </c>
      <c r="D4290" s="562">
        <v>185403212</v>
      </c>
      <c r="E4290" s="562">
        <v>63849188</v>
      </c>
      <c r="F4290" s="562">
        <v>249252400</v>
      </c>
      <c r="G4290" s="562">
        <f t="shared" si="193"/>
        <v>0</v>
      </c>
      <c r="H4290" s="562"/>
      <c r="I4290" s="562"/>
      <c r="J4290" s="562"/>
    </row>
    <row r="4291" spans="1:10" x14ac:dyDescent="0.25">
      <c r="A4291" s="362"/>
      <c r="B4291" s="611">
        <v>44358</v>
      </c>
      <c r="C4291" s="362" t="s">
        <v>81</v>
      </c>
      <c r="D4291" s="562">
        <v>92450583</v>
      </c>
      <c r="E4291" s="562">
        <v>6562216</v>
      </c>
      <c r="F4291" s="562">
        <v>99012800</v>
      </c>
      <c r="G4291" s="562">
        <f t="shared" si="193"/>
        <v>-1</v>
      </c>
      <c r="H4291" s="562"/>
      <c r="I4291" s="562"/>
      <c r="J4291" s="562"/>
    </row>
    <row r="4292" spans="1:10" x14ac:dyDescent="0.25">
      <c r="A4292" s="362"/>
      <c r="B4292" s="611">
        <v>44358</v>
      </c>
      <c r="C4292" s="362" t="s">
        <v>84</v>
      </c>
      <c r="D4292" s="562">
        <v>223040592</v>
      </c>
      <c r="E4292" s="562">
        <v>18063638</v>
      </c>
      <c r="F4292" s="562">
        <v>241104300</v>
      </c>
      <c r="G4292" s="562">
        <f t="shared" si="193"/>
        <v>-70</v>
      </c>
      <c r="H4292" s="562"/>
      <c r="I4292" s="562"/>
      <c r="J4292" s="562"/>
    </row>
    <row r="4293" spans="1:10" x14ac:dyDescent="0.25">
      <c r="A4293" s="362"/>
      <c r="B4293" s="611">
        <v>44358</v>
      </c>
      <c r="C4293" s="362" t="s">
        <v>4751</v>
      </c>
      <c r="D4293" s="562">
        <v>190028320</v>
      </c>
      <c r="E4293" s="562">
        <v>8730680</v>
      </c>
      <c r="F4293" s="562">
        <v>198759000</v>
      </c>
      <c r="G4293" s="562">
        <f t="shared" si="193"/>
        <v>0</v>
      </c>
      <c r="H4293" s="562"/>
      <c r="I4293" s="562"/>
      <c r="J4293" s="562"/>
    </row>
    <row r="4294" spans="1:10" x14ac:dyDescent="0.25">
      <c r="A4294" s="362"/>
      <c r="B4294" s="611">
        <v>44358</v>
      </c>
      <c r="C4294" s="362" t="s">
        <v>166</v>
      </c>
      <c r="D4294" s="562">
        <v>48870024</v>
      </c>
      <c r="E4294" s="562"/>
      <c r="F4294" s="562">
        <v>48870000</v>
      </c>
      <c r="G4294" s="562">
        <f t="shared" si="193"/>
        <v>24</v>
      </c>
      <c r="H4294" s="562"/>
      <c r="I4294" s="562"/>
      <c r="J4294" s="562"/>
    </row>
    <row r="4295" spans="1:10" x14ac:dyDescent="0.25">
      <c r="A4295" s="362"/>
      <c r="B4295" s="611">
        <v>44358</v>
      </c>
      <c r="C4295" s="362" t="s">
        <v>3435</v>
      </c>
      <c r="D4295" s="562">
        <v>186075082</v>
      </c>
      <c r="E4295" s="562"/>
      <c r="F4295" s="562">
        <v>186075100</v>
      </c>
      <c r="G4295" s="562">
        <f t="shared" si="193"/>
        <v>-18</v>
      </c>
      <c r="H4295" s="562"/>
      <c r="I4295" s="562"/>
      <c r="J4295" s="562"/>
    </row>
    <row r="4296" spans="1:10" x14ac:dyDescent="0.25">
      <c r="A4296" s="362"/>
      <c r="B4296" s="611">
        <v>44358</v>
      </c>
      <c r="C4296" s="370" t="s">
        <v>85</v>
      </c>
      <c r="D4296" s="562">
        <v>21446900</v>
      </c>
      <c r="E4296" s="562"/>
      <c r="F4296" s="562">
        <v>21446900</v>
      </c>
      <c r="G4296" s="562">
        <f t="shared" si="193"/>
        <v>0</v>
      </c>
      <c r="H4296" s="562"/>
      <c r="I4296" s="562"/>
      <c r="J4296" s="562"/>
    </row>
    <row r="4297" spans="1:10" x14ac:dyDescent="0.25">
      <c r="A4297" s="532"/>
      <c r="B4297" s="532"/>
      <c r="C4297" s="532"/>
      <c r="D4297" s="564">
        <f>SUM(D4282:D4296)</f>
        <v>1940066082</v>
      </c>
      <c r="E4297" s="564">
        <f t="shared" ref="E4297:F4297" si="197">SUM(E4282:E4296)</f>
        <v>253137277</v>
      </c>
      <c r="F4297" s="564">
        <f t="shared" si="197"/>
        <v>2193200800</v>
      </c>
      <c r="G4297" s="564">
        <f>SUM(G4282:G4296)</f>
        <v>2559</v>
      </c>
      <c r="H4297" s="564"/>
      <c r="I4297" s="564"/>
      <c r="J4297" s="564"/>
    </row>
    <row r="4298" spans="1:10" x14ac:dyDescent="0.25">
      <c r="A4298" s="362"/>
      <c r="B4298" s="611">
        <v>44359</v>
      </c>
      <c r="C4298" s="362" t="s">
        <v>86</v>
      </c>
      <c r="D4298" s="562">
        <v>73623905</v>
      </c>
      <c r="E4298" s="562">
        <v>9890940</v>
      </c>
      <c r="F4298" s="562">
        <v>83514900</v>
      </c>
      <c r="G4298" s="562">
        <f t="shared" si="193"/>
        <v>-55</v>
      </c>
      <c r="H4298" s="562"/>
      <c r="I4298" s="562"/>
      <c r="J4298" s="562"/>
    </row>
    <row r="4299" spans="1:10" x14ac:dyDescent="0.25">
      <c r="A4299" s="362"/>
      <c r="B4299" s="611">
        <v>44359</v>
      </c>
      <c r="C4299" s="362" t="s">
        <v>87</v>
      </c>
      <c r="D4299" s="562">
        <v>77980717</v>
      </c>
      <c r="E4299" s="562">
        <v>26260007</v>
      </c>
      <c r="F4299" s="562">
        <v>104241300</v>
      </c>
      <c r="G4299" s="562">
        <f t="shared" si="193"/>
        <v>-576</v>
      </c>
      <c r="H4299" s="562"/>
      <c r="I4299" s="562"/>
      <c r="J4299" s="562"/>
    </row>
    <row r="4300" spans="1:10" x14ac:dyDescent="0.25">
      <c r="A4300" s="362"/>
      <c r="B4300" s="611">
        <v>44359</v>
      </c>
      <c r="C4300" s="362" t="s">
        <v>88</v>
      </c>
      <c r="D4300" s="562">
        <v>235378824</v>
      </c>
      <c r="E4300" s="562">
        <v>98065827</v>
      </c>
      <c r="F4300" s="562">
        <v>333444700</v>
      </c>
      <c r="G4300" s="562">
        <f t="shared" ref="G4300:G4363" si="198">D4300+E4300-F4300</f>
        <v>-49</v>
      </c>
      <c r="H4300" s="562"/>
      <c r="I4300" s="562"/>
      <c r="J4300" s="562"/>
    </row>
    <row r="4301" spans="1:10" x14ac:dyDescent="0.25">
      <c r="A4301" s="362"/>
      <c r="B4301" s="611">
        <v>44359</v>
      </c>
      <c r="C4301" s="362" t="s">
        <v>82</v>
      </c>
      <c r="D4301" s="562">
        <v>44191592</v>
      </c>
      <c r="E4301" s="562">
        <v>8393912</v>
      </c>
      <c r="F4301" s="562">
        <v>52585600</v>
      </c>
      <c r="G4301" s="562">
        <f t="shared" si="198"/>
        <v>-96</v>
      </c>
      <c r="H4301" s="562"/>
      <c r="I4301" s="562"/>
      <c r="J4301" s="562"/>
    </row>
    <row r="4302" spans="1:10" x14ac:dyDescent="0.25">
      <c r="A4302" s="362"/>
      <c r="B4302" s="611">
        <v>44359</v>
      </c>
      <c r="C4302" s="362" t="s">
        <v>80</v>
      </c>
      <c r="D4302" s="562">
        <v>213696830</v>
      </c>
      <c r="E4302" s="562">
        <v>267870</v>
      </c>
      <c r="F4302" s="562">
        <v>213964700</v>
      </c>
      <c r="G4302" s="562">
        <f t="shared" si="198"/>
        <v>0</v>
      </c>
      <c r="H4302" s="562"/>
      <c r="I4302" s="562"/>
      <c r="J4302" s="562"/>
    </row>
    <row r="4303" spans="1:10" x14ac:dyDescent="0.25">
      <c r="A4303" s="362"/>
      <c r="B4303" s="611">
        <v>44359</v>
      </c>
      <c r="C4303" s="362" t="s">
        <v>83</v>
      </c>
      <c r="D4303" s="562">
        <v>200444904</v>
      </c>
      <c r="E4303" s="562">
        <v>108285252</v>
      </c>
      <c r="F4303" s="562">
        <v>308730200</v>
      </c>
      <c r="G4303" s="562">
        <f t="shared" si="198"/>
        <v>-44</v>
      </c>
      <c r="H4303" s="562"/>
      <c r="I4303" s="562"/>
      <c r="J4303" s="562"/>
    </row>
    <row r="4304" spans="1:10" x14ac:dyDescent="0.25">
      <c r="A4304" s="362"/>
      <c r="B4304" s="611">
        <v>44359</v>
      </c>
      <c r="C4304" s="362" t="s">
        <v>78</v>
      </c>
      <c r="D4304" s="562">
        <v>101024092</v>
      </c>
      <c r="E4304" s="562">
        <v>3108908</v>
      </c>
      <c r="F4304" s="562">
        <v>104133000</v>
      </c>
      <c r="G4304" s="562">
        <f t="shared" si="198"/>
        <v>0</v>
      </c>
      <c r="H4304" s="562"/>
      <c r="I4304" s="562"/>
      <c r="J4304" s="562"/>
    </row>
    <row r="4305" spans="1:10" x14ac:dyDescent="0.25">
      <c r="A4305" s="362"/>
      <c r="B4305" s="611">
        <v>44359</v>
      </c>
      <c r="C4305" s="362" t="s">
        <v>141</v>
      </c>
      <c r="D4305" s="562">
        <v>52100116</v>
      </c>
      <c r="E4305" s="562">
        <v>4144450</v>
      </c>
      <c r="F4305" s="562">
        <v>56244600</v>
      </c>
      <c r="G4305" s="562">
        <f t="shared" si="198"/>
        <v>-34</v>
      </c>
      <c r="H4305" s="562"/>
      <c r="I4305" s="562"/>
      <c r="J4305" s="562"/>
    </row>
    <row r="4306" spans="1:10" x14ac:dyDescent="0.25">
      <c r="A4306" s="362"/>
      <c r="B4306" s="611">
        <v>44359</v>
      </c>
      <c r="C4306" s="362" t="s">
        <v>89</v>
      </c>
      <c r="D4306" s="562">
        <v>82286188</v>
      </c>
      <c r="E4306" s="562">
        <v>59442012</v>
      </c>
      <c r="F4306" s="562">
        <v>141728200</v>
      </c>
      <c r="G4306" s="562">
        <f t="shared" si="198"/>
        <v>0</v>
      </c>
      <c r="H4306" s="562"/>
      <c r="I4306" s="562"/>
      <c r="J4306" s="562"/>
    </row>
    <row r="4307" spans="1:10" x14ac:dyDescent="0.25">
      <c r="A4307" s="362"/>
      <c r="B4307" s="611">
        <v>44359</v>
      </c>
      <c r="C4307" s="362" t="s">
        <v>81</v>
      </c>
      <c r="D4307" s="562">
        <v>93056005</v>
      </c>
      <c r="E4307" s="562">
        <v>6231507</v>
      </c>
      <c r="F4307" s="562">
        <f>58011000+41276600</f>
        <v>99287600</v>
      </c>
      <c r="G4307" s="562">
        <f t="shared" si="198"/>
        <v>-88</v>
      </c>
      <c r="H4307" s="562"/>
      <c r="I4307" s="562"/>
      <c r="J4307" s="562"/>
    </row>
    <row r="4308" spans="1:10" x14ac:dyDescent="0.25">
      <c r="A4308" s="362"/>
      <c r="B4308" s="611">
        <v>44359</v>
      </c>
      <c r="C4308" s="362" t="s">
        <v>84</v>
      </c>
      <c r="D4308" s="562">
        <v>164882225</v>
      </c>
      <c r="E4308" s="562">
        <v>11583601</v>
      </c>
      <c r="F4308" s="562">
        <v>176465700</v>
      </c>
      <c r="G4308" s="562">
        <f t="shared" si="198"/>
        <v>126</v>
      </c>
      <c r="H4308" s="562"/>
      <c r="I4308" s="562"/>
      <c r="J4308" s="562"/>
    </row>
    <row r="4309" spans="1:10" x14ac:dyDescent="0.25">
      <c r="A4309" s="362"/>
      <c r="B4309" s="611">
        <v>44359</v>
      </c>
      <c r="C4309" s="362" t="s">
        <v>4751</v>
      </c>
      <c r="D4309" s="562">
        <v>223267801</v>
      </c>
      <c r="E4309" s="562">
        <v>8313099</v>
      </c>
      <c r="F4309" s="562">
        <v>231580900</v>
      </c>
      <c r="G4309" s="562">
        <f t="shared" si="198"/>
        <v>0</v>
      </c>
      <c r="H4309" s="562"/>
      <c r="I4309" s="562"/>
      <c r="J4309" s="562"/>
    </row>
    <row r="4310" spans="1:10" x14ac:dyDescent="0.25">
      <c r="A4310" s="362"/>
      <c r="B4310" s="611">
        <v>44359</v>
      </c>
      <c r="C4310" s="362" t="s">
        <v>166</v>
      </c>
      <c r="D4310" s="562"/>
      <c r="E4310" s="562"/>
      <c r="F4310" s="562"/>
      <c r="G4310" s="562">
        <f t="shared" si="198"/>
        <v>0</v>
      </c>
      <c r="H4310" s="562"/>
      <c r="I4310" s="562"/>
      <c r="J4310" s="562"/>
    </row>
    <row r="4311" spans="1:10" x14ac:dyDescent="0.25">
      <c r="A4311" s="362"/>
      <c r="B4311" s="611">
        <v>44359</v>
      </c>
      <c r="C4311" s="362" t="s">
        <v>3435</v>
      </c>
      <c r="D4311" s="562"/>
      <c r="E4311" s="562"/>
      <c r="F4311" s="562"/>
      <c r="G4311" s="562">
        <f t="shared" si="198"/>
        <v>0</v>
      </c>
      <c r="H4311" s="562"/>
      <c r="I4311" s="562"/>
      <c r="J4311" s="562"/>
    </row>
    <row r="4312" spans="1:10" x14ac:dyDescent="0.25">
      <c r="A4312" s="362"/>
      <c r="B4312" s="611">
        <v>44359</v>
      </c>
      <c r="C4312" s="370" t="s">
        <v>85</v>
      </c>
      <c r="D4312" s="562">
        <v>35404800</v>
      </c>
      <c r="E4312" s="562"/>
      <c r="F4312" s="562">
        <v>35404800</v>
      </c>
      <c r="G4312" s="562">
        <f t="shared" si="198"/>
        <v>0</v>
      </c>
      <c r="H4312" s="562"/>
      <c r="I4312" s="562"/>
      <c r="J4312" s="562"/>
    </row>
    <row r="4313" spans="1:10" x14ac:dyDescent="0.25">
      <c r="A4313" s="532"/>
      <c r="B4313" s="532"/>
      <c r="C4313" s="532"/>
      <c r="D4313" s="564">
        <f>SUM(D4298:D4312)</f>
        <v>1597337999</v>
      </c>
      <c r="E4313" s="564">
        <f t="shared" ref="E4313:G4313" si="199">SUM(E4298:E4312)</f>
        <v>343987385</v>
      </c>
      <c r="F4313" s="564">
        <f t="shared" si="199"/>
        <v>1941326200</v>
      </c>
      <c r="G4313" s="564">
        <f t="shared" si="199"/>
        <v>-816</v>
      </c>
      <c r="H4313" s="564"/>
      <c r="I4313" s="564"/>
      <c r="J4313" s="564"/>
    </row>
    <row r="4314" spans="1:10" x14ac:dyDescent="0.25">
      <c r="A4314" s="362"/>
      <c r="B4314" s="611">
        <v>44361</v>
      </c>
      <c r="C4314" s="362" t="s">
        <v>86</v>
      </c>
      <c r="D4314" s="562">
        <v>104779300</v>
      </c>
      <c r="E4314" s="562">
        <v>4319351</v>
      </c>
      <c r="F4314" s="562">
        <v>109098900</v>
      </c>
      <c r="G4314" s="562">
        <f t="shared" si="198"/>
        <v>-249</v>
      </c>
      <c r="H4314" s="562"/>
      <c r="I4314" s="562"/>
      <c r="J4314" s="562"/>
    </row>
    <row r="4315" spans="1:10" x14ac:dyDescent="0.25">
      <c r="A4315" s="362"/>
      <c r="B4315" s="611">
        <v>44361</v>
      </c>
      <c r="C4315" s="362" t="s">
        <v>87</v>
      </c>
      <c r="D4315" s="562">
        <v>86042710</v>
      </c>
      <c r="E4315" s="562">
        <v>62331076</v>
      </c>
      <c r="F4315" s="562">
        <v>148373800</v>
      </c>
      <c r="G4315" s="562">
        <f t="shared" si="198"/>
        <v>-14</v>
      </c>
      <c r="H4315" s="562"/>
      <c r="I4315" s="562"/>
      <c r="J4315" s="562"/>
    </row>
    <row r="4316" spans="1:10" x14ac:dyDescent="0.25">
      <c r="A4316" s="362"/>
      <c r="B4316" s="611">
        <v>44361</v>
      </c>
      <c r="C4316" s="362" t="s">
        <v>88</v>
      </c>
      <c r="D4316" s="562">
        <v>175240460</v>
      </c>
      <c r="E4316" s="562">
        <v>140371594</v>
      </c>
      <c r="F4316" s="562">
        <v>315612100</v>
      </c>
      <c r="G4316" s="562">
        <f t="shared" si="198"/>
        <v>-46</v>
      </c>
      <c r="H4316" s="562"/>
      <c r="I4316" s="562"/>
      <c r="J4316" s="562"/>
    </row>
    <row r="4317" spans="1:10" x14ac:dyDescent="0.25">
      <c r="A4317" s="362"/>
      <c r="B4317" s="611">
        <v>44361</v>
      </c>
      <c r="C4317" s="362" t="s">
        <v>82</v>
      </c>
      <c r="D4317" s="562">
        <v>37740061</v>
      </c>
      <c r="E4317" s="562">
        <v>9530589</v>
      </c>
      <c r="F4317" s="562">
        <v>47270700</v>
      </c>
      <c r="G4317" s="562">
        <f t="shared" si="198"/>
        <v>-50</v>
      </c>
      <c r="H4317" s="562"/>
      <c r="I4317" s="562"/>
      <c r="J4317" s="562"/>
    </row>
    <row r="4318" spans="1:10" x14ac:dyDescent="0.25">
      <c r="A4318" s="362"/>
      <c r="B4318" s="611">
        <v>44361</v>
      </c>
      <c r="C4318" s="362" t="s">
        <v>80</v>
      </c>
      <c r="D4318" s="562">
        <v>343157200</v>
      </c>
      <c r="E4318" s="562">
        <v>44996000</v>
      </c>
      <c r="F4318" s="562">
        <v>388153300</v>
      </c>
      <c r="G4318" s="562">
        <f t="shared" si="198"/>
        <v>-100</v>
      </c>
      <c r="H4318" s="562"/>
      <c r="I4318" s="562"/>
      <c r="J4318" s="562"/>
    </row>
    <row r="4319" spans="1:10" x14ac:dyDescent="0.25">
      <c r="A4319" s="362"/>
      <c r="B4319" s="611">
        <v>44361</v>
      </c>
      <c r="C4319" s="362" t="s">
        <v>83</v>
      </c>
      <c r="D4319" s="562">
        <v>203625996</v>
      </c>
      <c r="E4319" s="562">
        <v>13095340</v>
      </c>
      <c r="F4319" s="562">
        <v>216721400</v>
      </c>
      <c r="G4319" s="562">
        <f t="shared" si="198"/>
        <v>-64</v>
      </c>
      <c r="H4319" s="562"/>
      <c r="I4319" s="562"/>
      <c r="J4319" s="562"/>
    </row>
    <row r="4320" spans="1:10" x14ac:dyDescent="0.25">
      <c r="A4320" s="362"/>
      <c r="B4320" s="611">
        <v>44361</v>
      </c>
      <c r="C4320" s="362" t="s">
        <v>78</v>
      </c>
      <c r="D4320" s="562">
        <v>150535887</v>
      </c>
      <c r="E4320" s="562">
        <v>1643413</v>
      </c>
      <c r="F4320" s="562">
        <v>152179300</v>
      </c>
      <c r="G4320" s="562">
        <f t="shared" si="198"/>
        <v>0</v>
      </c>
      <c r="H4320" s="562"/>
      <c r="I4320" s="562"/>
      <c r="J4320" s="562"/>
    </row>
    <row r="4321" spans="1:10" x14ac:dyDescent="0.25">
      <c r="A4321" s="362"/>
      <c r="B4321" s="611">
        <v>44361</v>
      </c>
      <c r="C4321" s="362" t="s">
        <v>141</v>
      </c>
      <c r="D4321" s="562">
        <v>35920601</v>
      </c>
      <c r="E4321" s="562">
        <v>1870908</v>
      </c>
      <c r="F4321" s="562">
        <v>37791600</v>
      </c>
      <c r="G4321" s="562">
        <f t="shared" si="198"/>
        <v>-91</v>
      </c>
      <c r="H4321" s="562"/>
      <c r="I4321" s="562"/>
      <c r="J4321" s="562"/>
    </row>
    <row r="4322" spans="1:10" x14ac:dyDescent="0.25">
      <c r="A4322" s="362"/>
      <c r="B4322" s="611">
        <v>44361</v>
      </c>
      <c r="C4322" s="362" t="s">
        <v>89</v>
      </c>
      <c r="D4322" s="562">
        <v>114220253</v>
      </c>
      <c r="E4322" s="562">
        <v>9235247</v>
      </c>
      <c r="F4322" s="562">
        <v>123455400</v>
      </c>
      <c r="G4322" s="562">
        <f t="shared" si="198"/>
        <v>100</v>
      </c>
      <c r="H4322" s="562"/>
      <c r="I4322" s="562"/>
      <c r="J4322" s="562"/>
    </row>
    <row r="4323" spans="1:10" x14ac:dyDescent="0.25">
      <c r="A4323" s="362"/>
      <c r="B4323" s="611">
        <v>44361</v>
      </c>
      <c r="C4323" s="362" t="s">
        <v>81</v>
      </c>
      <c r="D4323" s="562">
        <v>110584379</v>
      </c>
      <c r="E4323" s="562">
        <v>26887400</v>
      </c>
      <c r="F4323" s="562">
        <v>137471800</v>
      </c>
      <c r="G4323" s="562">
        <f t="shared" si="198"/>
        <v>-21</v>
      </c>
      <c r="H4323" s="562"/>
      <c r="I4323" s="562"/>
      <c r="J4323" s="562"/>
    </row>
    <row r="4324" spans="1:10" x14ac:dyDescent="0.25">
      <c r="A4324" s="362"/>
      <c r="B4324" s="611">
        <v>44361</v>
      </c>
      <c r="C4324" s="362" t="s">
        <v>84</v>
      </c>
      <c r="D4324" s="562">
        <v>222766761</v>
      </c>
      <c r="E4324" s="562">
        <v>11038998</v>
      </c>
      <c r="F4324" s="562">
        <v>233802600</v>
      </c>
      <c r="G4324" s="562">
        <f t="shared" si="198"/>
        <v>3159</v>
      </c>
      <c r="H4324" s="562"/>
      <c r="I4324" s="562"/>
      <c r="J4324" s="562"/>
    </row>
    <row r="4325" spans="1:10" x14ac:dyDescent="0.25">
      <c r="A4325" s="362"/>
      <c r="B4325" s="611">
        <v>44361</v>
      </c>
      <c r="C4325" s="362" t="s">
        <v>4751</v>
      </c>
      <c r="D4325" s="562">
        <v>196474700</v>
      </c>
      <c r="E4325" s="562">
        <v>12703100</v>
      </c>
      <c r="F4325" s="562">
        <v>209177600</v>
      </c>
      <c r="G4325" s="562">
        <f t="shared" si="198"/>
        <v>200</v>
      </c>
      <c r="H4325" s="562"/>
      <c r="I4325" s="562"/>
      <c r="J4325" s="562"/>
    </row>
    <row r="4326" spans="1:10" x14ac:dyDescent="0.25">
      <c r="A4326" s="362"/>
      <c r="B4326" s="611">
        <v>44361</v>
      </c>
      <c r="C4326" s="362" t="s">
        <v>166</v>
      </c>
      <c r="D4326" s="562">
        <v>50696489</v>
      </c>
      <c r="E4326" s="562"/>
      <c r="F4326" s="562">
        <v>50696500</v>
      </c>
      <c r="G4326" s="562">
        <f t="shared" si="198"/>
        <v>-11</v>
      </c>
      <c r="H4326" s="562"/>
      <c r="I4326" s="562"/>
      <c r="J4326" s="562"/>
    </row>
    <row r="4327" spans="1:10" x14ac:dyDescent="0.25">
      <c r="A4327" s="362"/>
      <c r="B4327" s="611">
        <v>44361</v>
      </c>
      <c r="C4327" s="362" t="s">
        <v>3435</v>
      </c>
      <c r="D4327" s="562">
        <v>45010028</v>
      </c>
      <c r="E4327" s="562"/>
      <c r="F4327" s="562">
        <v>45010100</v>
      </c>
      <c r="G4327" s="562">
        <f t="shared" si="198"/>
        <v>-72</v>
      </c>
      <c r="H4327" s="562"/>
      <c r="I4327" s="562"/>
      <c r="J4327" s="562"/>
    </row>
    <row r="4328" spans="1:10" x14ac:dyDescent="0.25">
      <c r="A4328" s="362"/>
      <c r="B4328" s="611">
        <v>44361</v>
      </c>
      <c r="C4328" s="370" t="s">
        <v>85</v>
      </c>
      <c r="D4328" s="562">
        <v>53813100</v>
      </c>
      <c r="E4328" s="562"/>
      <c r="F4328" s="562">
        <v>53813100</v>
      </c>
      <c r="G4328" s="562">
        <f t="shared" si="198"/>
        <v>0</v>
      </c>
      <c r="H4328" s="562"/>
      <c r="I4328" s="562"/>
      <c r="J4328" s="562"/>
    </row>
    <row r="4329" spans="1:10" x14ac:dyDescent="0.25">
      <c r="A4329" s="532"/>
      <c r="B4329" s="532"/>
      <c r="C4329" s="532"/>
      <c r="D4329" s="564">
        <f>SUM(D4314:D4328)</f>
        <v>1930607925</v>
      </c>
      <c r="E4329" s="564">
        <f t="shared" ref="E4329:G4329" si="200">SUM(E4314:E4328)</f>
        <v>338023016</v>
      </c>
      <c r="F4329" s="564">
        <f t="shared" si="200"/>
        <v>2268628200</v>
      </c>
      <c r="G4329" s="564">
        <f t="shared" si="200"/>
        <v>2741</v>
      </c>
      <c r="H4329" s="564"/>
      <c r="I4329" s="564"/>
      <c r="J4329" s="564"/>
    </row>
    <row r="4330" spans="1:10" x14ac:dyDescent="0.25">
      <c r="A4330" s="362"/>
      <c r="B4330" s="611">
        <v>44362</v>
      </c>
      <c r="C4330" s="362" t="s">
        <v>86</v>
      </c>
      <c r="D4330" s="562">
        <v>95475951</v>
      </c>
      <c r="E4330" s="562">
        <v>46514738</v>
      </c>
      <c r="F4330" s="562">
        <v>141990600</v>
      </c>
      <c r="G4330" s="562">
        <f t="shared" si="198"/>
        <v>89</v>
      </c>
      <c r="H4330" s="562"/>
      <c r="I4330" s="562"/>
      <c r="J4330" s="562"/>
    </row>
    <row r="4331" spans="1:10" x14ac:dyDescent="0.25">
      <c r="A4331" s="362"/>
      <c r="B4331" s="611">
        <v>44362</v>
      </c>
      <c r="C4331" s="362" t="s">
        <v>87</v>
      </c>
      <c r="D4331" s="562">
        <v>110115083</v>
      </c>
      <c r="E4331" s="562">
        <v>175780825</v>
      </c>
      <c r="F4331" s="562">
        <v>285896000</v>
      </c>
      <c r="G4331" s="562">
        <f t="shared" si="198"/>
        <v>-92</v>
      </c>
      <c r="H4331" s="562"/>
      <c r="I4331" s="562"/>
      <c r="J4331" s="562"/>
    </row>
    <row r="4332" spans="1:10" x14ac:dyDescent="0.25">
      <c r="A4332" s="362"/>
      <c r="B4332" s="611">
        <v>44362</v>
      </c>
      <c r="C4332" s="362" t="s">
        <v>88</v>
      </c>
      <c r="D4332" s="562">
        <v>163344914</v>
      </c>
      <c r="E4332" s="562">
        <v>83778493</v>
      </c>
      <c r="F4332" s="562">
        <v>247123500</v>
      </c>
      <c r="G4332" s="562">
        <f t="shared" si="198"/>
        <v>-93</v>
      </c>
      <c r="H4332" s="562"/>
      <c r="I4332" s="562"/>
      <c r="J4332" s="562"/>
    </row>
    <row r="4333" spans="1:10" x14ac:dyDescent="0.25">
      <c r="A4333" s="362"/>
      <c r="B4333" s="611">
        <v>44362</v>
      </c>
      <c r="C4333" s="362" t="s">
        <v>82</v>
      </c>
      <c r="D4333" s="562">
        <v>56241155</v>
      </c>
      <c r="E4333" s="562">
        <v>2335821</v>
      </c>
      <c r="F4333" s="562">
        <v>58577000</v>
      </c>
      <c r="G4333" s="562">
        <f t="shared" si="198"/>
        <v>-24</v>
      </c>
      <c r="H4333" s="562"/>
      <c r="I4333" s="562"/>
      <c r="J4333" s="562"/>
    </row>
    <row r="4334" spans="1:10" x14ac:dyDescent="0.25">
      <c r="A4334" s="362"/>
      <c r="B4334" s="611">
        <v>44362</v>
      </c>
      <c r="C4334" s="362" t="s">
        <v>80</v>
      </c>
      <c r="D4334" s="562">
        <v>219847927</v>
      </c>
      <c r="E4334" s="562"/>
      <c r="F4334" s="562">
        <v>219890400</v>
      </c>
      <c r="G4334" s="562">
        <f t="shared" si="198"/>
        <v>-42473</v>
      </c>
      <c r="H4334" s="562"/>
      <c r="I4334" s="562"/>
      <c r="J4334" s="562"/>
    </row>
    <row r="4335" spans="1:10" x14ac:dyDescent="0.25">
      <c r="A4335" s="362"/>
      <c r="B4335" s="611">
        <v>44362</v>
      </c>
      <c r="C4335" s="362" t="s">
        <v>83</v>
      </c>
      <c r="D4335" s="562">
        <v>239468118</v>
      </c>
      <c r="E4335" s="562">
        <v>144514782</v>
      </c>
      <c r="F4335" s="562">
        <v>383982900</v>
      </c>
      <c r="G4335" s="562">
        <f t="shared" si="198"/>
        <v>0</v>
      </c>
      <c r="H4335" s="562"/>
      <c r="I4335" s="562"/>
      <c r="J4335" s="562"/>
    </row>
    <row r="4336" spans="1:10" x14ac:dyDescent="0.25">
      <c r="A4336" s="362"/>
      <c r="B4336" s="611">
        <v>44362</v>
      </c>
      <c r="C4336" s="362" t="s">
        <v>78</v>
      </c>
      <c r="D4336" s="562">
        <v>74302808</v>
      </c>
      <c r="E4336" s="562">
        <v>956792</v>
      </c>
      <c r="F4336" s="562">
        <v>75259600</v>
      </c>
      <c r="G4336" s="562">
        <f t="shared" si="198"/>
        <v>0</v>
      </c>
      <c r="H4336" s="562"/>
      <c r="I4336" s="562"/>
      <c r="J4336" s="562"/>
    </row>
    <row r="4337" spans="1:10" x14ac:dyDescent="0.25">
      <c r="A4337" s="362"/>
      <c r="B4337" s="611">
        <v>44362</v>
      </c>
      <c r="C4337" s="362" t="s">
        <v>141</v>
      </c>
      <c r="D4337" s="562">
        <v>55082000</v>
      </c>
      <c r="E4337" s="562"/>
      <c r="F4337" s="562">
        <v>55082000</v>
      </c>
      <c r="G4337" s="562">
        <f t="shared" si="198"/>
        <v>0</v>
      </c>
      <c r="H4337" s="562"/>
      <c r="I4337" s="562"/>
      <c r="J4337" s="562"/>
    </row>
    <row r="4338" spans="1:10" x14ac:dyDescent="0.25">
      <c r="A4338" s="362"/>
      <c r="B4338" s="611">
        <v>44362</v>
      </c>
      <c r="C4338" s="362" t="s">
        <v>89</v>
      </c>
      <c r="D4338" s="562">
        <v>158085158</v>
      </c>
      <c r="E4338" s="562">
        <v>20842942</v>
      </c>
      <c r="F4338" s="562">
        <v>178928100</v>
      </c>
      <c r="G4338" s="562">
        <f t="shared" si="198"/>
        <v>0</v>
      </c>
      <c r="H4338" s="562"/>
      <c r="I4338" s="562"/>
      <c r="J4338" s="562"/>
    </row>
    <row r="4339" spans="1:10" x14ac:dyDescent="0.25">
      <c r="A4339" s="362"/>
      <c r="B4339" s="611">
        <v>44362</v>
      </c>
      <c r="C4339" s="362" t="s">
        <v>81</v>
      </c>
      <c r="D4339" s="562">
        <v>127038979</v>
      </c>
      <c r="E4339" s="562">
        <v>61013574</v>
      </c>
      <c r="F4339" s="562">
        <v>188034600</v>
      </c>
      <c r="G4339" s="562">
        <f t="shared" si="198"/>
        <v>17953</v>
      </c>
      <c r="H4339" s="562"/>
      <c r="I4339" s="562"/>
      <c r="J4339" s="562"/>
    </row>
    <row r="4340" spans="1:10" x14ac:dyDescent="0.25">
      <c r="A4340" s="362"/>
      <c r="B4340" s="611">
        <v>44362</v>
      </c>
      <c r="C4340" s="362" t="s">
        <v>84</v>
      </c>
      <c r="D4340" s="562">
        <v>170284754</v>
      </c>
      <c r="E4340" s="562">
        <v>11869349</v>
      </c>
      <c r="F4340" s="562">
        <v>182154100</v>
      </c>
      <c r="G4340" s="562">
        <f t="shared" si="198"/>
        <v>3</v>
      </c>
      <c r="H4340" s="562"/>
      <c r="I4340" s="562"/>
      <c r="J4340" s="562"/>
    </row>
    <row r="4341" spans="1:10" x14ac:dyDescent="0.25">
      <c r="A4341" s="362"/>
      <c r="B4341" s="611">
        <v>44362</v>
      </c>
      <c r="C4341" s="362" t="s">
        <v>4751</v>
      </c>
      <c r="D4341" s="562">
        <v>180639145</v>
      </c>
      <c r="E4341" s="562">
        <v>20064855</v>
      </c>
      <c r="F4341" s="562">
        <v>200704000</v>
      </c>
      <c r="G4341" s="562">
        <f t="shared" si="198"/>
        <v>0</v>
      </c>
      <c r="H4341" s="562"/>
      <c r="I4341" s="562"/>
      <c r="J4341" s="562"/>
    </row>
    <row r="4342" spans="1:10" x14ac:dyDescent="0.25">
      <c r="A4342" s="362"/>
      <c r="B4342" s="611">
        <v>44362</v>
      </c>
      <c r="C4342" s="362" t="s">
        <v>166</v>
      </c>
      <c r="D4342" s="562">
        <v>73746647</v>
      </c>
      <c r="E4342" s="562"/>
      <c r="F4342" s="562">
        <v>73746500</v>
      </c>
      <c r="G4342" s="562">
        <f t="shared" si="198"/>
        <v>147</v>
      </c>
      <c r="H4342" s="562"/>
      <c r="I4342" s="562"/>
      <c r="J4342" s="562"/>
    </row>
    <row r="4343" spans="1:10" x14ac:dyDescent="0.25">
      <c r="A4343" s="362"/>
      <c r="B4343" s="611">
        <v>44362</v>
      </c>
      <c r="C4343" s="362" t="s">
        <v>3435</v>
      </c>
      <c r="D4343" s="562">
        <v>28399866</v>
      </c>
      <c r="E4343" s="562"/>
      <c r="F4343" s="562">
        <v>28399900</v>
      </c>
      <c r="G4343" s="562">
        <f t="shared" si="198"/>
        <v>-34</v>
      </c>
      <c r="H4343" s="562"/>
      <c r="I4343" s="562"/>
      <c r="J4343" s="562"/>
    </row>
    <row r="4344" spans="1:10" x14ac:dyDescent="0.25">
      <c r="A4344" s="362"/>
      <c r="B4344" s="611">
        <v>44362</v>
      </c>
      <c r="C4344" s="370" t="s">
        <v>85</v>
      </c>
      <c r="D4344" s="562">
        <v>31223400</v>
      </c>
      <c r="E4344" s="562"/>
      <c r="F4344" s="562">
        <v>31223400</v>
      </c>
      <c r="G4344" s="562">
        <f t="shared" si="198"/>
        <v>0</v>
      </c>
      <c r="H4344" s="562"/>
      <c r="I4344" s="562"/>
      <c r="J4344" s="562"/>
    </row>
    <row r="4345" spans="1:10" x14ac:dyDescent="0.25">
      <c r="A4345" s="532"/>
      <c r="B4345" s="532"/>
      <c r="C4345" s="532"/>
      <c r="D4345" s="564">
        <f>SUM(D4330:D4344)</f>
        <v>1783295905</v>
      </c>
      <c r="E4345" s="564">
        <f t="shared" ref="E4345:G4345" si="201">SUM(E4330:E4344)</f>
        <v>567672171</v>
      </c>
      <c r="F4345" s="564">
        <f t="shared" si="201"/>
        <v>2350992600</v>
      </c>
      <c r="G4345" s="564">
        <f t="shared" si="201"/>
        <v>-24524</v>
      </c>
      <c r="H4345" s="564"/>
      <c r="I4345" s="564"/>
      <c r="J4345" s="564"/>
    </row>
    <row r="4346" spans="1:10" x14ac:dyDescent="0.25">
      <c r="A4346" s="362"/>
      <c r="B4346" s="611">
        <v>44363</v>
      </c>
      <c r="C4346" s="362" t="s">
        <v>86</v>
      </c>
      <c r="D4346" s="562">
        <v>69697865</v>
      </c>
      <c r="E4346" s="562">
        <v>67406002</v>
      </c>
      <c r="F4346" s="562">
        <v>137103800</v>
      </c>
      <c r="G4346" s="562">
        <f t="shared" si="198"/>
        <v>67</v>
      </c>
      <c r="H4346" s="562"/>
      <c r="I4346" s="562"/>
      <c r="J4346" s="562"/>
    </row>
    <row r="4347" spans="1:10" x14ac:dyDescent="0.25">
      <c r="A4347" s="362"/>
      <c r="B4347" s="611">
        <v>44363</v>
      </c>
      <c r="C4347" s="362" t="s">
        <v>87</v>
      </c>
      <c r="D4347" s="562">
        <v>60965791</v>
      </c>
      <c r="E4347" s="562">
        <v>9767667</v>
      </c>
      <c r="F4347" s="562">
        <v>70733500</v>
      </c>
      <c r="G4347" s="562">
        <f t="shared" si="198"/>
        <v>-42</v>
      </c>
      <c r="H4347" s="562"/>
      <c r="I4347" s="562"/>
      <c r="J4347" s="562"/>
    </row>
    <row r="4348" spans="1:10" x14ac:dyDescent="0.25">
      <c r="A4348" s="362"/>
      <c r="B4348" s="611">
        <v>44363</v>
      </c>
      <c r="C4348" s="362" t="s">
        <v>88</v>
      </c>
      <c r="D4348" s="562">
        <v>137940294</v>
      </c>
      <c r="E4348" s="562">
        <v>6628557</v>
      </c>
      <c r="F4348" s="562">
        <v>144568800</v>
      </c>
      <c r="G4348" s="562">
        <f t="shared" si="198"/>
        <v>51</v>
      </c>
      <c r="H4348" s="562"/>
      <c r="I4348" s="562"/>
      <c r="J4348" s="562"/>
    </row>
    <row r="4349" spans="1:10" x14ac:dyDescent="0.25">
      <c r="A4349" s="362"/>
      <c r="B4349" s="611">
        <v>44363</v>
      </c>
      <c r="C4349" s="362" t="s">
        <v>82</v>
      </c>
      <c r="D4349" s="562">
        <v>60939642</v>
      </c>
      <c r="E4349" s="562">
        <v>802100</v>
      </c>
      <c r="F4349" s="562">
        <v>61741800</v>
      </c>
      <c r="G4349" s="562">
        <f t="shared" si="198"/>
        <v>-58</v>
      </c>
      <c r="H4349" s="562"/>
      <c r="I4349" s="562"/>
      <c r="J4349" s="562"/>
    </row>
    <row r="4350" spans="1:10" x14ac:dyDescent="0.25">
      <c r="A4350" s="362"/>
      <c r="B4350" s="611">
        <v>44363</v>
      </c>
      <c r="C4350" s="362" t="s">
        <v>80</v>
      </c>
      <c r="D4350" s="562">
        <v>394198951</v>
      </c>
      <c r="E4350" s="562"/>
      <c r="F4350" s="562">
        <v>394198800</v>
      </c>
      <c r="G4350" s="562">
        <f t="shared" si="198"/>
        <v>151</v>
      </c>
      <c r="H4350" s="562"/>
      <c r="I4350" s="562"/>
      <c r="J4350" s="562"/>
    </row>
    <row r="4351" spans="1:10" x14ac:dyDescent="0.25">
      <c r="A4351" s="362"/>
      <c r="B4351" s="611">
        <v>44363</v>
      </c>
      <c r="C4351" s="362" t="s">
        <v>83</v>
      </c>
      <c r="D4351" s="562">
        <v>168586725</v>
      </c>
      <c r="E4351" s="562">
        <v>128444315</v>
      </c>
      <c r="F4351" s="562">
        <v>297031100</v>
      </c>
      <c r="G4351" s="562">
        <f t="shared" si="198"/>
        <v>-60</v>
      </c>
      <c r="H4351" s="562"/>
      <c r="I4351" s="562"/>
      <c r="J4351" s="562"/>
    </row>
    <row r="4352" spans="1:10" x14ac:dyDescent="0.25">
      <c r="A4352" s="362"/>
      <c r="B4352" s="611">
        <v>44363</v>
      </c>
      <c r="C4352" s="362" t="s">
        <v>78</v>
      </c>
      <c r="D4352" s="562">
        <v>93042017</v>
      </c>
      <c r="E4352" s="562">
        <v>2022583</v>
      </c>
      <c r="F4352" s="562">
        <v>95064600</v>
      </c>
      <c r="G4352" s="562">
        <f t="shared" si="198"/>
        <v>0</v>
      </c>
      <c r="H4352" s="562"/>
      <c r="I4352" s="562"/>
      <c r="J4352" s="562"/>
    </row>
    <row r="4353" spans="1:10" x14ac:dyDescent="0.25">
      <c r="A4353" s="362"/>
      <c r="B4353" s="611">
        <v>44363</v>
      </c>
      <c r="C4353" s="362" t="s">
        <v>141</v>
      </c>
      <c r="D4353" s="562">
        <v>77328606</v>
      </c>
      <c r="E4353" s="562">
        <v>713167</v>
      </c>
      <c r="F4353" s="562">
        <v>78041800</v>
      </c>
      <c r="G4353" s="562">
        <f t="shared" si="198"/>
        <v>-27</v>
      </c>
      <c r="H4353" s="562"/>
      <c r="I4353" s="562"/>
      <c r="J4353" s="562"/>
    </row>
    <row r="4354" spans="1:10" x14ac:dyDescent="0.25">
      <c r="A4354" s="362"/>
      <c r="B4354" s="611">
        <v>44363</v>
      </c>
      <c r="C4354" s="362" t="s">
        <v>89</v>
      </c>
      <c r="D4354" s="562">
        <v>110463154</v>
      </c>
      <c r="E4354" s="562">
        <v>6640646</v>
      </c>
      <c r="F4354" s="562">
        <v>117103800</v>
      </c>
      <c r="G4354" s="562">
        <f t="shared" si="198"/>
        <v>0</v>
      </c>
      <c r="H4354" s="562"/>
      <c r="I4354" s="562"/>
      <c r="J4354" s="562"/>
    </row>
    <row r="4355" spans="1:10" x14ac:dyDescent="0.25">
      <c r="A4355" s="362"/>
      <c r="B4355" s="611">
        <v>44363</v>
      </c>
      <c r="C4355" s="362" t="s">
        <v>81</v>
      </c>
      <c r="D4355" s="562">
        <v>108542090</v>
      </c>
      <c r="E4355" s="562">
        <v>12181857</v>
      </c>
      <c r="F4355" s="562">
        <v>120724000</v>
      </c>
      <c r="G4355" s="562">
        <f t="shared" si="198"/>
        <v>-53</v>
      </c>
      <c r="H4355" s="562"/>
      <c r="I4355" s="562"/>
      <c r="J4355" s="562"/>
    </row>
    <row r="4356" spans="1:10" x14ac:dyDescent="0.25">
      <c r="A4356" s="362"/>
      <c r="B4356" s="611">
        <v>44363</v>
      </c>
      <c r="C4356" s="362" t="s">
        <v>84</v>
      </c>
      <c r="D4356" s="562">
        <v>239568178</v>
      </c>
      <c r="E4356" s="562">
        <v>9546013</v>
      </c>
      <c r="F4356" s="562">
        <v>249114200</v>
      </c>
      <c r="G4356" s="562">
        <f t="shared" si="198"/>
        <v>-9</v>
      </c>
      <c r="H4356" s="562"/>
      <c r="I4356" s="562"/>
      <c r="J4356" s="562"/>
    </row>
    <row r="4357" spans="1:10" x14ac:dyDescent="0.25">
      <c r="A4357" s="362"/>
      <c r="B4357" s="611">
        <v>44363</v>
      </c>
      <c r="C4357" s="362" t="s">
        <v>4751</v>
      </c>
      <c r="D4357" s="562">
        <v>180855797</v>
      </c>
      <c r="E4357" s="562">
        <v>27923303</v>
      </c>
      <c r="F4357" s="562">
        <v>208779200</v>
      </c>
      <c r="G4357" s="562">
        <f t="shared" si="198"/>
        <v>-100</v>
      </c>
      <c r="H4357" s="562"/>
      <c r="I4357" s="562"/>
      <c r="J4357" s="562"/>
    </row>
    <row r="4358" spans="1:10" x14ac:dyDescent="0.25">
      <c r="A4358" s="362"/>
      <c r="B4358" s="611">
        <v>44363</v>
      </c>
      <c r="C4358" s="362" t="s">
        <v>166</v>
      </c>
      <c r="D4358" s="562">
        <v>42682171</v>
      </c>
      <c r="E4358" s="562"/>
      <c r="F4358" s="562">
        <v>42682300</v>
      </c>
      <c r="G4358" s="562">
        <f t="shared" si="198"/>
        <v>-129</v>
      </c>
      <c r="H4358" s="562"/>
      <c r="I4358" s="562"/>
      <c r="J4358" s="562"/>
    </row>
    <row r="4359" spans="1:10" x14ac:dyDescent="0.25">
      <c r="A4359" s="362"/>
      <c r="B4359" s="611">
        <v>44363</v>
      </c>
      <c r="C4359" s="362" t="s">
        <v>3435</v>
      </c>
      <c r="D4359" s="562">
        <v>51988385</v>
      </c>
      <c r="E4359" s="562"/>
      <c r="F4359" s="562">
        <v>51988400</v>
      </c>
      <c r="G4359" s="562">
        <f t="shared" si="198"/>
        <v>-15</v>
      </c>
      <c r="H4359" s="562"/>
      <c r="I4359" s="562"/>
      <c r="J4359" s="562"/>
    </row>
    <row r="4360" spans="1:10" x14ac:dyDescent="0.25">
      <c r="A4360" s="362"/>
      <c r="B4360" s="611">
        <v>44363</v>
      </c>
      <c r="C4360" s="370" t="s">
        <v>85</v>
      </c>
      <c r="D4360" s="562">
        <v>37192500</v>
      </c>
      <c r="E4360" s="562"/>
      <c r="F4360" s="562">
        <v>37192500</v>
      </c>
      <c r="G4360" s="562">
        <f t="shared" si="198"/>
        <v>0</v>
      </c>
      <c r="H4360" s="562"/>
      <c r="I4360" s="562"/>
      <c r="J4360" s="562"/>
    </row>
    <row r="4361" spans="1:10" x14ac:dyDescent="0.25">
      <c r="A4361" s="532"/>
      <c r="B4361" s="532"/>
      <c r="C4361" s="532"/>
      <c r="D4361" s="564">
        <f>SUM(D4346:D4360)</f>
        <v>1833992166</v>
      </c>
      <c r="E4361" s="564">
        <f t="shared" ref="E4361:G4361" si="202">SUM(E4346:E4360)</f>
        <v>272076210</v>
      </c>
      <c r="F4361" s="564">
        <f t="shared" si="202"/>
        <v>2106068600</v>
      </c>
      <c r="G4361" s="564">
        <f t="shared" si="202"/>
        <v>-224</v>
      </c>
      <c r="H4361" s="564"/>
      <c r="I4361" s="564"/>
      <c r="J4361" s="564"/>
    </row>
    <row r="4362" spans="1:10" x14ac:dyDescent="0.25">
      <c r="A4362" s="362"/>
      <c r="B4362" s="611">
        <v>44364</v>
      </c>
      <c r="C4362" s="362" t="s">
        <v>86</v>
      </c>
      <c r="D4362" s="562">
        <v>93592963</v>
      </c>
      <c r="E4362" s="562">
        <v>142390788</v>
      </c>
      <c r="F4362" s="562">
        <v>235983700</v>
      </c>
      <c r="G4362" s="562">
        <f t="shared" si="198"/>
        <v>51</v>
      </c>
      <c r="H4362" s="562"/>
      <c r="I4362" s="562"/>
      <c r="J4362" s="562"/>
    </row>
    <row r="4363" spans="1:10" x14ac:dyDescent="0.25">
      <c r="A4363" s="362"/>
      <c r="B4363" s="611">
        <v>44364</v>
      </c>
      <c r="C4363" s="362" t="s">
        <v>87</v>
      </c>
      <c r="D4363" s="562">
        <v>55769740</v>
      </c>
      <c r="E4363" s="562">
        <v>35227218</v>
      </c>
      <c r="F4363" s="562">
        <v>90997100</v>
      </c>
      <c r="G4363" s="562">
        <f t="shared" si="198"/>
        <v>-142</v>
      </c>
      <c r="H4363" s="562"/>
      <c r="I4363" s="562"/>
      <c r="J4363" s="562"/>
    </row>
    <row r="4364" spans="1:10" x14ac:dyDescent="0.25">
      <c r="A4364" s="362"/>
      <c r="B4364" s="611">
        <v>44364</v>
      </c>
      <c r="C4364" s="362" t="s">
        <v>88</v>
      </c>
      <c r="D4364" s="562">
        <v>174616906</v>
      </c>
      <c r="E4364" s="562">
        <v>109367319</v>
      </c>
      <c r="F4364" s="562">
        <v>283984300</v>
      </c>
      <c r="G4364" s="562">
        <f t="shared" ref="G4364:G4427" si="203">D4364+E4364-F4364</f>
        <v>-75</v>
      </c>
      <c r="H4364" s="562"/>
      <c r="I4364" s="562"/>
      <c r="J4364" s="562"/>
    </row>
    <row r="4365" spans="1:10" x14ac:dyDescent="0.25">
      <c r="A4365" s="362"/>
      <c r="B4365" s="611">
        <v>44364</v>
      </c>
      <c r="C4365" s="362" t="s">
        <v>82</v>
      </c>
      <c r="D4365" s="562">
        <v>94204796</v>
      </c>
      <c r="E4365" s="562">
        <v>2230300</v>
      </c>
      <c r="F4365" s="562">
        <v>96435100</v>
      </c>
      <c r="G4365" s="562">
        <f t="shared" si="203"/>
        <v>-4</v>
      </c>
      <c r="H4365" s="562"/>
      <c r="I4365" s="562"/>
      <c r="J4365" s="562"/>
    </row>
    <row r="4366" spans="1:10" x14ac:dyDescent="0.25">
      <c r="A4366" s="362"/>
      <c r="B4366" s="611">
        <v>44364</v>
      </c>
      <c r="C4366" s="362" t="s">
        <v>80</v>
      </c>
      <c r="D4366" s="562">
        <v>209750377</v>
      </c>
      <c r="E4366" s="562">
        <v>758330</v>
      </c>
      <c r="F4366" s="562">
        <v>210503300</v>
      </c>
      <c r="G4366" s="562">
        <f t="shared" si="203"/>
        <v>5407</v>
      </c>
      <c r="H4366" s="562"/>
      <c r="I4366" s="562"/>
      <c r="J4366" s="562"/>
    </row>
    <row r="4367" spans="1:10" x14ac:dyDescent="0.25">
      <c r="A4367" s="362"/>
      <c r="B4367" s="611">
        <v>44364</v>
      </c>
      <c r="C4367" s="362" t="s">
        <v>83</v>
      </c>
      <c r="D4367" s="562">
        <v>196627042</v>
      </c>
      <c r="E4367" s="562">
        <v>38022886</v>
      </c>
      <c r="F4367" s="562">
        <v>234650000</v>
      </c>
      <c r="G4367" s="562">
        <f t="shared" si="203"/>
        <v>-72</v>
      </c>
      <c r="H4367" s="562"/>
      <c r="I4367" s="562"/>
      <c r="J4367" s="562"/>
    </row>
    <row r="4368" spans="1:10" x14ac:dyDescent="0.25">
      <c r="A4368" s="362"/>
      <c r="B4368" s="611">
        <v>44364</v>
      </c>
      <c r="C4368" s="362" t="s">
        <v>78</v>
      </c>
      <c r="D4368" s="562">
        <v>198822482</v>
      </c>
      <c r="E4368" s="562">
        <v>3371918</v>
      </c>
      <c r="F4368" s="562">
        <v>202194400</v>
      </c>
      <c r="G4368" s="562">
        <f t="shared" si="203"/>
        <v>0</v>
      </c>
      <c r="H4368" s="562"/>
      <c r="I4368" s="562"/>
      <c r="J4368" s="562"/>
    </row>
    <row r="4369" spans="1:10" x14ac:dyDescent="0.25">
      <c r="A4369" s="362"/>
      <c r="B4369" s="611">
        <v>44364</v>
      </c>
      <c r="C4369" s="362" t="s">
        <v>141</v>
      </c>
      <c r="D4369" s="562">
        <v>86632226</v>
      </c>
      <c r="E4369" s="562">
        <v>884260</v>
      </c>
      <c r="F4369" s="562">
        <v>87516500</v>
      </c>
      <c r="G4369" s="562">
        <f t="shared" si="203"/>
        <v>-14</v>
      </c>
      <c r="H4369" s="562"/>
      <c r="I4369" s="562"/>
      <c r="J4369" s="562"/>
    </row>
    <row r="4370" spans="1:10" x14ac:dyDescent="0.25">
      <c r="A4370" s="362"/>
      <c r="B4370" s="611">
        <v>44364</v>
      </c>
      <c r="C4370" s="362" t="s">
        <v>89</v>
      </c>
      <c r="D4370" s="562">
        <v>134628080</v>
      </c>
      <c r="E4370" s="562">
        <v>70371420</v>
      </c>
      <c r="F4370" s="562">
        <v>204999500</v>
      </c>
      <c r="G4370" s="562">
        <f t="shared" si="203"/>
        <v>0</v>
      </c>
      <c r="H4370" s="562"/>
      <c r="I4370" s="562"/>
      <c r="J4370" s="562"/>
    </row>
    <row r="4371" spans="1:10" x14ac:dyDescent="0.25">
      <c r="A4371" s="362"/>
      <c r="B4371" s="611">
        <v>44364</v>
      </c>
      <c r="C4371" s="362" t="s">
        <v>81</v>
      </c>
      <c r="D4371" s="562">
        <v>47435952</v>
      </c>
      <c r="E4371" s="562">
        <v>8594844</v>
      </c>
      <c r="F4371" s="562">
        <v>56030800</v>
      </c>
      <c r="G4371" s="562">
        <f t="shared" si="203"/>
        <v>-4</v>
      </c>
      <c r="H4371" s="562"/>
      <c r="I4371" s="562"/>
      <c r="J4371" s="562"/>
    </row>
    <row r="4372" spans="1:10" x14ac:dyDescent="0.25">
      <c r="A4372" s="362"/>
      <c r="B4372" s="611">
        <v>44364</v>
      </c>
      <c r="C4372" s="362" t="s">
        <v>84</v>
      </c>
      <c r="D4372" s="562">
        <v>250716769</v>
      </c>
      <c r="E4372" s="562">
        <v>12053531</v>
      </c>
      <c r="F4372" s="562">
        <v>262770300</v>
      </c>
      <c r="G4372" s="562">
        <f t="shared" si="203"/>
        <v>0</v>
      </c>
      <c r="H4372" s="562"/>
      <c r="I4372" s="562"/>
      <c r="J4372" s="562"/>
    </row>
    <row r="4373" spans="1:10" x14ac:dyDescent="0.25">
      <c r="A4373" s="362"/>
      <c r="B4373" s="611">
        <v>44364</v>
      </c>
      <c r="C4373" s="362" t="s">
        <v>4751</v>
      </c>
      <c r="D4373" s="562">
        <v>282745548</v>
      </c>
      <c r="E4373" s="562">
        <v>17763052</v>
      </c>
      <c r="F4373" s="562">
        <v>300508600</v>
      </c>
      <c r="G4373" s="562">
        <f t="shared" si="203"/>
        <v>0</v>
      </c>
      <c r="H4373" s="562"/>
      <c r="I4373" s="562"/>
      <c r="J4373" s="562"/>
    </row>
    <row r="4374" spans="1:10" x14ac:dyDescent="0.25">
      <c r="A4374" s="362"/>
      <c r="B4374" s="611">
        <v>44364</v>
      </c>
      <c r="C4374" s="362" t="s">
        <v>166</v>
      </c>
      <c r="D4374" s="562">
        <v>101360204</v>
      </c>
      <c r="E4374" s="562"/>
      <c r="F4374" s="562">
        <v>101360300</v>
      </c>
      <c r="G4374" s="562">
        <f t="shared" si="203"/>
        <v>-96</v>
      </c>
      <c r="H4374" s="562"/>
      <c r="I4374" s="562"/>
      <c r="J4374" s="562"/>
    </row>
    <row r="4375" spans="1:10" x14ac:dyDescent="0.25">
      <c r="A4375" s="362"/>
      <c r="B4375" s="611">
        <v>44364</v>
      </c>
      <c r="C4375" s="362" t="s">
        <v>3435</v>
      </c>
      <c r="D4375" s="562">
        <v>33996755</v>
      </c>
      <c r="E4375" s="562"/>
      <c r="F4375" s="562">
        <v>33996800</v>
      </c>
      <c r="G4375" s="562">
        <f t="shared" si="203"/>
        <v>-45</v>
      </c>
      <c r="H4375" s="562"/>
      <c r="I4375" s="562"/>
      <c r="J4375" s="562"/>
    </row>
    <row r="4376" spans="1:10" x14ac:dyDescent="0.25">
      <c r="A4376" s="362"/>
      <c r="B4376" s="611">
        <v>44364</v>
      </c>
      <c r="C4376" s="370" t="s">
        <v>85</v>
      </c>
      <c r="D4376" s="562">
        <v>20541100</v>
      </c>
      <c r="E4376" s="562"/>
      <c r="F4376" s="562">
        <v>20541100</v>
      </c>
      <c r="G4376" s="562">
        <f t="shared" si="203"/>
        <v>0</v>
      </c>
      <c r="H4376" s="562"/>
      <c r="I4376" s="562"/>
      <c r="J4376" s="562"/>
    </row>
    <row r="4377" spans="1:10" x14ac:dyDescent="0.25">
      <c r="A4377" s="532"/>
      <c r="B4377" s="532"/>
      <c r="C4377" s="532"/>
      <c r="D4377" s="564">
        <f>SUM(D4362:D4376)</f>
        <v>1981440940</v>
      </c>
      <c r="E4377" s="564">
        <f t="shared" ref="E4377:G4377" si="204">SUM(E4362:E4376)</f>
        <v>441035866</v>
      </c>
      <c r="F4377" s="564">
        <f t="shared" si="204"/>
        <v>2422471800</v>
      </c>
      <c r="G4377" s="564">
        <f t="shared" si="204"/>
        <v>5006</v>
      </c>
      <c r="H4377" s="564"/>
      <c r="I4377" s="564"/>
      <c r="J4377" s="564"/>
    </row>
    <row r="4378" spans="1:10" x14ac:dyDescent="0.25">
      <c r="A4378" s="362"/>
      <c r="B4378" s="611">
        <v>44365</v>
      </c>
      <c r="C4378" s="362" t="s">
        <v>86</v>
      </c>
      <c r="D4378" s="562">
        <v>52895619</v>
      </c>
      <c r="E4378" s="562">
        <v>135864423</v>
      </c>
      <c r="F4378" s="562">
        <v>188761000</v>
      </c>
      <c r="G4378" s="562">
        <f t="shared" si="203"/>
        <v>-958</v>
      </c>
      <c r="H4378" s="562"/>
      <c r="I4378" s="562"/>
      <c r="J4378" s="562"/>
    </row>
    <row r="4379" spans="1:10" x14ac:dyDescent="0.25">
      <c r="A4379" s="362"/>
      <c r="B4379" s="611">
        <v>44365</v>
      </c>
      <c r="C4379" s="362" t="s">
        <v>87</v>
      </c>
      <c r="D4379" s="562">
        <v>104195438</v>
      </c>
      <c r="E4379" s="562">
        <v>164681238</v>
      </c>
      <c r="F4379" s="562">
        <v>268876700</v>
      </c>
      <c r="G4379" s="562">
        <f t="shared" si="203"/>
        <v>-24</v>
      </c>
      <c r="H4379" s="562"/>
      <c r="I4379" s="562"/>
      <c r="J4379" s="562"/>
    </row>
    <row r="4380" spans="1:10" x14ac:dyDescent="0.25">
      <c r="A4380" s="362"/>
      <c r="B4380" s="611">
        <v>44365</v>
      </c>
      <c r="C4380" s="362" t="s">
        <v>88</v>
      </c>
      <c r="D4380" s="562">
        <v>91925505</v>
      </c>
      <c r="E4380" s="562">
        <v>54455085</v>
      </c>
      <c r="F4380" s="562">
        <v>146380700</v>
      </c>
      <c r="G4380" s="562">
        <f t="shared" si="203"/>
        <v>-110</v>
      </c>
      <c r="H4380" s="562"/>
      <c r="I4380" s="562"/>
      <c r="J4380" s="562"/>
    </row>
    <row r="4381" spans="1:10" x14ac:dyDescent="0.25">
      <c r="A4381" s="362"/>
      <c r="B4381" s="611">
        <v>44365</v>
      </c>
      <c r="C4381" s="362" t="s">
        <v>82</v>
      </c>
      <c r="D4381" s="562">
        <v>46303424</v>
      </c>
      <c r="E4381" s="562">
        <v>4097781</v>
      </c>
      <c r="F4381" s="562">
        <v>50401300</v>
      </c>
      <c r="G4381" s="562">
        <f t="shared" si="203"/>
        <v>-95</v>
      </c>
      <c r="H4381" s="562"/>
      <c r="I4381" s="562"/>
      <c r="J4381" s="562"/>
    </row>
    <row r="4382" spans="1:10" x14ac:dyDescent="0.25">
      <c r="A4382" s="362"/>
      <c r="B4382" s="611">
        <v>44365</v>
      </c>
      <c r="C4382" s="362" t="s">
        <v>80</v>
      </c>
      <c r="D4382" s="562">
        <v>171154844</v>
      </c>
      <c r="E4382" s="562">
        <v>21793956</v>
      </c>
      <c r="F4382" s="562">
        <v>192948800</v>
      </c>
      <c r="G4382" s="562">
        <f t="shared" si="203"/>
        <v>0</v>
      </c>
      <c r="H4382" s="562"/>
      <c r="I4382" s="562"/>
      <c r="J4382" s="562"/>
    </row>
    <row r="4383" spans="1:10" x14ac:dyDescent="0.25">
      <c r="A4383" s="362"/>
      <c r="B4383" s="611">
        <v>44365</v>
      </c>
      <c r="C4383" s="362" t="s">
        <v>83</v>
      </c>
      <c r="D4383" s="562">
        <v>151211683</v>
      </c>
      <c r="E4383" s="562">
        <v>49852195</v>
      </c>
      <c r="F4383" s="562">
        <v>201063900</v>
      </c>
      <c r="G4383" s="562">
        <f t="shared" si="203"/>
        <v>-22</v>
      </c>
      <c r="H4383" s="562"/>
      <c r="I4383" s="562"/>
      <c r="J4383" s="562"/>
    </row>
    <row r="4384" spans="1:10" x14ac:dyDescent="0.25">
      <c r="A4384" s="362"/>
      <c r="B4384" s="611">
        <v>44365</v>
      </c>
      <c r="C4384" s="362" t="s">
        <v>78</v>
      </c>
      <c r="D4384" s="562">
        <v>63062959</v>
      </c>
      <c r="E4384" s="562">
        <v>725841</v>
      </c>
      <c r="F4384" s="562">
        <v>63788800</v>
      </c>
      <c r="G4384" s="562">
        <f t="shared" si="203"/>
        <v>0</v>
      </c>
      <c r="H4384" s="562"/>
      <c r="I4384" s="562"/>
      <c r="J4384" s="562"/>
    </row>
    <row r="4385" spans="1:10" x14ac:dyDescent="0.25">
      <c r="A4385" s="362"/>
      <c r="B4385" s="611">
        <v>44365</v>
      </c>
      <c r="C4385" s="362" t="s">
        <v>141</v>
      </c>
      <c r="D4385" s="562">
        <v>61845992</v>
      </c>
      <c r="E4385" s="562">
        <v>868200</v>
      </c>
      <c r="F4385" s="562">
        <v>62714200</v>
      </c>
      <c r="G4385" s="562">
        <f t="shared" si="203"/>
        <v>-8</v>
      </c>
      <c r="H4385" s="562"/>
      <c r="I4385" s="562"/>
      <c r="J4385" s="562"/>
    </row>
    <row r="4386" spans="1:10" x14ac:dyDescent="0.25">
      <c r="A4386" s="362"/>
      <c r="B4386" s="611">
        <v>44365</v>
      </c>
      <c r="C4386" s="362" t="s">
        <v>89</v>
      </c>
      <c r="D4386" s="562">
        <v>127826735</v>
      </c>
      <c r="E4386" s="562">
        <v>20242265</v>
      </c>
      <c r="F4386" s="562">
        <v>148068900</v>
      </c>
      <c r="G4386" s="562">
        <f t="shared" si="203"/>
        <v>100</v>
      </c>
      <c r="H4386" s="562"/>
      <c r="I4386" s="562"/>
      <c r="J4386" s="562"/>
    </row>
    <row r="4387" spans="1:10" x14ac:dyDescent="0.25">
      <c r="A4387" s="362"/>
      <c r="B4387" s="611">
        <v>44365</v>
      </c>
      <c r="C4387" s="362" t="s">
        <v>81</v>
      </c>
      <c r="D4387" s="562">
        <v>31493897</v>
      </c>
      <c r="E4387" s="562">
        <v>16667570</v>
      </c>
      <c r="F4387" s="562">
        <v>48161500</v>
      </c>
      <c r="G4387" s="562">
        <f t="shared" si="203"/>
        <v>-33</v>
      </c>
      <c r="H4387" s="562"/>
      <c r="I4387" s="562"/>
      <c r="J4387" s="562"/>
    </row>
    <row r="4388" spans="1:10" x14ac:dyDescent="0.25">
      <c r="A4388" s="362"/>
      <c r="B4388" s="611">
        <v>44365</v>
      </c>
      <c r="C4388" s="362" t="s">
        <v>84</v>
      </c>
      <c r="D4388" s="562">
        <v>182874458</v>
      </c>
      <c r="E4388" s="562">
        <v>7675909</v>
      </c>
      <c r="F4388" s="562">
        <v>190550900</v>
      </c>
      <c r="G4388" s="562">
        <f t="shared" si="203"/>
        <v>-533</v>
      </c>
      <c r="H4388" s="562"/>
      <c r="I4388" s="562"/>
      <c r="J4388" s="562"/>
    </row>
    <row r="4389" spans="1:10" x14ac:dyDescent="0.25">
      <c r="A4389" s="362"/>
      <c r="B4389" s="611">
        <v>44365</v>
      </c>
      <c r="C4389" s="362" t="s">
        <v>4751</v>
      </c>
      <c r="D4389" s="562">
        <v>167140183</v>
      </c>
      <c r="E4389" s="562">
        <v>8794617</v>
      </c>
      <c r="F4389" s="562">
        <v>175937800</v>
      </c>
      <c r="G4389" s="562">
        <f t="shared" si="203"/>
        <v>-3000</v>
      </c>
      <c r="H4389" s="562"/>
      <c r="I4389" s="562"/>
      <c r="J4389" s="562"/>
    </row>
    <row r="4390" spans="1:10" x14ac:dyDescent="0.25">
      <c r="A4390" s="362"/>
      <c r="B4390" s="611">
        <v>44365</v>
      </c>
      <c r="C4390" s="362" t="s">
        <v>166</v>
      </c>
      <c r="D4390" s="562">
        <v>51362159</v>
      </c>
      <c r="E4390" s="562"/>
      <c r="F4390" s="942">
        <v>51362200</v>
      </c>
      <c r="G4390" s="562">
        <f t="shared" si="203"/>
        <v>-41</v>
      </c>
      <c r="H4390" s="562"/>
      <c r="I4390" s="562"/>
      <c r="J4390" s="562"/>
    </row>
    <row r="4391" spans="1:10" x14ac:dyDescent="0.25">
      <c r="A4391" s="362"/>
      <c r="B4391" s="611">
        <v>44365</v>
      </c>
      <c r="C4391" s="362" t="s">
        <v>3435</v>
      </c>
      <c r="D4391" s="562">
        <v>21678768</v>
      </c>
      <c r="E4391" s="562"/>
      <c r="F4391" s="562">
        <v>21678800</v>
      </c>
      <c r="G4391" s="562">
        <f t="shared" si="203"/>
        <v>-32</v>
      </c>
      <c r="H4391" s="562"/>
      <c r="I4391" s="562"/>
      <c r="J4391" s="562"/>
    </row>
    <row r="4392" spans="1:10" x14ac:dyDescent="0.25">
      <c r="A4392" s="362"/>
      <c r="B4392" s="611">
        <v>44365</v>
      </c>
      <c r="C4392" s="370" t="s">
        <v>85</v>
      </c>
      <c r="D4392" s="562">
        <v>23958400</v>
      </c>
      <c r="E4392" s="562"/>
      <c r="F4392" s="562">
        <v>23958400</v>
      </c>
      <c r="G4392" s="562">
        <f t="shared" si="203"/>
        <v>0</v>
      </c>
      <c r="H4392" s="562"/>
      <c r="I4392" s="562"/>
      <c r="J4392" s="562"/>
    </row>
    <row r="4393" spans="1:10" x14ac:dyDescent="0.25">
      <c r="A4393" s="532"/>
      <c r="B4393" s="532"/>
      <c r="C4393" s="532"/>
      <c r="D4393" s="564">
        <f>SUM(D4378:D4392)</f>
        <v>1348930064</v>
      </c>
      <c r="E4393" s="564">
        <f t="shared" ref="E4393:G4393" si="205">SUM(E4378:E4392)</f>
        <v>485719080</v>
      </c>
      <c r="F4393" s="564">
        <f t="shared" si="205"/>
        <v>1834653900</v>
      </c>
      <c r="G4393" s="564">
        <f t="shared" si="205"/>
        <v>-4756</v>
      </c>
      <c r="H4393" s="564"/>
      <c r="I4393" s="564"/>
      <c r="J4393" s="564"/>
    </row>
    <row r="4394" spans="1:10" x14ac:dyDescent="0.25">
      <c r="A4394" s="362"/>
      <c r="B4394" s="611">
        <v>44366</v>
      </c>
      <c r="C4394" s="362" t="s">
        <v>86</v>
      </c>
      <c r="D4394" s="562">
        <v>39544676</v>
      </c>
      <c r="E4394" s="562">
        <v>115016612</v>
      </c>
      <c r="F4394" s="562">
        <v>154561200</v>
      </c>
      <c r="G4394" s="562">
        <f t="shared" si="203"/>
        <v>88</v>
      </c>
      <c r="H4394" s="562"/>
      <c r="I4394" s="562"/>
      <c r="J4394" s="562"/>
    </row>
    <row r="4395" spans="1:10" x14ac:dyDescent="0.25">
      <c r="A4395" s="362"/>
      <c r="B4395" s="611">
        <v>44366</v>
      </c>
      <c r="C4395" s="362" t="s">
        <v>87</v>
      </c>
      <c r="D4395" s="562">
        <v>29214280</v>
      </c>
      <c r="E4395" s="562">
        <v>10665584</v>
      </c>
      <c r="F4395" s="562">
        <v>39879900</v>
      </c>
      <c r="G4395" s="562">
        <f t="shared" si="203"/>
        <v>-36</v>
      </c>
      <c r="H4395" s="562"/>
      <c r="I4395" s="562"/>
      <c r="J4395" s="562"/>
    </row>
    <row r="4396" spans="1:10" x14ac:dyDescent="0.25">
      <c r="A4396" s="362"/>
      <c r="B4396" s="611">
        <v>44366</v>
      </c>
      <c r="C4396" s="362" t="s">
        <v>88</v>
      </c>
      <c r="D4396" s="562">
        <v>106118975</v>
      </c>
      <c r="E4396" s="562">
        <v>213957588</v>
      </c>
      <c r="F4396" s="562">
        <v>320076600</v>
      </c>
      <c r="G4396" s="562">
        <f t="shared" si="203"/>
        <v>-37</v>
      </c>
      <c r="H4396" s="562"/>
      <c r="I4396" s="562"/>
      <c r="J4396" s="562"/>
    </row>
    <row r="4397" spans="1:10" x14ac:dyDescent="0.25">
      <c r="A4397" s="362"/>
      <c r="B4397" s="611">
        <v>44366</v>
      </c>
      <c r="C4397" s="362" t="s">
        <v>82</v>
      </c>
      <c r="D4397" s="562">
        <v>35337632</v>
      </c>
      <c r="E4397" s="562">
        <v>49641900</v>
      </c>
      <c r="F4397" s="562">
        <v>84980000</v>
      </c>
      <c r="G4397" s="562">
        <f t="shared" si="203"/>
        <v>-468</v>
      </c>
      <c r="H4397" s="562"/>
      <c r="I4397" s="562"/>
      <c r="J4397" s="562"/>
    </row>
    <row r="4398" spans="1:10" x14ac:dyDescent="0.25">
      <c r="A4398" s="362"/>
      <c r="B4398" s="611">
        <v>44366</v>
      </c>
      <c r="C4398" s="362" t="s">
        <v>80</v>
      </c>
      <c r="D4398" s="562">
        <v>130997939</v>
      </c>
      <c r="E4398" s="562">
        <v>11950562</v>
      </c>
      <c r="F4398" s="562">
        <v>142935300</v>
      </c>
      <c r="G4398" s="562">
        <f t="shared" si="203"/>
        <v>13201</v>
      </c>
      <c r="H4398" s="562"/>
      <c r="I4398" s="562"/>
      <c r="J4398" s="562"/>
    </row>
    <row r="4399" spans="1:10" x14ac:dyDescent="0.25">
      <c r="A4399" s="362"/>
      <c r="B4399" s="611">
        <v>44366</v>
      </c>
      <c r="C4399" s="362" t="s">
        <v>83</v>
      </c>
      <c r="D4399" s="562">
        <v>115982081</v>
      </c>
      <c r="E4399" s="562">
        <v>302634237</v>
      </c>
      <c r="F4399" s="562">
        <v>418961700</v>
      </c>
      <c r="G4399" s="562">
        <f t="shared" si="203"/>
        <v>-345382</v>
      </c>
      <c r="H4399" s="562"/>
      <c r="I4399" s="562"/>
      <c r="J4399" s="562"/>
    </row>
    <row r="4400" spans="1:10" x14ac:dyDescent="0.25">
      <c r="A4400" s="362"/>
      <c r="B4400" s="611">
        <v>44366</v>
      </c>
      <c r="C4400" s="362" t="s">
        <v>78</v>
      </c>
      <c r="D4400" s="562">
        <v>98752843</v>
      </c>
      <c r="E4400" s="562">
        <v>4578757</v>
      </c>
      <c r="F4400" s="562">
        <v>103331600</v>
      </c>
      <c r="G4400" s="562">
        <f t="shared" si="203"/>
        <v>0</v>
      </c>
      <c r="H4400" s="562"/>
      <c r="I4400" s="562"/>
      <c r="J4400" s="562"/>
    </row>
    <row r="4401" spans="1:10" x14ac:dyDescent="0.25">
      <c r="A4401" s="362"/>
      <c r="B4401" s="611">
        <v>44366</v>
      </c>
      <c r="C4401" s="362" t="s">
        <v>141</v>
      </c>
      <c r="D4401" s="562">
        <v>29207143</v>
      </c>
      <c r="E4401" s="562">
        <v>3186415</v>
      </c>
      <c r="F4401" s="562">
        <v>32393600</v>
      </c>
      <c r="G4401" s="562">
        <f t="shared" si="203"/>
        <v>-42</v>
      </c>
      <c r="H4401" s="562"/>
      <c r="I4401" s="562"/>
      <c r="J4401" s="562"/>
    </row>
    <row r="4402" spans="1:10" x14ac:dyDescent="0.25">
      <c r="A4402" s="362"/>
      <c r="B4402" s="611">
        <v>44366</v>
      </c>
      <c r="C4402" s="362" t="s">
        <v>89</v>
      </c>
      <c r="D4402" s="562">
        <v>45247424</v>
      </c>
      <c r="E4402" s="562">
        <v>84928464</v>
      </c>
      <c r="F4402" s="562">
        <v>130176000</v>
      </c>
      <c r="G4402" s="562">
        <f t="shared" si="203"/>
        <v>-112</v>
      </c>
      <c r="H4402" s="562"/>
      <c r="I4402" s="562"/>
      <c r="J4402" s="562"/>
    </row>
    <row r="4403" spans="1:10" x14ac:dyDescent="0.25">
      <c r="A4403" s="362"/>
      <c r="B4403" s="611">
        <v>44366</v>
      </c>
      <c r="C4403" s="362" t="s">
        <v>81</v>
      </c>
      <c r="D4403" s="562">
        <v>68187702</v>
      </c>
      <c r="E4403" s="562">
        <v>3870267</v>
      </c>
      <c r="F4403" s="562">
        <f>14934000+57124000</f>
        <v>72058000</v>
      </c>
      <c r="G4403" s="562">
        <f t="shared" si="203"/>
        <v>-31</v>
      </c>
      <c r="H4403" s="562"/>
      <c r="I4403" s="562"/>
      <c r="J4403" s="562"/>
    </row>
    <row r="4404" spans="1:10" x14ac:dyDescent="0.25">
      <c r="A4404" s="362"/>
      <c r="B4404" s="611">
        <v>44366</v>
      </c>
      <c r="C4404" s="362" t="s">
        <v>84</v>
      </c>
      <c r="D4404" s="562">
        <v>172181352</v>
      </c>
      <c r="E4404" s="562">
        <v>60485417</v>
      </c>
      <c r="F4404" s="562">
        <v>232667000</v>
      </c>
      <c r="G4404" s="562">
        <f t="shared" si="203"/>
        <v>-231</v>
      </c>
      <c r="H4404" s="562"/>
      <c r="I4404" s="562"/>
      <c r="J4404" s="562"/>
    </row>
    <row r="4405" spans="1:10" x14ac:dyDescent="0.25">
      <c r="A4405" s="362"/>
      <c r="B4405" s="611">
        <v>44366</v>
      </c>
      <c r="C4405" s="362" t="s">
        <v>4751</v>
      </c>
      <c r="D4405" s="562">
        <v>149050616</v>
      </c>
      <c r="E4405" s="562">
        <v>10634984</v>
      </c>
      <c r="F4405" s="562">
        <v>159685600</v>
      </c>
      <c r="G4405" s="562">
        <f t="shared" si="203"/>
        <v>0</v>
      </c>
      <c r="H4405" s="562"/>
      <c r="I4405" s="562"/>
      <c r="J4405" s="562"/>
    </row>
    <row r="4406" spans="1:10" x14ac:dyDescent="0.25">
      <c r="A4406" s="362"/>
      <c r="B4406" s="611">
        <v>44366</v>
      </c>
      <c r="C4406" s="362" t="s">
        <v>166</v>
      </c>
      <c r="D4406" s="562"/>
      <c r="E4406" s="562"/>
      <c r="F4406" s="562"/>
      <c r="G4406" s="562">
        <f t="shared" si="203"/>
        <v>0</v>
      </c>
      <c r="H4406" s="562"/>
      <c r="I4406" s="562"/>
      <c r="J4406" s="562"/>
    </row>
    <row r="4407" spans="1:10" x14ac:dyDescent="0.25">
      <c r="A4407" s="362"/>
      <c r="B4407" s="611">
        <v>44366</v>
      </c>
      <c r="C4407" s="362" t="s">
        <v>3435</v>
      </c>
      <c r="D4407" s="562"/>
      <c r="E4407" s="562"/>
      <c r="F4407" s="562"/>
      <c r="G4407" s="562">
        <f t="shared" si="203"/>
        <v>0</v>
      </c>
      <c r="H4407" s="562"/>
      <c r="I4407" s="562"/>
      <c r="J4407" s="562"/>
    </row>
    <row r="4408" spans="1:10" x14ac:dyDescent="0.25">
      <c r="A4408" s="362"/>
      <c r="B4408" s="611">
        <v>44366</v>
      </c>
      <c r="C4408" s="370" t="s">
        <v>85</v>
      </c>
      <c r="D4408" s="562">
        <v>7823800</v>
      </c>
      <c r="E4408" s="562"/>
      <c r="F4408" s="562">
        <v>7823800</v>
      </c>
      <c r="G4408" s="562">
        <f t="shared" si="203"/>
        <v>0</v>
      </c>
      <c r="H4408" s="562"/>
      <c r="I4408" s="562"/>
      <c r="J4408" s="562"/>
    </row>
    <row r="4409" spans="1:10" x14ac:dyDescent="0.25">
      <c r="A4409" s="532"/>
      <c r="B4409" s="532"/>
      <c r="C4409" s="532"/>
      <c r="D4409" s="564">
        <f>SUM(D4394:D4408)</f>
        <v>1027646463</v>
      </c>
      <c r="E4409" s="564">
        <f t="shared" ref="E4409:G4409" si="206">SUM(E4394:E4408)</f>
        <v>871550787</v>
      </c>
      <c r="F4409" s="564">
        <f t="shared" si="206"/>
        <v>1899530300</v>
      </c>
      <c r="G4409" s="564">
        <f t="shared" si="206"/>
        <v>-333050</v>
      </c>
      <c r="H4409" s="564"/>
      <c r="I4409" s="564"/>
      <c r="J4409" s="564"/>
    </row>
    <row r="4410" spans="1:10" x14ac:dyDescent="0.25">
      <c r="A4410" s="362"/>
      <c r="B4410" s="611">
        <v>44368</v>
      </c>
      <c r="C4410" s="362" t="s">
        <v>86</v>
      </c>
      <c r="D4410" s="562">
        <v>52588734</v>
      </c>
      <c r="E4410" s="562">
        <v>34351801</v>
      </c>
      <c r="F4410" s="562">
        <v>86940600</v>
      </c>
      <c r="G4410" s="562">
        <f t="shared" si="203"/>
        <v>-65</v>
      </c>
      <c r="H4410" s="562"/>
      <c r="I4410" s="562"/>
      <c r="J4410" s="562"/>
    </row>
    <row r="4411" spans="1:10" x14ac:dyDescent="0.25">
      <c r="A4411" s="362"/>
      <c r="B4411" s="611">
        <v>44368</v>
      </c>
      <c r="C4411" s="362" t="s">
        <v>87</v>
      </c>
      <c r="D4411" s="562">
        <v>138997420</v>
      </c>
      <c r="E4411" s="562">
        <v>116498226</v>
      </c>
      <c r="F4411" s="562">
        <v>255495700</v>
      </c>
      <c r="G4411" s="562">
        <f t="shared" si="203"/>
        <v>-54</v>
      </c>
      <c r="H4411" s="562"/>
      <c r="I4411" s="562"/>
      <c r="J4411" s="562"/>
    </row>
    <row r="4412" spans="1:10" x14ac:dyDescent="0.25">
      <c r="A4412" s="362"/>
      <c r="B4412" s="611">
        <v>44368</v>
      </c>
      <c r="C4412" s="362" t="s">
        <v>88</v>
      </c>
      <c r="D4412" s="562">
        <v>212423797</v>
      </c>
      <c r="E4412" s="562">
        <v>12990331</v>
      </c>
      <c r="F4412" s="562">
        <v>225414200</v>
      </c>
      <c r="G4412" s="562">
        <f t="shared" si="203"/>
        <v>-72</v>
      </c>
      <c r="H4412" s="562"/>
      <c r="I4412" s="562"/>
      <c r="J4412" s="562"/>
    </row>
    <row r="4413" spans="1:10" x14ac:dyDescent="0.25">
      <c r="A4413" s="362"/>
      <c r="B4413" s="611">
        <v>44368</v>
      </c>
      <c r="C4413" s="362" t="s">
        <v>82</v>
      </c>
      <c r="D4413" s="562">
        <v>38116043</v>
      </c>
      <c r="E4413" s="562">
        <v>3927157</v>
      </c>
      <c r="F4413" s="562">
        <v>42043200</v>
      </c>
      <c r="G4413" s="562">
        <f t="shared" si="203"/>
        <v>0</v>
      </c>
      <c r="H4413" s="562"/>
      <c r="I4413" s="562"/>
      <c r="J4413" s="562"/>
    </row>
    <row r="4414" spans="1:10" x14ac:dyDescent="0.25">
      <c r="A4414" s="362"/>
      <c r="B4414" s="611">
        <v>44368</v>
      </c>
      <c r="C4414" s="362" t="s">
        <v>80</v>
      </c>
      <c r="D4414" s="562">
        <v>252701696</v>
      </c>
      <c r="E4414" s="562">
        <v>18731731</v>
      </c>
      <c r="F4414" s="562">
        <v>271439100</v>
      </c>
      <c r="G4414" s="562">
        <f t="shared" si="203"/>
        <v>-5673</v>
      </c>
      <c r="H4414" s="562"/>
      <c r="I4414" s="562"/>
      <c r="J4414" s="562"/>
    </row>
    <row r="4415" spans="1:10" x14ac:dyDescent="0.25">
      <c r="A4415" s="362"/>
      <c r="B4415" s="611">
        <v>44368</v>
      </c>
      <c r="C4415" s="362" t="s">
        <v>83</v>
      </c>
      <c r="D4415" s="562">
        <v>278117437</v>
      </c>
      <c r="E4415" s="562">
        <v>231479032</v>
      </c>
      <c r="F4415" s="562">
        <v>512962200</v>
      </c>
      <c r="G4415" s="562">
        <f t="shared" si="203"/>
        <v>-3365731</v>
      </c>
      <c r="H4415" s="562"/>
      <c r="I4415" s="562"/>
      <c r="J4415" s="562"/>
    </row>
    <row r="4416" spans="1:10" x14ac:dyDescent="0.25">
      <c r="A4416" s="362"/>
      <c r="B4416" s="611">
        <v>44368</v>
      </c>
      <c r="C4416" s="362" t="s">
        <v>78</v>
      </c>
      <c r="D4416" s="562">
        <v>150685783</v>
      </c>
      <c r="E4416" s="562">
        <v>1236317</v>
      </c>
      <c r="F4416" s="562">
        <v>151922100</v>
      </c>
      <c r="G4416" s="562">
        <f t="shared" si="203"/>
        <v>0</v>
      </c>
      <c r="H4416" s="562"/>
      <c r="I4416" s="562"/>
      <c r="J4416" s="562"/>
    </row>
    <row r="4417" spans="1:10" x14ac:dyDescent="0.25">
      <c r="A4417" s="362"/>
      <c r="B4417" s="611">
        <v>44368</v>
      </c>
      <c r="C4417" s="362" t="s">
        <v>141</v>
      </c>
      <c r="D4417" s="562">
        <v>118002628</v>
      </c>
      <c r="E4417" s="562">
        <v>2369827</v>
      </c>
      <c r="F4417" s="562">
        <v>120372500</v>
      </c>
      <c r="G4417" s="562">
        <f t="shared" si="203"/>
        <v>-45</v>
      </c>
      <c r="H4417" s="562"/>
      <c r="I4417" s="562"/>
      <c r="J4417" s="562"/>
    </row>
    <row r="4418" spans="1:10" x14ac:dyDescent="0.25">
      <c r="A4418" s="362"/>
      <c r="B4418" s="611">
        <v>44368</v>
      </c>
      <c r="C4418" s="362" t="s">
        <v>89</v>
      </c>
      <c r="D4418" s="562">
        <v>128710837</v>
      </c>
      <c r="E4418" s="562">
        <v>13371063</v>
      </c>
      <c r="F4418" s="562">
        <v>142081800</v>
      </c>
      <c r="G4418" s="562">
        <f t="shared" si="203"/>
        <v>100</v>
      </c>
      <c r="H4418" s="562"/>
      <c r="I4418" s="562"/>
      <c r="J4418" s="562"/>
    </row>
    <row r="4419" spans="1:10" x14ac:dyDescent="0.25">
      <c r="A4419" s="362"/>
      <c r="B4419" s="611">
        <v>44368</v>
      </c>
      <c r="C4419" s="362" t="s">
        <v>81</v>
      </c>
      <c r="D4419" s="562">
        <v>51730556</v>
      </c>
      <c r="E4419" s="562">
        <v>12215785</v>
      </c>
      <c r="F4419" s="562">
        <v>63948900</v>
      </c>
      <c r="G4419" s="562">
        <f t="shared" si="203"/>
        <v>-2559</v>
      </c>
      <c r="H4419" s="562"/>
      <c r="I4419" s="562"/>
      <c r="J4419" s="562"/>
    </row>
    <row r="4420" spans="1:10" x14ac:dyDescent="0.25">
      <c r="A4420" s="362"/>
      <c r="B4420" s="611">
        <v>44368</v>
      </c>
      <c r="C4420" s="362" t="s">
        <v>84</v>
      </c>
      <c r="D4420" s="562">
        <v>165516585</v>
      </c>
      <c r="E4420" s="562">
        <v>6041120</v>
      </c>
      <c r="F4420" s="562">
        <v>171557800</v>
      </c>
      <c r="G4420" s="562">
        <f t="shared" si="203"/>
        <v>-95</v>
      </c>
      <c r="H4420" s="562"/>
      <c r="I4420" s="562"/>
      <c r="J4420" s="562"/>
    </row>
    <row r="4421" spans="1:10" x14ac:dyDescent="0.25">
      <c r="A4421" s="362"/>
      <c r="B4421" s="611">
        <v>44368</v>
      </c>
      <c r="C4421" s="362" t="s">
        <v>4751</v>
      </c>
      <c r="D4421" s="562">
        <v>186705981</v>
      </c>
      <c r="E4421" s="562">
        <v>13141719</v>
      </c>
      <c r="F4421" s="562">
        <v>199847700</v>
      </c>
      <c r="G4421" s="562">
        <f t="shared" si="203"/>
        <v>0</v>
      </c>
      <c r="H4421" s="562"/>
      <c r="I4421" s="562"/>
      <c r="J4421" s="562"/>
    </row>
    <row r="4422" spans="1:10" x14ac:dyDescent="0.25">
      <c r="A4422" s="362"/>
      <c r="B4422" s="611">
        <v>44368</v>
      </c>
      <c r="C4422" s="362" t="s">
        <v>166</v>
      </c>
      <c r="D4422" s="562">
        <v>62689663</v>
      </c>
      <c r="E4422" s="562"/>
      <c r="F4422" s="562">
        <v>62689700</v>
      </c>
      <c r="G4422" s="562">
        <f t="shared" si="203"/>
        <v>-37</v>
      </c>
      <c r="H4422" s="562"/>
      <c r="I4422" s="562"/>
      <c r="J4422" s="562"/>
    </row>
    <row r="4423" spans="1:10" x14ac:dyDescent="0.25">
      <c r="A4423" s="362"/>
      <c r="B4423" s="611">
        <v>44368</v>
      </c>
      <c r="C4423" s="362" t="s">
        <v>3435</v>
      </c>
      <c r="D4423" s="562"/>
      <c r="E4423" s="562"/>
      <c r="F4423" s="562"/>
      <c r="G4423" s="562">
        <f t="shared" si="203"/>
        <v>0</v>
      </c>
      <c r="H4423" s="562"/>
      <c r="I4423" s="562"/>
      <c r="J4423" s="562"/>
    </row>
    <row r="4424" spans="1:10" x14ac:dyDescent="0.25">
      <c r="A4424" s="362"/>
      <c r="B4424" s="611">
        <v>44368</v>
      </c>
      <c r="C4424" s="370" t="s">
        <v>85</v>
      </c>
      <c r="D4424" s="562">
        <v>29539400</v>
      </c>
      <c r="E4424" s="562"/>
      <c r="F4424" s="562">
        <v>29539400</v>
      </c>
      <c r="G4424" s="562">
        <f t="shared" si="203"/>
        <v>0</v>
      </c>
      <c r="H4424" s="562"/>
      <c r="I4424" s="562"/>
      <c r="J4424" s="562"/>
    </row>
    <row r="4425" spans="1:10" x14ac:dyDescent="0.25">
      <c r="A4425" s="532"/>
      <c r="B4425" s="532"/>
      <c r="C4425" s="532"/>
      <c r="D4425" s="564">
        <f>SUM(D4410:D4424)</f>
        <v>1866526560</v>
      </c>
      <c r="E4425" s="564">
        <f t="shared" ref="E4425:G4425" si="207">SUM(E4410:E4424)</f>
        <v>466354109</v>
      </c>
      <c r="F4425" s="564">
        <f t="shared" si="207"/>
        <v>2336254900</v>
      </c>
      <c r="G4425" s="564">
        <f t="shared" si="207"/>
        <v>-3374231</v>
      </c>
      <c r="H4425" s="564"/>
      <c r="I4425" s="564"/>
      <c r="J4425" s="564"/>
    </row>
    <row r="4426" spans="1:10" x14ac:dyDescent="0.25">
      <c r="A4426" s="362"/>
      <c r="B4426" s="611">
        <v>44369</v>
      </c>
      <c r="C4426" s="362" t="s">
        <v>86</v>
      </c>
      <c r="D4426" s="562">
        <v>37647568</v>
      </c>
      <c r="E4426" s="562">
        <v>100549652</v>
      </c>
      <c r="F4426" s="562">
        <v>138197000</v>
      </c>
      <c r="G4426" s="562">
        <f t="shared" si="203"/>
        <v>220</v>
      </c>
      <c r="H4426" s="562"/>
      <c r="I4426" s="562"/>
      <c r="J4426" s="562"/>
    </row>
    <row r="4427" spans="1:10" x14ac:dyDescent="0.25">
      <c r="A4427" s="362"/>
      <c r="B4427" s="611">
        <v>44369</v>
      </c>
      <c r="C4427" s="362" t="s">
        <v>87</v>
      </c>
      <c r="D4427" s="562">
        <v>279140118</v>
      </c>
      <c r="E4427" s="562">
        <v>45094514</v>
      </c>
      <c r="F4427" s="562">
        <v>324234700</v>
      </c>
      <c r="G4427" s="562">
        <f t="shared" si="203"/>
        <v>-68</v>
      </c>
      <c r="H4427" s="562"/>
      <c r="I4427" s="562"/>
      <c r="J4427" s="562"/>
    </row>
    <row r="4428" spans="1:10" x14ac:dyDescent="0.25">
      <c r="A4428" s="362"/>
      <c r="B4428" s="611">
        <v>44369</v>
      </c>
      <c r="C4428" s="362" t="s">
        <v>88</v>
      </c>
      <c r="D4428" s="562">
        <v>209095956</v>
      </c>
      <c r="E4428" s="562">
        <v>38869318</v>
      </c>
      <c r="F4428" s="562">
        <v>247965300</v>
      </c>
      <c r="G4428" s="562">
        <f t="shared" ref="G4428:G4491" si="208">D4428+E4428-F4428</f>
        <v>-26</v>
      </c>
      <c r="H4428" s="562"/>
      <c r="I4428" s="562"/>
      <c r="J4428" s="562"/>
    </row>
    <row r="4429" spans="1:10" x14ac:dyDescent="0.25">
      <c r="A4429" s="362"/>
      <c r="B4429" s="611">
        <v>44369</v>
      </c>
      <c r="C4429" s="362" t="s">
        <v>82</v>
      </c>
      <c r="D4429" s="562">
        <v>41363955</v>
      </c>
      <c r="E4429" s="562">
        <v>3154397</v>
      </c>
      <c r="F4429" s="562">
        <v>44518400</v>
      </c>
      <c r="G4429" s="562">
        <f t="shared" si="208"/>
        <v>-48</v>
      </c>
      <c r="H4429" s="562"/>
      <c r="I4429" s="562"/>
      <c r="J4429" s="562"/>
    </row>
    <row r="4430" spans="1:10" x14ac:dyDescent="0.25">
      <c r="A4430" s="362"/>
      <c r="B4430" s="611">
        <v>44369</v>
      </c>
      <c r="C4430" s="362" t="s">
        <v>80</v>
      </c>
      <c r="D4430" s="562">
        <v>231238235</v>
      </c>
      <c r="E4430" s="562"/>
      <c r="F4430" s="562">
        <v>231268200</v>
      </c>
      <c r="G4430" s="562">
        <f t="shared" si="208"/>
        <v>-29965</v>
      </c>
      <c r="H4430" s="562"/>
      <c r="I4430" s="562"/>
      <c r="J4430" s="562"/>
    </row>
    <row r="4431" spans="1:10" x14ac:dyDescent="0.25">
      <c r="A4431" s="362"/>
      <c r="B4431" s="611">
        <v>44369</v>
      </c>
      <c r="C4431" s="362" t="s">
        <v>83</v>
      </c>
      <c r="D4431" s="562">
        <v>238260762</v>
      </c>
      <c r="E4431" s="562">
        <v>109094648</v>
      </c>
      <c r="F4431" s="562">
        <v>347355500</v>
      </c>
      <c r="G4431" s="562">
        <f t="shared" si="208"/>
        <v>-90</v>
      </c>
      <c r="H4431" s="562"/>
      <c r="I4431" s="562"/>
      <c r="J4431" s="562"/>
    </row>
    <row r="4432" spans="1:10" x14ac:dyDescent="0.25">
      <c r="A4432" s="362"/>
      <c r="B4432" s="611">
        <v>44369</v>
      </c>
      <c r="C4432" s="362" t="s">
        <v>78</v>
      </c>
      <c r="D4432" s="562">
        <v>93691321</v>
      </c>
      <c r="E4432" s="562">
        <v>3264179</v>
      </c>
      <c r="F4432" s="562">
        <v>96955500</v>
      </c>
      <c r="G4432" s="562">
        <f t="shared" si="208"/>
        <v>0</v>
      </c>
      <c r="H4432" s="562"/>
      <c r="I4432" s="562"/>
      <c r="J4432" s="562"/>
    </row>
    <row r="4433" spans="1:10" x14ac:dyDescent="0.25">
      <c r="A4433" s="362"/>
      <c r="B4433" s="611">
        <v>44369</v>
      </c>
      <c r="C4433" s="362" t="s">
        <v>141</v>
      </c>
      <c r="D4433" s="562">
        <v>66855120</v>
      </c>
      <c r="E4433" s="562">
        <v>1270326</v>
      </c>
      <c r="F4433" s="562">
        <v>68125500</v>
      </c>
      <c r="G4433" s="562">
        <f t="shared" si="208"/>
        <v>-54</v>
      </c>
      <c r="H4433" s="562"/>
      <c r="I4433" s="562"/>
      <c r="J4433" s="562"/>
    </row>
    <row r="4434" spans="1:10" x14ac:dyDescent="0.25">
      <c r="A4434" s="362"/>
      <c r="B4434" s="611">
        <v>44369</v>
      </c>
      <c r="C4434" s="362" t="s">
        <v>89</v>
      </c>
      <c r="D4434" s="562">
        <v>103188544</v>
      </c>
      <c r="E4434" s="562">
        <v>20645156</v>
      </c>
      <c r="F4434" s="562">
        <v>123833700</v>
      </c>
      <c r="G4434" s="562">
        <f t="shared" si="208"/>
        <v>0</v>
      </c>
      <c r="H4434" s="562"/>
      <c r="I4434" s="562"/>
      <c r="J4434" s="562"/>
    </row>
    <row r="4435" spans="1:10" x14ac:dyDescent="0.25">
      <c r="A4435" s="362"/>
      <c r="B4435" s="611">
        <v>44369</v>
      </c>
      <c r="C4435" s="362" t="s">
        <v>81</v>
      </c>
      <c r="D4435" s="562">
        <v>91175106</v>
      </c>
      <c r="E4435" s="562">
        <v>5400603</v>
      </c>
      <c r="F4435" s="562">
        <v>96575700</v>
      </c>
      <c r="G4435" s="562">
        <f t="shared" si="208"/>
        <v>9</v>
      </c>
      <c r="H4435" s="562"/>
      <c r="I4435" s="562"/>
      <c r="J4435" s="562"/>
    </row>
    <row r="4436" spans="1:10" x14ac:dyDescent="0.25">
      <c r="A4436" s="362"/>
      <c r="B4436" s="611">
        <v>44369</v>
      </c>
      <c r="C4436" s="362" t="s">
        <v>84</v>
      </c>
      <c r="D4436" s="562">
        <v>174946697</v>
      </c>
      <c r="E4436" s="562">
        <v>15236369</v>
      </c>
      <c r="F4436" s="562">
        <v>190183100</v>
      </c>
      <c r="G4436" s="562">
        <f t="shared" si="208"/>
        <v>-34</v>
      </c>
      <c r="H4436" s="562"/>
      <c r="I4436" s="562"/>
      <c r="J4436" s="562"/>
    </row>
    <row r="4437" spans="1:10" x14ac:dyDescent="0.25">
      <c r="A4437" s="362"/>
      <c r="B4437" s="611">
        <v>44369</v>
      </c>
      <c r="C4437" s="362" t="s">
        <v>4751</v>
      </c>
      <c r="D4437" s="562">
        <v>201491987</v>
      </c>
      <c r="E4437" s="562">
        <v>12366013</v>
      </c>
      <c r="F4437" s="562">
        <v>213858000</v>
      </c>
      <c r="G4437" s="562">
        <f t="shared" si="208"/>
        <v>0</v>
      </c>
      <c r="H4437" s="562"/>
      <c r="I4437" s="562"/>
      <c r="J4437" s="562"/>
    </row>
    <row r="4438" spans="1:10" x14ac:dyDescent="0.25">
      <c r="A4438" s="362"/>
      <c r="B4438" s="611">
        <v>44369</v>
      </c>
      <c r="C4438" s="362" t="s">
        <v>166</v>
      </c>
      <c r="D4438" s="562">
        <v>197775790</v>
      </c>
      <c r="E4438" s="562"/>
      <c r="F4438" s="562">
        <v>197775800</v>
      </c>
      <c r="G4438" s="562">
        <f t="shared" si="208"/>
        <v>-10</v>
      </c>
      <c r="H4438" s="562"/>
      <c r="I4438" s="562"/>
      <c r="J4438" s="562"/>
    </row>
    <row r="4439" spans="1:10" x14ac:dyDescent="0.25">
      <c r="A4439" s="362"/>
      <c r="B4439" s="611">
        <v>44369</v>
      </c>
      <c r="C4439" s="362" t="s">
        <v>3435</v>
      </c>
      <c r="D4439" s="562"/>
      <c r="E4439" s="562"/>
      <c r="F4439" s="562"/>
      <c r="G4439" s="562">
        <f t="shared" si="208"/>
        <v>0</v>
      </c>
      <c r="H4439" s="562"/>
      <c r="I4439" s="562"/>
      <c r="J4439" s="562"/>
    </row>
    <row r="4440" spans="1:10" x14ac:dyDescent="0.25">
      <c r="A4440" s="362"/>
      <c r="B4440" s="611">
        <v>44369</v>
      </c>
      <c r="C4440" s="370" t="s">
        <v>85</v>
      </c>
      <c r="D4440" s="562">
        <v>37130300</v>
      </c>
      <c r="E4440" s="562"/>
      <c r="F4440" s="562">
        <v>37130300</v>
      </c>
      <c r="G4440" s="562">
        <f t="shared" si="208"/>
        <v>0</v>
      </c>
      <c r="H4440" s="562"/>
      <c r="I4440" s="562"/>
      <c r="J4440" s="562"/>
    </row>
    <row r="4441" spans="1:10" x14ac:dyDescent="0.25">
      <c r="A4441" s="532"/>
      <c r="B4441" s="532"/>
      <c r="C4441" s="532"/>
      <c r="D4441" s="564">
        <f>SUM(D4426:D4440)</f>
        <v>2003001459</v>
      </c>
      <c r="E4441" s="564">
        <f t="shared" ref="E4441:H4441" si="209">SUM(E4426:E4440)</f>
        <v>354945175</v>
      </c>
      <c r="F4441" s="564">
        <f t="shared" si="209"/>
        <v>2357976700</v>
      </c>
      <c r="G4441" s="564">
        <f t="shared" si="209"/>
        <v>-30066</v>
      </c>
      <c r="H4441" s="564">
        <f t="shared" si="209"/>
        <v>0</v>
      </c>
      <c r="I4441" s="564"/>
      <c r="J4441" s="564"/>
    </row>
    <row r="4442" spans="1:10" x14ac:dyDescent="0.25">
      <c r="A4442" s="362"/>
      <c r="B4442" s="611">
        <v>44370</v>
      </c>
      <c r="C4442" s="362" t="s">
        <v>86</v>
      </c>
      <c r="D4442" s="562">
        <v>60675545</v>
      </c>
      <c r="E4442" s="562">
        <v>26179022</v>
      </c>
      <c r="F4442" s="562">
        <v>88854600</v>
      </c>
      <c r="G4442" s="562">
        <f t="shared" si="208"/>
        <v>-2000033</v>
      </c>
      <c r="H4442" s="562"/>
      <c r="I4442" s="562"/>
      <c r="J4442" s="562"/>
    </row>
    <row r="4443" spans="1:10" x14ac:dyDescent="0.25">
      <c r="A4443" s="362"/>
      <c r="B4443" s="611">
        <v>44370</v>
      </c>
      <c r="C4443" s="362" t="s">
        <v>87</v>
      </c>
      <c r="D4443" s="562">
        <v>127402549</v>
      </c>
      <c r="E4443" s="562">
        <v>6531436</v>
      </c>
      <c r="F4443" s="562">
        <v>133934000</v>
      </c>
      <c r="G4443" s="562">
        <f t="shared" si="208"/>
        <v>-15</v>
      </c>
      <c r="H4443" s="562"/>
      <c r="I4443" s="562"/>
      <c r="J4443" s="562"/>
    </row>
    <row r="4444" spans="1:10" x14ac:dyDescent="0.25">
      <c r="A4444" s="362"/>
      <c r="B4444" s="611">
        <v>44370</v>
      </c>
      <c r="C4444" s="362" t="s">
        <v>88</v>
      </c>
      <c r="D4444" s="562">
        <v>272295550</v>
      </c>
      <c r="E4444" s="562">
        <v>16591742</v>
      </c>
      <c r="F4444" s="562">
        <v>288887300</v>
      </c>
      <c r="G4444" s="562">
        <f t="shared" si="208"/>
        <v>-8</v>
      </c>
      <c r="H4444" s="562"/>
      <c r="I4444" s="562"/>
      <c r="J4444" s="562"/>
    </row>
    <row r="4445" spans="1:10" x14ac:dyDescent="0.25">
      <c r="A4445" s="362"/>
      <c r="B4445" s="611">
        <v>44370</v>
      </c>
      <c r="C4445" s="362" t="s">
        <v>82</v>
      </c>
      <c r="D4445" s="562">
        <v>90136530</v>
      </c>
      <c r="E4445" s="562">
        <v>678000</v>
      </c>
      <c r="F4445" s="562">
        <v>90814600</v>
      </c>
      <c r="G4445" s="562">
        <f t="shared" si="208"/>
        <v>-70</v>
      </c>
      <c r="H4445" s="562"/>
      <c r="I4445" s="562"/>
      <c r="J4445" s="562"/>
    </row>
    <row r="4446" spans="1:10" x14ac:dyDescent="0.25">
      <c r="A4446" s="362"/>
      <c r="B4446" s="611">
        <v>44370</v>
      </c>
      <c r="C4446" s="362" t="s">
        <v>80</v>
      </c>
      <c r="D4446" s="562">
        <v>272638943</v>
      </c>
      <c r="E4446" s="562">
        <v>14732696</v>
      </c>
      <c r="F4446" s="562">
        <v>287371600</v>
      </c>
      <c r="G4446" s="562">
        <f t="shared" si="208"/>
        <v>39</v>
      </c>
      <c r="H4446" s="362"/>
      <c r="I4446" s="362"/>
      <c r="J4446" s="362"/>
    </row>
    <row r="4447" spans="1:10" x14ac:dyDescent="0.25">
      <c r="A4447" s="362"/>
      <c r="B4447" s="611">
        <v>44370</v>
      </c>
      <c r="C4447" s="362" t="s">
        <v>83</v>
      </c>
      <c r="D4447" s="562">
        <v>292159108</v>
      </c>
      <c r="E4447" s="562">
        <v>164355792</v>
      </c>
      <c r="F4447" s="562">
        <v>456514900</v>
      </c>
      <c r="G4447" s="562">
        <f t="shared" si="208"/>
        <v>0</v>
      </c>
      <c r="H4447" s="362"/>
      <c r="I4447" s="362"/>
      <c r="J4447" s="362"/>
    </row>
    <row r="4448" spans="1:10" x14ac:dyDescent="0.25">
      <c r="A4448" s="362"/>
      <c r="B4448" s="611">
        <v>44370</v>
      </c>
      <c r="C4448" s="362" t="s">
        <v>78</v>
      </c>
      <c r="D4448" s="562">
        <v>90619949</v>
      </c>
      <c r="E4448" s="562">
        <v>180551</v>
      </c>
      <c r="F4448" s="562">
        <v>90800500</v>
      </c>
      <c r="G4448" s="562">
        <f t="shared" si="208"/>
        <v>0</v>
      </c>
      <c r="H4448" s="362"/>
      <c r="I4448" s="362"/>
      <c r="J4448" s="362"/>
    </row>
    <row r="4449" spans="1:10" x14ac:dyDescent="0.25">
      <c r="A4449" s="362"/>
      <c r="B4449" s="611">
        <v>44370</v>
      </c>
      <c r="C4449" s="362" t="s">
        <v>141</v>
      </c>
      <c r="D4449" s="562">
        <v>158032237</v>
      </c>
      <c r="E4449" s="562">
        <v>1976621</v>
      </c>
      <c r="F4449" s="562">
        <v>160008700</v>
      </c>
      <c r="G4449" s="562">
        <f t="shared" si="208"/>
        <v>158</v>
      </c>
      <c r="H4449" s="362"/>
      <c r="I4449" s="362"/>
      <c r="J4449" s="362"/>
    </row>
    <row r="4450" spans="1:10" x14ac:dyDescent="0.25">
      <c r="A4450" s="362"/>
      <c r="B4450" s="611">
        <v>44370</v>
      </c>
      <c r="C4450" s="362" t="s">
        <v>89</v>
      </c>
      <c r="D4450" s="562">
        <v>135779273</v>
      </c>
      <c r="E4450" s="562">
        <v>30092127</v>
      </c>
      <c r="F4450" s="562">
        <v>165871400</v>
      </c>
      <c r="G4450" s="562">
        <f t="shared" si="208"/>
        <v>0</v>
      </c>
      <c r="H4450" s="362"/>
      <c r="I4450" s="362"/>
      <c r="J4450" s="362"/>
    </row>
    <row r="4451" spans="1:10" x14ac:dyDescent="0.25">
      <c r="A4451" s="362"/>
      <c r="B4451" s="611">
        <v>44370</v>
      </c>
      <c r="C4451" s="362" t="s">
        <v>81</v>
      </c>
      <c r="D4451" s="562">
        <v>96434459</v>
      </c>
      <c r="E4451" s="562">
        <v>41043060</v>
      </c>
      <c r="F4451" s="562">
        <v>137477600</v>
      </c>
      <c r="G4451" s="562">
        <f t="shared" si="208"/>
        <v>-81</v>
      </c>
      <c r="H4451" s="362"/>
      <c r="I4451" s="362"/>
      <c r="J4451" s="362"/>
    </row>
    <row r="4452" spans="1:10" x14ac:dyDescent="0.25">
      <c r="A4452" s="362"/>
      <c r="B4452" s="611">
        <v>44370</v>
      </c>
      <c r="C4452" s="362" t="s">
        <v>84</v>
      </c>
      <c r="D4452" s="562">
        <v>306810275</v>
      </c>
      <c r="E4452" s="562">
        <v>19662940</v>
      </c>
      <c r="F4452" s="562">
        <v>326473300</v>
      </c>
      <c r="G4452" s="562">
        <f t="shared" si="208"/>
        <v>-85</v>
      </c>
      <c r="H4452" s="362"/>
      <c r="I4452" s="362"/>
      <c r="J4452" s="362"/>
    </row>
    <row r="4453" spans="1:10" x14ac:dyDescent="0.25">
      <c r="A4453" s="362"/>
      <c r="B4453" s="611">
        <v>44370</v>
      </c>
      <c r="C4453" s="362" t="s">
        <v>4751</v>
      </c>
      <c r="D4453" s="562">
        <v>146477382</v>
      </c>
      <c r="E4453" s="562">
        <v>14931718</v>
      </c>
      <c r="F4453" s="562">
        <v>161409100</v>
      </c>
      <c r="G4453" s="562">
        <f t="shared" si="208"/>
        <v>0</v>
      </c>
      <c r="H4453" s="362"/>
      <c r="I4453" s="362"/>
      <c r="J4453" s="362"/>
    </row>
    <row r="4454" spans="1:10" x14ac:dyDescent="0.25">
      <c r="A4454" s="362"/>
      <c r="B4454" s="611">
        <v>44370</v>
      </c>
      <c r="C4454" s="362" t="s">
        <v>166</v>
      </c>
      <c r="D4454" s="562">
        <v>58884864</v>
      </c>
      <c r="E4454" s="562"/>
      <c r="F4454" s="562">
        <v>58884900</v>
      </c>
      <c r="G4454" s="562">
        <f t="shared" si="208"/>
        <v>-36</v>
      </c>
      <c r="H4454" s="362"/>
      <c r="I4454" s="362"/>
      <c r="J4454" s="362"/>
    </row>
    <row r="4455" spans="1:10" x14ac:dyDescent="0.25">
      <c r="A4455" s="362"/>
      <c r="B4455" s="611">
        <v>44370</v>
      </c>
      <c r="C4455" s="362" t="s">
        <v>3435</v>
      </c>
      <c r="D4455" s="562">
        <v>52775029</v>
      </c>
      <c r="E4455" s="562"/>
      <c r="F4455" s="562">
        <v>52775100</v>
      </c>
      <c r="G4455" s="562">
        <f t="shared" si="208"/>
        <v>-71</v>
      </c>
      <c r="H4455" s="362"/>
      <c r="I4455" s="362"/>
      <c r="J4455" s="362"/>
    </row>
    <row r="4456" spans="1:10" x14ac:dyDescent="0.25">
      <c r="A4456" s="362"/>
      <c r="B4456" s="611">
        <v>44370</v>
      </c>
      <c r="C4456" s="370" t="s">
        <v>85</v>
      </c>
      <c r="D4456" s="562">
        <v>43761900</v>
      </c>
      <c r="E4456" s="562"/>
      <c r="F4456" s="562">
        <v>43761900</v>
      </c>
      <c r="G4456" s="562">
        <f t="shared" si="208"/>
        <v>0</v>
      </c>
      <c r="H4456" s="362"/>
      <c r="I4456" s="362"/>
      <c r="J4456" s="362"/>
    </row>
    <row r="4457" spans="1:10" x14ac:dyDescent="0.25">
      <c r="A4457" s="532"/>
      <c r="B4457" s="532"/>
      <c r="C4457" s="532"/>
      <c r="D4457" s="564">
        <f>SUM(D4442:D4456)</f>
        <v>2204883593</v>
      </c>
      <c r="E4457" s="564">
        <f t="shared" ref="E4457:F4457" si="210">SUM(E4442:E4456)</f>
        <v>336955705</v>
      </c>
      <c r="F4457" s="564">
        <f t="shared" si="210"/>
        <v>2543839500</v>
      </c>
      <c r="G4457" s="564">
        <f>SUM(G4442:G4456)</f>
        <v>-2000202</v>
      </c>
      <c r="H4457" s="532"/>
      <c r="I4457" s="532"/>
      <c r="J4457" s="532"/>
    </row>
    <row r="4458" spans="1:10" x14ac:dyDescent="0.25">
      <c r="A4458" s="362"/>
      <c r="B4458" s="611">
        <v>44371</v>
      </c>
      <c r="C4458" s="362" t="s">
        <v>86</v>
      </c>
      <c r="D4458" s="562">
        <v>90701575</v>
      </c>
      <c r="E4458" s="562">
        <v>63739111</v>
      </c>
      <c r="F4458" s="562"/>
      <c r="G4458" s="562">
        <f t="shared" si="208"/>
        <v>154440686</v>
      </c>
      <c r="H4458" s="362"/>
      <c r="I4458" s="362"/>
      <c r="J4458" s="362"/>
    </row>
    <row r="4459" spans="1:10" x14ac:dyDescent="0.25">
      <c r="A4459" s="362"/>
      <c r="B4459" s="611">
        <v>44371</v>
      </c>
      <c r="C4459" s="362" t="s">
        <v>87</v>
      </c>
      <c r="D4459" s="562">
        <v>70988240</v>
      </c>
      <c r="E4459" s="562">
        <v>82402970</v>
      </c>
      <c r="F4459" s="562"/>
      <c r="G4459" s="562">
        <f t="shared" si="208"/>
        <v>153391210</v>
      </c>
      <c r="H4459" s="362"/>
      <c r="I4459" s="362"/>
      <c r="J4459" s="362"/>
    </row>
    <row r="4460" spans="1:10" x14ac:dyDescent="0.25">
      <c r="A4460" s="362"/>
      <c r="B4460" s="611">
        <v>44371</v>
      </c>
      <c r="C4460" s="362" t="s">
        <v>88</v>
      </c>
      <c r="D4460" s="562">
        <v>240748669</v>
      </c>
      <c r="E4460" s="562">
        <v>12224956</v>
      </c>
      <c r="F4460" s="562"/>
      <c r="G4460" s="562">
        <f t="shared" si="208"/>
        <v>252973625</v>
      </c>
      <c r="H4460" s="362"/>
      <c r="I4460" s="362"/>
      <c r="J4460" s="362"/>
    </row>
    <row r="4461" spans="1:10" x14ac:dyDescent="0.25">
      <c r="A4461" s="362"/>
      <c r="B4461" s="611">
        <v>44371</v>
      </c>
      <c r="C4461" s="362" t="s">
        <v>82</v>
      </c>
      <c r="D4461" s="562">
        <v>144756248</v>
      </c>
      <c r="E4461" s="562">
        <v>1151041</v>
      </c>
      <c r="F4461" s="562"/>
      <c r="G4461" s="562">
        <f t="shared" si="208"/>
        <v>145907289</v>
      </c>
      <c r="H4461" s="362"/>
      <c r="I4461" s="362"/>
      <c r="J4461" s="362"/>
    </row>
    <row r="4462" spans="1:10" x14ac:dyDescent="0.25">
      <c r="A4462" s="362"/>
      <c r="B4462" s="611">
        <v>44371</v>
      </c>
      <c r="C4462" s="362" t="s">
        <v>80</v>
      </c>
      <c r="D4462" s="562">
        <v>299719000</v>
      </c>
      <c r="E4462" s="562"/>
      <c r="F4462" s="562"/>
      <c r="G4462" s="562">
        <f t="shared" si="208"/>
        <v>299719000</v>
      </c>
      <c r="H4462" s="362"/>
      <c r="I4462" s="362"/>
      <c r="J4462" s="362"/>
    </row>
    <row r="4463" spans="1:10" x14ac:dyDescent="0.25">
      <c r="A4463" s="362"/>
      <c r="B4463" s="611">
        <v>44371</v>
      </c>
      <c r="C4463" s="362" t="s">
        <v>83</v>
      </c>
      <c r="D4463" s="562">
        <v>213029489</v>
      </c>
      <c r="E4463" s="562">
        <v>13358245</v>
      </c>
      <c r="F4463" s="562"/>
      <c r="G4463" s="562">
        <f t="shared" si="208"/>
        <v>226387734</v>
      </c>
      <c r="H4463" s="362"/>
      <c r="I4463" s="362"/>
      <c r="J4463" s="362"/>
    </row>
    <row r="4464" spans="1:10" x14ac:dyDescent="0.25">
      <c r="A4464" s="362"/>
      <c r="B4464" s="611">
        <v>44371</v>
      </c>
      <c r="C4464" s="362" t="s">
        <v>78</v>
      </c>
      <c r="D4464" s="562">
        <v>149662566</v>
      </c>
      <c r="E4464" s="562">
        <v>335834</v>
      </c>
      <c r="F4464" s="562"/>
      <c r="G4464" s="562">
        <f t="shared" si="208"/>
        <v>149998400</v>
      </c>
      <c r="H4464" s="362"/>
      <c r="I4464" s="362"/>
      <c r="J4464" s="362"/>
    </row>
    <row r="4465" spans="1:10" x14ac:dyDescent="0.25">
      <c r="A4465" s="362"/>
      <c r="B4465" s="611">
        <v>44371</v>
      </c>
      <c r="C4465" s="362" t="s">
        <v>141</v>
      </c>
      <c r="D4465" s="562">
        <v>96543360</v>
      </c>
      <c r="E4465" s="562">
        <v>2076176</v>
      </c>
      <c r="F4465" s="562"/>
      <c r="G4465" s="562">
        <f t="shared" si="208"/>
        <v>98619536</v>
      </c>
      <c r="H4465" s="362"/>
      <c r="I4465" s="362"/>
      <c r="J4465" s="362"/>
    </row>
    <row r="4466" spans="1:10" x14ac:dyDescent="0.25">
      <c r="A4466" s="362"/>
      <c r="B4466" s="611">
        <v>44371</v>
      </c>
      <c r="C4466" s="362" t="s">
        <v>89</v>
      </c>
      <c r="D4466" s="562">
        <v>168193705</v>
      </c>
      <c r="E4466" s="562">
        <v>12632195</v>
      </c>
      <c r="F4466" s="562"/>
      <c r="G4466" s="562">
        <f t="shared" si="208"/>
        <v>180825900</v>
      </c>
      <c r="H4466" s="362"/>
      <c r="I4466" s="362"/>
      <c r="J4466" s="362"/>
    </row>
    <row r="4467" spans="1:10" x14ac:dyDescent="0.25">
      <c r="A4467" s="362"/>
      <c r="B4467" s="611">
        <v>44371</v>
      </c>
      <c r="C4467" s="362" t="s">
        <v>81</v>
      </c>
      <c r="D4467" s="562">
        <v>88499465</v>
      </c>
      <c r="E4467" s="562">
        <v>19455740</v>
      </c>
      <c r="F4467" s="562"/>
      <c r="G4467" s="562">
        <f t="shared" si="208"/>
        <v>107955205</v>
      </c>
      <c r="H4467" s="362"/>
      <c r="I4467" s="362"/>
      <c r="J4467" s="362"/>
    </row>
    <row r="4468" spans="1:10" x14ac:dyDescent="0.25">
      <c r="A4468" s="362"/>
      <c r="B4468" s="611">
        <v>44371</v>
      </c>
      <c r="C4468" s="362" t="s">
        <v>84</v>
      </c>
      <c r="D4468" s="562">
        <v>169693872</v>
      </c>
      <c r="E4468" s="562">
        <v>15998396</v>
      </c>
      <c r="F4468" s="562"/>
      <c r="G4468" s="562">
        <f t="shared" si="208"/>
        <v>185692268</v>
      </c>
      <c r="H4468" s="362"/>
      <c r="I4468" s="362"/>
      <c r="J4468" s="362"/>
    </row>
    <row r="4469" spans="1:10" x14ac:dyDescent="0.25">
      <c r="A4469" s="362"/>
      <c r="B4469" s="611">
        <v>44371</v>
      </c>
      <c r="C4469" s="362" t="s">
        <v>4751</v>
      </c>
      <c r="D4469" s="562">
        <v>194540568</v>
      </c>
      <c r="E4469" s="562">
        <v>12263432</v>
      </c>
      <c r="F4469" s="562"/>
      <c r="G4469" s="562">
        <f t="shared" si="208"/>
        <v>206804000</v>
      </c>
      <c r="H4469" s="362"/>
      <c r="I4469" s="362"/>
      <c r="J4469" s="362"/>
    </row>
    <row r="4470" spans="1:10" x14ac:dyDescent="0.25">
      <c r="A4470" s="362"/>
      <c r="B4470" s="611">
        <v>44371</v>
      </c>
      <c r="C4470" s="362" t="s">
        <v>166</v>
      </c>
      <c r="D4470" s="562">
        <v>78477589</v>
      </c>
      <c r="E4470" s="562"/>
      <c r="F4470" s="562"/>
      <c r="G4470" s="562">
        <f t="shared" si="208"/>
        <v>78477589</v>
      </c>
      <c r="H4470" s="362"/>
      <c r="I4470" s="362"/>
      <c r="J4470" s="362"/>
    </row>
    <row r="4471" spans="1:10" x14ac:dyDescent="0.25">
      <c r="A4471" s="362"/>
      <c r="B4471" s="611">
        <v>44371</v>
      </c>
      <c r="C4471" s="362" t="s">
        <v>3435</v>
      </c>
      <c r="D4471" s="562">
        <v>47070818</v>
      </c>
      <c r="E4471" s="562"/>
      <c r="F4471" s="562"/>
      <c r="G4471" s="562">
        <f t="shared" si="208"/>
        <v>47070818</v>
      </c>
      <c r="H4471" s="362"/>
      <c r="I4471" s="362"/>
      <c r="J4471" s="362"/>
    </row>
    <row r="4472" spans="1:10" x14ac:dyDescent="0.25">
      <c r="A4472" s="362"/>
      <c r="B4472" s="611">
        <v>44371</v>
      </c>
      <c r="C4472" s="370" t="s">
        <v>85</v>
      </c>
      <c r="D4472" s="562">
        <v>19714600</v>
      </c>
      <c r="E4472" s="562"/>
      <c r="F4472" s="562"/>
      <c r="G4472" s="562">
        <f t="shared" si="208"/>
        <v>19714600</v>
      </c>
      <c r="H4472" s="362"/>
      <c r="I4472" s="362"/>
      <c r="J4472" s="362"/>
    </row>
    <row r="4473" spans="1:10" x14ac:dyDescent="0.25">
      <c r="A4473" s="532"/>
      <c r="B4473" s="532"/>
      <c r="C4473" s="532"/>
      <c r="D4473" s="564">
        <f>SUM(D4458:D4472)</f>
        <v>2072339764</v>
      </c>
      <c r="E4473" s="564">
        <f t="shared" ref="E4473:G4473" si="211">SUM(E4458:E4472)</f>
        <v>235638096</v>
      </c>
      <c r="F4473" s="564">
        <f t="shared" si="211"/>
        <v>0</v>
      </c>
      <c r="G4473" s="564">
        <f t="shared" si="211"/>
        <v>2307977860</v>
      </c>
      <c r="H4473" s="532"/>
      <c r="I4473" s="532"/>
      <c r="J4473" s="532"/>
    </row>
    <row r="4474" spans="1:10" x14ac:dyDescent="0.25">
      <c r="A4474" s="362"/>
      <c r="B4474" s="611">
        <v>44372</v>
      </c>
      <c r="C4474" s="362" t="s">
        <v>86</v>
      </c>
      <c r="D4474" s="562">
        <v>10297357</v>
      </c>
      <c r="E4474" s="562">
        <v>49679730</v>
      </c>
      <c r="F4474" s="562"/>
      <c r="G4474" s="562">
        <f t="shared" si="208"/>
        <v>59977087</v>
      </c>
      <c r="H4474" s="362"/>
      <c r="I4474" s="362"/>
      <c r="J4474" s="362"/>
    </row>
    <row r="4475" spans="1:10" x14ac:dyDescent="0.25">
      <c r="A4475" s="362"/>
      <c r="B4475" s="611">
        <v>44372</v>
      </c>
      <c r="C4475" s="362" t="s">
        <v>87</v>
      </c>
      <c r="D4475" s="562">
        <v>76591656</v>
      </c>
      <c r="E4475" s="562">
        <v>35518338</v>
      </c>
      <c r="F4475" s="562"/>
      <c r="G4475" s="562">
        <f t="shared" si="208"/>
        <v>112109994</v>
      </c>
      <c r="H4475" s="362"/>
      <c r="I4475" s="362"/>
      <c r="J4475" s="362"/>
    </row>
    <row r="4476" spans="1:10" x14ac:dyDescent="0.25">
      <c r="A4476" s="362"/>
      <c r="B4476" s="611">
        <v>44372</v>
      </c>
      <c r="C4476" s="362" t="s">
        <v>88</v>
      </c>
      <c r="D4476" s="562">
        <v>131790548</v>
      </c>
      <c r="E4476" s="562">
        <v>115392000</v>
      </c>
      <c r="F4476" s="562"/>
      <c r="G4476" s="562">
        <f t="shared" si="208"/>
        <v>247182548</v>
      </c>
      <c r="H4476" s="362"/>
      <c r="I4476" s="362"/>
      <c r="J4476" s="362"/>
    </row>
    <row r="4477" spans="1:10" x14ac:dyDescent="0.25">
      <c r="A4477" s="362"/>
      <c r="B4477" s="611">
        <v>44372</v>
      </c>
      <c r="C4477" s="362" t="s">
        <v>82</v>
      </c>
      <c r="D4477" s="562">
        <v>98976360</v>
      </c>
      <c r="E4477" s="562">
        <v>3335861</v>
      </c>
      <c r="F4477" s="562"/>
      <c r="G4477" s="562">
        <f t="shared" si="208"/>
        <v>102312221</v>
      </c>
      <c r="H4477" s="362"/>
      <c r="I4477" s="362"/>
      <c r="J4477" s="362"/>
    </row>
    <row r="4478" spans="1:10" x14ac:dyDescent="0.25">
      <c r="A4478" s="362"/>
      <c r="B4478" s="611">
        <v>44372</v>
      </c>
      <c r="C4478" s="362" t="s">
        <v>80</v>
      </c>
      <c r="D4478" s="562">
        <v>237598284</v>
      </c>
      <c r="E4478" s="562"/>
      <c r="F4478" s="562"/>
      <c r="G4478" s="562">
        <f t="shared" si="208"/>
        <v>237598284</v>
      </c>
      <c r="H4478" s="362"/>
      <c r="I4478" s="362"/>
      <c r="J4478" s="362"/>
    </row>
    <row r="4479" spans="1:10" x14ac:dyDescent="0.25">
      <c r="A4479" s="362"/>
      <c r="B4479" s="611">
        <v>44372</v>
      </c>
      <c r="C4479" s="362" t="s">
        <v>83</v>
      </c>
      <c r="D4479" s="562">
        <v>293481830</v>
      </c>
      <c r="E4479" s="562">
        <v>100183125</v>
      </c>
      <c r="F4479" s="562"/>
      <c r="G4479" s="562">
        <f t="shared" si="208"/>
        <v>393664955</v>
      </c>
      <c r="H4479" s="362"/>
      <c r="I4479" s="362"/>
      <c r="J4479" s="362"/>
    </row>
    <row r="4480" spans="1:10" x14ac:dyDescent="0.25">
      <c r="A4480" s="362"/>
      <c r="B4480" s="611">
        <v>44372</v>
      </c>
      <c r="C4480" s="362" t="s">
        <v>78</v>
      </c>
      <c r="D4480" s="562">
        <v>155580300</v>
      </c>
      <c r="E4480" s="562"/>
      <c r="F4480" s="562"/>
      <c r="G4480" s="562">
        <f t="shared" si="208"/>
        <v>155580300</v>
      </c>
      <c r="H4480" s="362"/>
      <c r="I4480" s="362"/>
      <c r="J4480" s="362"/>
    </row>
    <row r="4481" spans="1:10" x14ac:dyDescent="0.25">
      <c r="A4481" s="362"/>
      <c r="B4481" s="611">
        <v>44372</v>
      </c>
      <c r="C4481" s="362" t="s">
        <v>141</v>
      </c>
      <c r="D4481" s="562">
        <v>59450710</v>
      </c>
      <c r="E4481" s="562">
        <v>1565509</v>
      </c>
      <c r="F4481" s="562"/>
      <c r="G4481" s="562">
        <f t="shared" si="208"/>
        <v>61016219</v>
      </c>
      <c r="H4481" s="362"/>
      <c r="I4481" s="362"/>
      <c r="J4481" s="362"/>
    </row>
    <row r="4482" spans="1:10" x14ac:dyDescent="0.25">
      <c r="A4482" s="362"/>
      <c r="B4482" s="611">
        <v>44372</v>
      </c>
      <c r="C4482" s="362" t="s">
        <v>89</v>
      </c>
      <c r="D4482" s="562">
        <v>127796880</v>
      </c>
      <c r="E4482" s="562">
        <v>5900000</v>
      </c>
      <c r="F4482" s="562"/>
      <c r="G4482" s="562">
        <f t="shared" si="208"/>
        <v>133696880</v>
      </c>
      <c r="H4482" s="362"/>
      <c r="I4482" s="362"/>
      <c r="J4482" s="362"/>
    </row>
    <row r="4483" spans="1:10" x14ac:dyDescent="0.25">
      <c r="A4483" s="362"/>
      <c r="B4483" s="611">
        <v>44372</v>
      </c>
      <c r="C4483" s="362" t="s">
        <v>81</v>
      </c>
      <c r="D4483" s="562">
        <v>89015198</v>
      </c>
      <c r="E4483" s="562">
        <v>9872335</v>
      </c>
      <c r="F4483" s="562"/>
      <c r="G4483" s="562">
        <f t="shared" si="208"/>
        <v>98887533</v>
      </c>
      <c r="H4483" s="362"/>
      <c r="I4483" s="362"/>
      <c r="J4483" s="362"/>
    </row>
    <row r="4484" spans="1:10" x14ac:dyDescent="0.25">
      <c r="A4484" s="362"/>
      <c r="B4484" s="611">
        <v>44372</v>
      </c>
      <c r="C4484" s="362" t="s">
        <v>84</v>
      </c>
      <c r="D4484" s="562">
        <v>231886654</v>
      </c>
      <c r="E4484" s="562">
        <v>6943003</v>
      </c>
      <c r="F4484" s="562"/>
      <c r="G4484" s="562">
        <f t="shared" si="208"/>
        <v>238829657</v>
      </c>
      <c r="H4484" s="362"/>
      <c r="I4484" s="362"/>
      <c r="J4484" s="362"/>
    </row>
    <row r="4485" spans="1:10" x14ac:dyDescent="0.25">
      <c r="A4485" s="362"/>
      <c r="B4485" s="611">
        <v>44372</v>
      </c>
      <c r="C4485" s="362" t="s">
        <v>4751</v>
      </c>
      <c r="D4485" s="562">
        <v>188699751</v>
      </c>
      <c r="E4485" s="562">
        <v>11087749</v>
      </c>
      <c r="F4485" s="562"/>
      <c r="G4485" s="562">
        <f t="shared" si="208"/>
        <v>199787500</v>
      </c>
      <c r="H4485" s="362"/>
      <c r="I4485" s="362"/>
      <c r="J4485" s="362"/>
    </row>
    <row r="4486" spans="1:10" x14ac:dyDescent="0.25">
      <c r="A4486" s="362"/>
      <c r="B4486" s="611">
        <v>44372</v>
      </c>
      <c r="C4486" s="362" t="s">
        <v>166</v>
      </c>
      <c r="D4486" s="562">
        <v>47928466</v>
      </c>
      <c r="E4486" s="562"/>
      <c r="F4486" s="562"/>
      <c r="G4486" s="562">
        <f t="shared" si="208"/>
        <v>47928466</v>
      </c>
      <c r="H4486" s="362"/>
      <c r="I4486" s="362"/>
      <c r="J4486" s="362"/>
    </row>
    <row r="4487" spans="1:10" x14ac:dyDescent="0.25">
      <c r="A4487" s="362"/>
      <c r="B4487" s="611">
        <v>44372</v>
      </c>
      <c r="C4487" s="362" t="s">
        <v>3435</v>
      </c>
      <c r="D4487" s="562">
        <v>32999035</v>
      </c>
      <c r="E4487" s="562"/>
      <c r="F4487" s="562"/>
      <c r="G4487" s="562">
        <f t="shared" si="208"/>
        <v>32999035</v>
      </c>
      <c r="H4487" s="362"/>
      <c r="I4487" s="362"/>
      <c r="J4487" s="362"/>
    </row>
    <row r="4488" spans="1:10" x14ac:dyDescent="0.25">
      <c r="A4488" s="362"/>
      <c r="B4488" s="611">
        <v>44372</v>
      </c>
      <c r="C4488" s="370" t="s">
        <v>85</v>
      </c>
      <c r="D4488" s="562">
        <v>18128300</v>
      </c>
      <c r="E4488" s="562"/>
      <c r="F4488" s="562"/>
      <c r="G4488" s="562">
        <f t="shared" si="208"/>
        <v>18128300</v>
      </c>
      <c r="H4488" s="362"/>
      <c r="I4488" s="362"/>
      <c r="J4488" s="362"/>
    </row>
    <row r="4489" spans="1:10" x14ac:dyDescent="0.25">
      <c r="A4489" s="532"/>
      <c r="B4489" s="532"/>
      <c r="C4489" s="532"/>
      <c r="D4489" s="564">
        <f>SUM(D4474:D4488)</f>
        <v>1800221329</v>
      </c>
      <c r="E4489" s="564">
        <f t="shared" ref="E4489:G4489" si="212">SUM(E4474:E4488)</f>
        <v>339477650</v>
      </c>
      <c r="F4489" s="564">
        <f t="shared" si="212"/>
        <v>0</v>
      </c>
      <c r="G4489" s="564">
        <f t="shared" si="212"/>
        <v>2139698979</v>
      </c>
      <c r="H4489" s="532"/>
      <c r="I4489" s="532"/>
      <c r="J4489" s="532"/>
    </row>
    <row r="4490" spans="1:10" x14ac:dyDescent="0.25">
      <c r="A4490" s="362"/>
      <c r="B4490" s="611">
        <v>44373</v>
      </c>
      <c r="C4490" s="362" t="s">
        <v>86</v>
      </c>
      <c r="D4490" s="562">
        <v>41754646</v>
      </c>
      <c r="E4490" s="562">
        <v>30785568</v>
      </c>
      <c r="F4490" s="562"/>
      <c r="G4490" s="562">
        <f t="shared" si="208"/>
        <v>72540214</v>
      </c>
      <c r="H4490" s="362"/>
      <c r="I4490" s="362"/>
      <c r="J4490" s="362"/>
    </row>
    <row r="4491" spans="1:10" x14ac:dyDescent="0.25">
      <c r="A4491" s="362"/>
      <c r="B4491" s="611">
        <v>44373</v>
      </c>
      <c r="C4491" s="362" t="s">
        <v>87</v>
      </c>
      <c r="D4491" s="562">
        <v>68178712</v>
      </c>
      <c r="E4491" s="562">
        <v>144395480</v>
      </c>
      <c r="F4491" s="562"/>
      <c r="G4491" s="562">
        <f t="shared" si="208"/>
        <v>212574192</v>
      </c>
      <c r="H4491" s="362"/>
      <c r="I4491" s="362"/>
      <c r="J4491" s="362"/>
    </row>
    <row r="4492" spans="1:10" x14ac:dyDescent="0.25">
      <c r="A4492" s="362"/>
      <c r="B4492" s="611">
        <v>44373</v>
      </c>
      <c r="C4492" s="362" t="s">
        <v>88</v>
      </c>
      <c r="D4492" s="562">
        <v>214197172</v>
      </c>
      <c r="E4492" s="562">
        <v>8220171</v>
      </c>
      <c r="F4492" s="562"/>
      <c r="G4492" s="562">
        <f t="shared" ref="G4492:G4555" si="213">D4492+E4492-F4492</f>
        <v>222417343</v>
      </c>
      <c r="H4492" s="362"/>
      <c r="I4492" s="362"/>
      <c r="J4492" s="362"/>
    </row>
    <row r="4493" spans="1:10" x14ac:dyDescent="0.25">
      <c r="A4493" s="362"/>
      <c r="B4493" s="611">
        <v>44373</v>
      </c>
      <c r="C4493" s="362" t="s">
        <v>82</v>
      </c>
      <c r="D4493" s="562">
        <v>48282618</v>
      </c>
      <c r="E4493" s="562">
        <v>1826926</v>
      </c>
      <c r="F4493" s="562"/>
      <c r="G4493" s="562">
        <f t="shared" si="213"/>
        <v>50109544</v>
      </c>
      <c r="H4493" s="362"/>
      <c r="I4493" s="362"/>
      <c r="J4493" s="362"/>
    </row>
    <row r="4494" spans="1:10" x14ac:dyDescent="0.25">
      <c r="A4494" s="362"/>
      <c r="B4494" s="611">
        <v>44373</v>
      </c>
      <c r="C4494" s="362" t="s">
        <v>80</v>
      </c>
      <c r="D4494" s="562">
        <v>283560001</v>
      </c>
      <c r="E4494" s="562">
        <v>30143178</v>
      </c>
      <c r="F4494" s="562"/>
      <c r="G4494" s="562">
        <f t="shared" si="213"/>
        <v>313703179</v>
      </c>
      <c r="H4494" s="362"/>
      <c r="I4494" s="362"/>
      <c r="J4494" s="362"/>
    </row>
    <row r="4495" spans="1:10" x14ac:dyDescent="0.25">
      <c r="A4495" s="362"/>
      <c r="B4495" s="611">
        <v>44373</v>
      </c>
      <c r="C4495" s="362" t="s">
        <v>83</v>
      </c>
      <c r="D4495" s="562">
        <v>206882228</v>
      </c>
      <c r="E4495" s="562">
        <v>30186985</v>
      </c>
      <c r="F4495" s="562"/>
      <c r="G4495" s="562">
        <f t="shared" si="213"/>
        <v>237069213</v>
      </c>
      <c r="H4495" s="362"/>
      <c r="I4495" s="362"/>
      <c r="J4495" s="362"/>
    </row>
    <row r="4496" spans="1:10" x14ac:dyDescent="0.25">
      <c r="A4496" s="362"/>
      <c r="B4496" s="611">
        <v>44373</v>
      </c>
      <c r="C4496" s="362" t="s">
        <v>78</v>
      </c>
      <c r="D4496" s="562">
        <v>146954425</v>
      </c>
      <c r="E4496" s="562">
        <v>1412275</v>
      </c>
      <c r="F4496" s="562"/>
      <c r="G4496" s="562">
        <f t="shared" si="213"/>
        <v>148366700</v>
      </c>
      <c r="H4496" s="362"/>
      <c r="I4496" s="362"/>
      <c r="J4496" s="362"/>
    </row>
    <row r="4497" spans="1:10" x14ac:dyDescent="0.25">
      <c r="A4497" s="362"/>
      <c r="B4497" s="611">
        <v>44373</v>
      </c>
      <c r="C4497" s="362" t="s">
        <v>141</v>
      </c>
      <c r="D4497" s="562">
        <v>38135880</v>
      </c>
      <c r="E4497" s="562">
        <v>2282822</v>
      </c>
      <c r="F4497" s="562"/>
      <c r="G4497" s="562">
        <f t="shared" si="213"/>
        <v>40418702</v>
      </c>
      <c r="H4497" s="362"/>
      <c r="I4497" s="362"/>
      <c r="J4497" s="362"/>
    </row>
    <row r="4498" spans="1:10" x14ac:dyDescent="0.25">
      <c r="A4498" s="362"/>
      <c r="B4498" s="611">
        <v>44373</v>
      </c>
      <c r="C4498" s="362" t="s">
        <v>89</v>
      </c>
      <c r="D4498" s="562">
        <v>102778301</v>
      </c>
      <c r="E4498" s="562">
        <v>3541000</v>
      </c>
      <c r="F4498" s="562"/>
      <c r="G4498" s="562">
        <f t="shared" si="213"/>
        <v>106319301</v>
      </c>
      <c r="H4498" s="362"/>
      <c r="I4498" s="362"/>
      <c r="J4498" s="362"/>
    </row>
    <row r="4499" spans="1:10" x14ac:dyDescent="0.25">
      <c r="A4499" s="362"/>
      <c r="B4499" s="611">
        <v>44373</v>
      </c>
      <c r="C4499" s="362" t="s">
        <v>81</v>
      </c>
      <c r="D4499" s="562">
        <v>110375461</v>
      </c>
      <c r="E4499" s="562">
        <v>5768671</v>
      </c>
      <c r="F4499" s="562"/>
      <c r="G4499" s="562">
        <f t="shared" si="213"/>
        <v>116144132</v>
      </c>
      <c r="H4499" s="362"/>
      <c r="I4499" s="362"/>
      <c r="J4499" s="362"/>
    </row>
    <row r="4500" spans="1:10" x14ac:dyDescent="0.25">
      <c r="A4500" s="362"/>
      <c r="B4500" s="611">
        <v>44373</v>
      </c>
      <c r="C4500" s="362" t="s">
        <v>84</v>
      </c>
      <c r="D4500" s="562">
        <v>150544140</v>
      </c>
      <c r="E4500" s="562">
        <v>47215173</v>
      </c>
      <c r="F4500" s="562"/>
      <c r="G4500" s="562">
        <f t="shared" si="213"/>
        <v>197759313</v>
      </c>
      <c r="H4500" s="362"/>
      <c r="I4500" s="362"/>
      <c r="J4500" s="362"/>
    </row>
    <row r="4501" spans="1:10" x14ac:dyDescent="0.25">
      <c r="A4501" s="362"/>
      <c r="B4501" s="611">
        <v>44373</v>
      </c>
      <c r="C4501" s="362" t="s">
        <v>4751</v>
      </c>
      <c r="D4501" s="562">
        <v>223524303</v>
      </c>
      <c r="E4501" s="562">
        <v>12815097</v>
      </c>
      <c r="F4501" s="562"/>
      <c r="G4501" s="562">
        <f t="shared" si="213"/>
        <v>236339400</v>
      </c>
      <c r="H4501" s="362"/>
      <c r="I4501" s="362"/>
      <c r="J4501" s="362"/>
    </row>
    <row r="4502" spans="1:10" x14ac:dyDescent="0.25">
      <c r="A4502" s="362"/>
      <c r="B4502" s="611">
        <v>44373</v>
      </c>
      <c r="C4502" s="362" t="s">
        <v>166</v>
      </c>
      <c r="D4502" s="562"/>
      <c r="E4502" s="562"/>
      <c r="F4502" s="562"/>
      <c r="G4502" s="562">
        <f t="shared" si="213"/>
        <v>0</v>
      </c>
      <c r="H4502" s="362"/>
      <c r="I4502" s="362"/>
      <c r="J4502" s="362"/>
    </row>
    <row r="4503" spans="1:10" x14ac:dyDescent="0.25">
      <c r="A4503" s="362"/>
      <c r="B4503" s="611">
        <v>44373</v>
      </c>
      <c r="C4503" s="362" t="s">
        <v>3435</v>
      </c>
      <c r="D4503" s="562"/>
      <c r="E4503" s="562"/>
      <c r="F4503" s="562"/>
      <c r="G4503" s="562">
        <f t="shared" si="213"/>
        <v>0</v>
      </c>
      <c r="H4503" s="362"/>
      <c r="I4503" s="362"/>
      <c r="J4503" s="362"/>
    </row>
    <row r="4504" spans="1:10" x14ac:dyDescent="0.25">
      <c r="A4504" s="362"/>
      <c r="B4504" s="611">
        <v>44373</v>
      </c>
      <c r="C4504" s="370" t="s">
        <v>85</v>
      </c>
      <c r="D4504" s="562">
        <v>28167500</v>
      </c>
      <c r="E4504" s="562"/>
      <c r="F4504" s="562"/>
      <c r="G4504" s="562">
        <f t="shared" si="213"/>
        <v>28167500</v>
      </c>
      <c r="H4504" s="362"/>
      <c r="I4504" s="362"/>
      <c r="J4504" s="362"/>
    </row>
    <row r="4505" spans="1:10" x14ac:dyDescent="0.25">
      <c r="A4505" s="532"/>
      <c r="B4505" s="532"/>
      <c r="C4505" s="532"/>
      <c r="D4505" s="564">
        <f>SUM(D4490:D4504)</f>
        <v>1663335387</v>
      </c>
      <c r="E4505" s="564">
        <f t="shared" ref="E4505:F4505" si="214">SUM(E4490:E4504)</f>
        <v>318593346</v>
      </c>
      <c r="F4505" s="564">
        <f t="shared" si="214"/>
        <v>0</v>
      </c>
      <c r="G4505" s="564">
        <f>SUM(G4490:G4504)</f>
        <v>1981928733</v>
      </c>
      <c r="H4505" s="532"/>
      <c r="I4505" s="532"/>
      <c r="J4505" s="532"/>
    </row>
    <row r="4506" spans="1:10" x14ac:dyDescent="0.25">
      <c r="A4506" s="362"/>
      <c r="B4506" s="611">
        <v>44375</v>
      </c>
      <c r="C4506" s="362" t="s">
        <v>86</v>
      </c>
      <c r="D4506" s="562">
        <v>65335834</v>
      </c>
      <c r="E4506" s="562">
        <v>9188941</v>
      </c>
      <c r="F4506" s="562"/>
      <c r="G4506" s="562">
        <f t="shared" si="213"/>
        <v>74524775</v>
      </c>
      <c r="H4506" s="362"/>
      <c r="I4506" s="362"/>
      <c r="J4506" s="362"/>
    </row>
    <row r="4507" spans="1:10" x14ac:dyDescent="0.25">
      <c r="A4507" s="362"/>
      <c r="B4507" s="611">
        <v>44375</v>
      </c>
      <c r="C4507" s="362" t="s">
        <v>87</v>
      </c>
      <c r="D4507" s="562">
        <v>96640578</v>
      </c>
      <c r="E4507" s="562">
        <v>68117656</v>
      </c>
      <c r="F4507" s="562"/>
      <c r="G4507" s="562">
        <f t="shared" si="213"/>
        <v>164758234</v>
      </c>
      <c r="H4507" s="362"/>
      <c r="I4507" s="362"/>
      <c r="J4507" s="362"/>
    </row>
    <row r="4508" spans="1:10" x14ac:dyDescent="0.25">
      <c r="A4508" s="362"/>
      <c r="B4508" s="611">
        <v>44375</v>
      </c>
      <c r="C4508" s="362" t="s">
        <v>88</v>
      </c>
      <c r="D4508" s="562">
        <v>311595465</v>
      </c>
      <c r="E4508" s="562">
        <v>27967006</v>
      </c>
      <c r="F4508" s="562"/>
      <c r="G4508" s="562">
        <f t="shared" si="213"/>
        <v>339562471</v>
      </c>
      <c r="H4508" s="362"/>
      <c r="I4508" s="362"/>
      <c r="J4508" s="362"/>
    </row>
    <row r="4509" spans="1:10" x14ac:dyDescent="0.25">
      <c r="A4509" s="362"/>
      <c r="B4509" s="611">
        <v>44375</v>
      </c>
      <c r="C4509" s="362" t="s">
        <v>82</v>
      </c>
      <c r="D4509" s="562">
        <v>35168998</v>
      </c>
      <c r="E4509" s="562">
        <v>1027434</v>
      </c>
      <c r="F4509" s="562"/>
      <c r="G4509" s="562">
        <f t="shared" si="213"/>
        <v>36196432</v>
      </c>
      <c r="H4509" s="362"/>
      <c r="I4509" s="362"/>
      <c r="J4509" s="362"/>
    </row>
    <row r="4510" spans="1:10" x14ac:dyDescent="0.25">
      <c r="A4510" s="362"/>
      <c r="B4510" s="611">
        <v>44375</v>
      </c>
      <c r="C4510" s="362" t="s">
        <v>80</v>
      </c>
      <c r="D4510" s="562">
        <v>265134220</v>
      </c>
      <c r="E4510" s="562"/>
      <c r="F4510" s="562"/>
      <c r="G4510" s="562">
        <f t="shared" si="213"/>
        <v>265134220</v>
      </c>
      <c r="H4510" s="362"/>
      <c r="I4510" s="362"/>
      <c r="J4510" s="362"/>
    </row>
    <row r="4511" spans="1:10" x14ac:dyDescent="0.25">
      <c r="A4511" s="362"/>
      <c r="B4511" s="611">
        <v>44375</v>
      </c>
      <c r="C4511" s="362" t="s">
        <v>83</v>
      </c>
      <c r="D4511" s="562">
        <v>257021451</v>
      </c>
      <c r="E4511" s="562">
        <v>6140966</v>
      </c>
      <c r="F4511" s="562"/>
      <c r="G4511" s="562">
        <f t="shared" si="213"/>
        <v>263162417</v>
      </c>
      <c r="H4511" s="362"/>
      <c r="I4511" s="362"/>
      <c r="J4511" s="362"/>
    </row>
    <row r="4512" spans="1:10" x14ac:dyDescent="0.25">
      <c r="A4512" s="362"/>
      <c r="B4512" s="611">
        <v>44375</v>
      </c>
      <c r="C4512" s="362" t="s">
        <v>78</v>
      </c>
      <c r="D4512" s="562">
        <v>67001493</v>
      </c>
      <c r="E4512" s="562">
        <v>1131407</v>
      </c>
      <c r="F4512" s="562"/>
      <c r="G4512" s="562">
        <f t="shared" si="213"/>
        <v>68132900</v>
      </c>
      <c r="H4512" s="362"/>
      <c r="I4512" s="362"/>
      <c r="J4512" s="362"/>
    </row>
    <row r="4513" spans="1:10" x14ac:dyDescent="0.25">
      <c r="A4513" s="362"/>
      <c r="B4513" s="611">
        <v>44375</v>
      </c>
      <c r="C4513" s="362" t="s">
        <v>141</v>
      </c>
      <c r="D4513" s="562">
        <v>47709765</v>
      </c>
      <c r="E4513" s="562">
        <v>3252262</v>
      </c>
      <c r="F4513" s="562"/>
      <c r="G4513" s="562">
        <f t="shared" si="213"/>
        <v>50962027</v>
      </c>
      <c r="H4513" s="362"/>
      <c r="I4513" s="362"/>
      <c r="J4513" s="362"/>
    </row>
    <row r="4514" spans="1:10" x14ac:dyDescent="0.25">
      <c r="A4514" s="362"/>
      <c r="B4514" s="611">
        <v>44375</v>
      </c>
      <c r="C4514" s="362" t="s">
        <v>89</v>
      </c>
      <c r="D4514" s="562">
        <v>94779684</v>
      </c>
      <c r="E4514" s="562">
        <v>42079916</v>
      </c>
      <c r="F4514" s="562"/>
      <c r="G4514" s="562">
        <f t="shared" si="213"/>
        <v>136859600</v>
      </c>
      <c r="H4514" s="362"/>
      <c r="I4514" s="362"/>
      <c r="J4514" s="362"/>
    </row>
    <row r="4515" spans="1:10" x14ac:dyDescent="0.25">
      <c r="A4515" s="362"/>
      <c r="B4515" s="611">
        <v>44375</v>
      </c>
      <c r="C4515" s="362" t="s">
        <v>81</v>
      </c>
      <c r="D4515" s="562">
        <v>121575927</v>
      </c>
      <c r="E4515" s="562">
        <v>16430129</v>
      </c>
      <c r="F4515" s="562"/>
      <c r="G4515" s="562">
        <f t="shared" si="213"/>
        <v>138006056</v>
      </c>
      <c r="H4515" s="362"/>
      <c r="I4515" s="362"/>
      <c r="J4515" s="362"/>
    </row>
    <row r="4516" spans="1:10" x14ac:dyDescent="0.25">
      <c r="A4516" s="362"/>
      <c r="B4516" s="611">
        <v>44375</v>
      </c>
      <c r="C4516" s="362" t="s">
        <v>84</v>
      </c>
      <c r="D4516" s="562">
        <v>233294371</v>
      </c>
      <c r="E4516" s="562">
        <v>4228735</v>
      </c>
      <c r="F4516" s="562"/>
      <c r="G4516" s="562">
        <f t="shared" si="213"/>
        <v>237523106</v>
      </c>
      <c r="H4516" s="362"/>
      <c r="I4516" s="362"/>
      <c r="J4516" s="362"/>
    </row>
    <row r="4517" spans="1:10" x14ac:dyDescent="0.25">
      <c r="A4517" s="362"/>
      <c r="B4517" s="611">
        <v>44375</v>
      </c>
      <c r="C4517" s="362" t="s">
        <v>4751</v>
      </c>
      <c r="D4517" s="562">
        <v>186623140</v>
      </c>
      <c r="E4517" s="562">
        <v>10556560</v>
      </c>
      <c r="F4517" s="562"/>
      <c r="G4517" s="562">
        <f t="shared" si="213"/>
        <v>197179700</v>
      </c>
      <c r="H4517" s="362"/>
      <c r="I4517" s="362"/>
      <c r="J4517" s="362"/>
    </row>
    <row r="4518" spans="1:10" x14ac:dyDescent="0.25">
      <c r="A4518" s="362"/>
      <c r="B4518" s="611">
        <v>44375</v>
      </c>
      <c r="C4518" s="362" t="s">
        <v>166</v>
      </c>
      <c r="D4518" s="562">
        <v>59120479</v>
      </c>
      <c r="E4518" s="562"/>
      <c r="F4518" s="562"/>
      <c r="G4518" s="562">
        <f t="shared" si="213"/>
        <v>59120479</v>
      </c>
      <c r="H4518" s="362"/>
      <c r="I4518" s="362"/>
      <c r="J4518" s="362"/>
    </row>
    <row r="4519" spans="1:10" x14ac:dyDescent="0.25">
      <c r="A4519" s="362"/>
      <c r="B4519" s="611">
        <v>44375</v>
      </c>
      <c r="C4519" s="362" t="s">
        <v>3435</v>
      </c>
      <c r="D4519" s="562">
        <v>38335904</v>
      </c>
      <c r="E4519" s="562"/>
      <c r="F4519" s="562"/>
      <c r="G4519" s="562">
        <f t="shared" si="213"/>
        <v>38335904</v>
      </c>
      <c r="H4519" s="362"/>
      <c r="I4519" s="362"/>
      <c r="J4519" s="362"/>
    </row>
    <row r="4520" spans="1:10" x14ac:dyDescent="0.25">
      <c r="A4520" s="362"/>
      <c r="B4520" s="611">
        <v>44375</v>
      </c>
      <c r="C4520" s="370" t="s">
        <v>85</v>
      </c>
      <c r="D4520" s="562">
        <v>53503200</v>
      </c>
      <c r="E4520" s="562"/>
      <c r="F4520" s="562"/>
      <c r="G4520" s="562">
        <f t="shared" si="213"/>
        <v>53503200</v>
      </c>
      <c r="H4520" s="362"/>
      <c r="I4520" s="362"/>
      <c r="J4520" s="362"/>
    </row>
    <row r="4521" spans="1:10" x14ac:dyDescent="0.25">
      <c r="A4521" s="532"/>
      <c r="B4521" s="532"/>
      <c r="C4521" s="532"/>
      <c r="D4521" s="564">
        <f>SUM(D4506:D4520)</f>
        <v>1932840509</v>
      </c>
      <c r="E4521" s="564">
        <f t="shared" ref="E4521:G4521" si="215">SUM(E4506:E4520)</f>
        <v>190121012</v>
      </c>
      <c r="F4521" s="564">
        <f t="shared" si="215"/>
        <v>0</v>
      </c>
      <c r="G4521" s="564">
        <f t="shared" si="215"/>
        <v>2122961521</v>
      </c>
      <c r="H4521" s="532"/>
      <c r="I4521" s="532"/>
      <c r="J4521" s="532"/>
    </row>
    <row r="4522" spans="1:10" x14ac:dyDescent="0.25">
      <c r="A4522" s="362"/>
      <c r="B4522" s="611">
        <v>44376</v>
      </c>
      <c r="C4522" s="362" t="s">
        <v>86</v>
      </c>
      <c r="D4522" s="562">
        <v>161570857</v>
      </c>
      <c r="E4522" s="562">
        <v>95024412</v>
      </c>
      <c r="F4522" s="562">
        <v>256595000</v>
      </c>
      <c r="G4522" s="562">
        <f t="shared" si="213"/>
        <v>269</v>
      </c>
      <c r="H4522" s="362"/>
      <c r="I4522" s="362"/>
      <c r="J4522" s="362"/>
    </row>
    <row r="4523" spans="1:10" x14ac:dyDescent="0.25">
      <c r="A4523" s="362"/>
      <c r="B4523" s="611">
        <v>44376</v>
      </c>
      <c r="C4523" s="362" t="s">
        <v>87</v>
      </c>
      <c r="D4523" s="562">
        <v>67336103</v>
      </c>
      <c r="E4523" s="562">
        <v>86473580</v>
      </c>
      <c r="F4523" s="562">
        <v>153809700</v>
      </c>
      <c r="G4523" s="562">
        <f t="shared" si="213"/>
        <v>-17</v>
      </c>
      <c r="H4523" s="362"/>
      <c r="I4523" s="362"/>
      <c r="J4523" s="362"/>
    </row>
    <row r="4524" spans="1:10" x14ac:dyDescent="0.25">
      <c r="A4524" s="362"/>
      <c r="B4524" s="611">
        <v>44376</v>
      </c>
      <c r="C4524" s="362" t="s">
        <v>88</v>
      </c>
      <c r="D4524" s="562">
        <v>240325230</v>
      </c>
      <c r="E4524" s="562">
        <v>32490832</v>
      </c>
      <c r="F4524" s="562">
        <v>272816100</v>
      </c>
      <c r="G4524" s="562">
        <f t="shared" si="213"/>
        <v>-38</v>
      </c>
      <c r="H4524" s="362"/>
      <c r="I4524" s="362"/>
      <c r="J4524" s="362"/>
    </row>
    <row r="4525" spans="1:10" x14ac:dyDescent="0.25">
      <c r="A4525" s="362"/>
      <c r="B4525" s="611">
        <v>44376</v>
      </c>
      <c r="C4525" s="362" t="s">
        <v>82</v>
      </c>
      <c r="D4525" s="562">
        <v>70358144</v>
      </c>
      <c r="E4525" s="562">
        <v>2776391</v>
      </c>
      <c r="F4525" s="562">
        <v>73134600</v>
      </c>
      <c r="G4525" s="562">
        <f t="shared" si="213"/>
        <v>-65</v>
      </c>
      <c r="H4525" s="362"/>
      <c r="I4525" s="362"/>
      <c r="J4525" s="362"/>
    </row>
    <row r="4526" spans="1:10" x14ac:dyDescent="0.25">
      <c r="A4526" s="362"/>
      <c r="B4526" s="611">
        <v>44376</v>
      </c>
      <c r="C4526" s="362" t="s">
        <v>80</v>
      </c>
      <c r="D4526" s="562">
        <v>321712862</v>
      </c>
      <c r="E4526" s="562">
        <v>1903200</v>
      </c>
      <c r="F4526" s="562">
        <v>323616200</v>
      </c>
      <c r="G4526" s="562">
        <f t="shared" si="213"/>
        <v>-138</v>
      </c>
      <c r="H4526" s="362"/>
      <c r="I4526" s="362"/>
      <c r="J4526" s="362"/>
    </row>
    <row r="4527" spans="1:10" x14ac:dyDescent="0.25">
      <c r="A4527" s="362"/>
      <c r="B4527" s="611">
        <v>44376</v>
      </c>
      <c r="C4527" s="362" t="s">
        <v>83</v>
      </c>
      <c r="D4527" s="562">
        <v>268139101</v>
      </c>
      <c r="E4527" s="562">
        <v>19044977</v>
      </c>
      <c r="F4527" s="562">
        <v>287184100</v>
      </c>
      <c r="G4527" s="562">
        <f t="shared" si="213"/>
        <v>-22</v>
      </c>
      <c r="H4527" s="362"/>
      <c r="I4527" s="362"/>
      <c r="J4527" s="362"/>
    </row>
    <row r="4528" spans="1:10" x14ac:dyDescent="0.25">
      <c r="A4528" s="362"/>
      <c r="B4528" s="611">
        <v>44376</v>
      </c>
      <c r="C4528" s="362" t="s">
        <v>78</v>
      </c>
      <c r="D4528" s="562">
        <v>145323082</v>
      </c>
      <c r="E4528" s="562">
        <v>4119618</v>
      </c>
      <c r="F4528" s="562">
        <v>149442700</v>
      </c>
      <c r="G4528" s="562">
        <f t="shared" si="213"/>
        <v>0</v>
      </c>
      <c r="H4528" s="362"/>
      <c r="I4528" s="362"/>
      <c r="J4528" s="362"/>
    </row>
    <row r="4529" spans="1:10" x14ac:dyDescent="0.25">
      <c r="A4529" s="362"/>
      <c r="B4529" s="611">
        <v>44376</v>
      </c>
      <c r="C4529" s="362" t="s">
        <v>141</v>
      </c>
      <c r="D4529" s="562">
        <v>120942839</v>
      </c>
      <c r="E4529" s="562">
        <v>874169</v>
      </c>
      <c r="F4529" s="562">
        <v>121817100</v>
      </c>
      <c r="G4529" s="562">
        <f t="shared" si="213"/>
        <v>-92</v>
      </c>
      <c r="H4529" s="362"/>
      <c r="I4529" s="362"/>
      <c r="J4529" s="362"/>
    </row>
    <row r="4530" spans="1:10" x14ac:dyDescent="0.25">
      <c r="A4530" s="362"/>
      <c r="B4530" s="611">
        <v>44376</v>
      </c>
      <c r="C4530" s="362" t="s">
        <v>89</v>
      </c>
      <c r="D4530" s="562">
        <v>137080956</v>
      </c>
      <c r="E4530" s="562">
        <v>11607444</v>
      </c>
      <c r="F4530" s="562">
        <v>148688400</v>
      </c>
      <c r="G4530" s="562">
        <f t="shared" si="213"/>
        <v>0</v>
      </c>
      <c r="H4530" s="362"/>
      <c r="I4530" s="362"/>
      <c r="J4530" s="362"/>
    </row>
    <row r="4531" spans="1:10" x14ac:dyDescent="0.25">
      <c r="A4531" s="362"/>
      <c r="B4531" s="611">
        <v>44376</v>
      </c>
      <c r="C4531" s="362" t="s">
        <v>81</v>
      </c>
      <c r="D4531" s="562">
        <v>127321720</v>
      </c>
      <c r="E4531" s="562">
        <v>4231457</v>
      </c>
      <c r="F4531" s="562">
        <v>131553400</v>
      </c>
      <c r="G4531" s="562">
        <f t="shared" si="213"/>
        <v>-223</v>
      </c>
      <c r="H4531" s="362"/>
      <c r="I4531" s="362"/>
      <c r="J4531" s="362"/>
    </row>
    <row r="4532" spans="1:10" x14ac:dyDescent="0.25">
      <c r="A4532" s="362"/>
      <c r="B4532" s="611">
        <v>44376</v>
      </c>
      <c r="C4532" s="362" t="s">
        <v>84</v>
      </c>
      <c r="D4532" s="562">
        <v>193379052</v>
      </c>
      <c r="E4532" s="562">
        <v>14777379</v>
      </c>
      <c r="F4532" s="562">
        <v>208156500</v>
      </c>
      <c r="G4532" s="562">
        <f t="shared" si="213"/>
        <v>-69</v>
      </c>
      <c r="H4532" s="362"/>
      <c r="I4532" s="362"/>
      <c r="J4532" s="362"/>
    </row>
    <row r="4533" spans="1:10" x14ac:dyDescent="0.25">
      <c r="A4533" s="362"/>
      <c r="B4533" s="611">
        <v>44376</v>
      </c>
      <c r="C4533" s="362" t="s">
        <v>4751</v>
      </c>
      <c r="D4533" s="562">
        <v>267789847</v>
      </c>
      <c r="E4533" s="562">
        <v>8338753</v>
      </c>
      <c r="F4533" s="562">
        <v>276128600</v>
      </c>
      <c r="G4533" s="562">
        <f t="shared" si="213"/>
        <v>0</v>
      </c>
      <c r="H4533" s="362"/>
      <c r="I4533" s="362"/>
      <c r="J4533" s="362"/>
    </row>
    <row r="4534" spans="1:10" x14ac:dyDescent="0.25">
      <c r="A4534" s="362"/>
      <c r="B4534" s="611">
        <v>44376</v>
      </c>
      <c r="C4534" s="362" t="s">
        <v>166</v>
      </c>
      <c r="D4534" s="562">
        <v>85032800</v>
      </c>
      <c r="E4534" s="562"/>
      <c r="F4534" s="562">
        <v>85032800</v>
      </c>
      <c r="G4534" s="562">
        <f t="shared" si="213"/>
        <v>0</v>
      </c>
      <c r="H4534" s="362"/>
      <c r="I4534" s="362"/>
      <c r="J4534" s="362"/>
    </row>
    <row r="4535" spans="1:10" x14ac:dyDescent="0.25">
      <c r="A4535" s="362"/>
      <c r="B4535" s="611">
        <v>44376</v>
      </c>
      <c r="C4535" s="362" t="s">
        <v>3435</v>
      </c>
      <c r="D4535" s="562">
        <v>32324203</v>
      </c>
      <c r="E4535" s="562"/>
      <c r="F4535" s="562">
        <v>32324300</v>
      </c>
      <c r="G4535" s="562">
        <f t="shared" si="213"/>
        <v>-97</v>
      </c>
      <c r="H4535" s="362"/>
      <c r="I4535" s="362"/>
      <c r="J4535" s="362"/>
    </row>
    <row r="4536" spans="1:10" x14ac:dyDescent="0.25">
      <c r="A4536" s="362"/>
      <c r="B4536" s="611">
        <v>44376</v>
      </c>
      <c r="C4536" s="370" t="s">
        <v>85</v>
      </c>
      <c r="D4536" s="562">
        <v>30536400</v>
      </c>
      <c r="E4536" s="562"/>
      <c r="F4536" s="562">
        <v>30536400</v>
      </c>
      <c r="G4536" s="562">
        <f t="shared" si="213"/>
        <v>0</v>
      </c>
      <c r="H4536" s="362"/>
      <c r="I4536" s="362"/>
      <c r="J4536" s="362"/>
    </row>
    <row r="4537" spans="1:10" x14ac:dyDescent="0.25">
      <c r="A4537" s="532"/>
      <c r="B4537" s="532"/>
      <c r="C4537" s="532"/>
      <c r="D4537" s="564">
        <f>SUM(D4522:D4536)</f>
        <v>2269173196</v>
      </c>
      <c r="E4537" s="564">
        <f t="shared" ref="E4537:G4537" si="216">SUM(E4522:E4536)</f>
        <v>281662212</v>
      </c>
      <c r="F4537" s="564">
        <f t="shared" si="216"/>
        <v>2550835900</v>
      </c>
      <c r="G4537" s="564">
        <f t="shared" si="216"/>
        <v>-492</v>
      </c>
      <c r="H4537" s="532"/>
      <c r="I4537" s="532"/>
      <c r="J4537" s="532"/>
    </row>
    <row r="4538" spans="1:10" x14ac:dyDescent="0.25">
      <c r="A4538" s="362"/>
      <c r="B4538" s="611">
        <v>44377</v>
      </c>
      <c r="C4538" s="362" t="s">
        <v>86</v>
      </c>
      <c r="D4538" s="562">
        <v>125198363</v>
      </c>
      <c r="E4538" s="562">
        <v>35383542</v>
      </c>
      <c r="F4538" s="562"/>
      <c r="G4538" s="562">
        <f t="shared" si="213"/>
        <v>160581905</v>
      </c>
      <c r="H4538" s="362"/>
      <c r="I4538" s="362"/>
      <c r="J4538" s="362"/>
    </row>
    <row r="4539" spans="1:10" x14ac:dyDescent="0.25">
      <c r="A4539" s="362"/>
      <c r="B4539" s="611">
        <v>44377</v>
      </c>
      <c r="C4539" s="362" t="s">
        <v>87</v>
      </c>
      <c r="D4539" s="562">
        <v>82836876</v>
      </c>
      <c r="E4539" s="562">
        <v>90121455</v>
      </c>
      <c r="F4539" s="562"/>
      <c r="G4539" s="562">
        <f t="shared" si="213"/>
        <v>172958331</v>
      </c>
      <c r="H4539" s="362"/>
      <c r="I4539" s="362"/>
      <c r="J4539" s="362"/>
    </row>
    <row r="4540" spans="1:10" x14ac:dyDescent="0.25">
      <c r="A4540" s="362"/>
      <c r="B4540" s="611">
        <v>44377</v>
      </c>
      <c r="C4540" s="362" t="s">
        <v>88</v>
      </c>
      <c r="D4540" s="562">
        <v>120087211</v>
      </c>
      <c r="E4540" s="562">
        <v>67846618</v>
      </c>
      <c r="F4540" s="562"/>
      <c r="G4540" s="562">
        <f t="shared" si="213"/>
        <v>187933829</v>
      </c>
      <c r="H4540" s="362"/>
      <c r="I4540" s="362"/>
      <c r="J4540" s="362"/>
    </row>
    <row r="4541" spans="1:10" x14ac:dyDescent="0.25">
      <c r="A4541" s="362"/>
      <c r="B4541" s="611">
        <v>44377</v>
      </c>
      <c r="C4541" s="362" t="s">
        <v>82</v>
      </c>
      <c r="D4541" s="562">
        <v>118740545</v>
      </c>
      <c r="E4541" s="562">
        <v>2167116</v>
      </c>
      <c r="F4541" s="562"/>
      <c r="G4541" s="562">
        <f t="shared" si="213"/>
        <v>120907661</v>
      </c>
      <c r="H4541" s="362"/>
      <c r="I4541" s="362"/>
      <c r="J4541" s="362"/>
    </row>
    <row r="4542" spans="1:10" x14ac:dyDescent="0.25">
      <c r="A4542" s="362"/>
      <c r="B4542" s="611">
        <v>44377</v>
      </c>
      <c r="C4542" s="362" t="s">
        <v>80</v>
      </c>
      <c r="D4542" s="562">
        <v>405486269</v>
      </c>
      <c r="E4542" s="562">
        <v>16044731</v>
      </c>
      <c r="F4542" s="562"/>
      <c r="G4542" s="562">
        <f t="shared" si="213"/>
        <v>421531000</v>
      </c>
      <c r="H4542" s="362"/>
      <c r="I4542" s="362"/>
      <c r="J4542" s="362"/>
    </row>
    <row r="4543" spans="1:10" x14ac:dyDescent="0.25">
      <c r="A4543" s="362"/>
      <c r="B4543" s="611">
        <v>44377</v>
      </c>
      <c r="C4543" s="362" t="s">
        <v>83</v>
      </c>
      <c r="D4543" s="562">
        <v>140595264</v>
      </c>
      <c r="E4543" s="562">
        <v>80820282</v>
      </c>
      <c r="F4543" s="562"/>
      <c r="G4543" s="562">
        <f t="shared" si="213"/>
        <v>221415546</v>
      </c>
      <c r="H4543" s="362"/>
      <c r="I4543" s="362"/>
      <c r="J4543" s="362"/>
    </row>
    <row r="4544" spans="1:10" x14ac:dyDescent="0.25">
      <c r="A4544" s="362"/>
      <c r="B4544" s="611">
        <v>44377</v>
      </c>
      <c r="C4544" s="362" t="s">
        <v>78</v>
      </c>
      <c r="D4544" s="562">
        <v>100741888</v>
      </c>
      <c r="E4544" s="562">
        <v>2038112</v>
      </c>
      <c r="F4544" s="562"/>
      <c r="G4544" s="562">
        <f t="shared" si="213"/>
        <v>102780000</v>
      </c>
      <c r="H4544" s="362"/>
      <c r="I4544" s="362"/>
      <c r="J4544" s="362"/>
    </row>
    <row r="4545" spans="1:10" x14ac:dyDescent="0.25">
      <c r="A4545" s="362"/>
      <c r="B4545" s="611">
        <v>44377</v>
      </c>
      <c r="C4545" s="362" t="s">
        <v>141</v>
      </c>
      <c r="D4545" s="562">
        <v>40342948</v>
      </c>
      <c r="E4545" s="562">
        <v>10767052</v>
      </c>
      <c r="F4545" s="562"/>
      <c r="G4545" s="562">
        <f t="shared" si="213"/>
        <v>51110000</v>
      </c>
      <c r="H4545" s="362"/>
      <c r="I4545" s="362"/>
      <c r="J4545" s="362"/>
    </row>
    <row r="4546" spans="1:10" x14ac:dyDescent="0.25">
      <c r="A4546" s="362"/>
      <c r="B4546" s="611">
        <v>44377</v>
      </c>
      <c r="C4546" s="362" t="s">
        <v>89</v>
      </c>
      <c r="D4546" s="562">
        <v>110533663</v>
      </c>
      <c r="E4546" s="562">
        <v>11896337</v>
      </c>
      <c r="F4546" s="562"/>
      <c r="G4546" s="562">
        <f t="shared" si="213"/>
        <v>122430000</v>
      </c>
      <c r="H4546" s="362"/>
      <c r="I4546" s="362"/>
      <c r="J4546" s="362"/>
    </row>
    <row r="4547" spans="1:10" x14ac:dyDescent="0.25">
      <c r="A4547" s="362"/>
      <c r="B4547" s="611">
        <v>44377</v>
      </c>
      <c r="C4547" s="362" t="s">
        <v>81</v>
      </c>
      <c r="D4547" s="562">
        <v>128041437</v>
      </c>
      <c r="E4547" s="562">
        <v>5185000</v>
      </c>
      <c r="F4547" s="562"/>
      <c r="G4547" s="562">
        <f t="shared" si="213"/>
        <v>133226437</v>
      </c>
      <c r="H4547" s="362"/>
      <c r="I4547" s="362"/>
      <c r="J4547" s="362"/>
    </row>
    <row r="4548" spans="1:10" x14ac:dyDescent="0.25">
      <c r="A4548" s="362"/>
      <c r="B4548" s="611">
        <v>44377</v>
      </c>
      <c r="C4548" s="362" t="s">
        <v>84</v>
      </c>
      <c r="D4548" s="562">
        <v>209254573</v>
      </c>
      <c r="E4548" s="562">
        <v>8265191</v>
      </c>
      <c r="F4548" s="562"/>
      <c r="G4548" s="562">
        <f t="shared" si="213"/>
        <v>217519764</v>
      </c>
      <c r="H4548" s="362"/>
      <c r="I4548" s="362"/>
      <c r="J4548" s="362"/>
    </row>
    <row r="4549" spans="1:10" x14ac:dyDescent="0.25">
      <c r="A4549" s="362"/>
      <c r="B4549" s="611">
        <v>44377</v>
      </c>
      <c r="C4549" s="362" t="s">
        <v>4751</v>
      </c>
      <c r="D4549" s="562">
        <v>182289617</v>
      </c>
      <c r="E4549" s="562">
        <v>15479083</v>
      </c>
      <c r="F4549" s="562"/>
      <c r="G4549" s="562">
        <f t="shared" si="213"/>
        <v>197768700</v>
      </c>
      <c r="H4549" s="362"/>
      <c r="I4549" s="362"/>
      <c r="J4549" s="362"/>
    </row>
    <row r="4550" spans="1:10" x14ac:dyDescent="0.25">
      <c r="A4550" s="362"/>
      <c r="B4550" s="611">
        <v>44377</v>
      </c>
      <c r="C4550" s="362" t="s">
        <v>166</v>
      </c>
      <c r="D4550" s="562">
        <v>112684975</v>
      </c>
      <c r="E4550" s="562"/>
      <c r="F4550" s="562"/>
      <c r="G4550" s="562">
        <f t="shared" si="213"/>
        <v>112684975</v>
      </c>
      <c r="H4550" s="362"/>
      <c r="I4550" s="362"/>
      <c r="J4550" s="362"/>
    </row>
    <row r="4551" spans="1:10" x14ac:dyDescent="0.25">
      <c r="A4551" s="362"/>
      <c r="B4551" s="611">
        <v>44377</v>
      </c>
      <c r="C4551" s="362" t="s">
        <v>3435</v>
      </c>
      <c r="D4551" s="562">
        <v>64848035</v>
      </c>
      <c r="E4551" s="562"/>
      <c r="F4551" s="562"/>
      <c r="G4551" s="562">
        <f t="shared" si="213"/>
        <v>64848035</v>
      </c>
      <c r="H4551" s="362"/>
      <c r="I4551" s="362"/>
      <c r="J4551" s="362"/>
    </row>
    <row r="4552" spans="1:10" x14ac:dyDescent="0.25">
      <c r="A4552" s="362"/>
      <c r="B4552" s="611">
        <v>44377</v>
      </c>
      <c r="C4552" s="370" t="s">
        <v>85</v>
      </c>
      <c r="D4552" s="562">
        <v>36529600</v>
      </c>
      <c r="E4552" s="562"/>
      <c r="F4552" s="562"/>
      <c r="G4552" s="562">
        <f t="shared" si="213"/>
        <v>36529600</v>
      </c>
      <c r="H4552" s="362"/>
      <c r="I4552" s="362"/>
      <c r="J4552" s="362"/>
    </row>
    <row r="4553" spans="1:10" x14ac:dyDescent="0.25">
      <c r="A4553" s="532"/>
      <c r="B4553" s="587"/>
      <c r="C4553" s="532"/>
      <c r="D4553" s="564">
        <f>SUM(D4538:D4552)</f>
        <v>1978211264</v>
      </c>
      <c r="E4553" s="564">
        <f t="shared" ref="E4553:G4553" si="217">SUM(E4538:E4552)</f>
        <v>346014519</v>
      </c>
      <c r="F4553" s="564">
        <f t="shared" si="217"/>
        <v>0</v>
      </c>
      <c r="G4553" s="564">
        <f t="shared" si="217"/>
        <v>2324225783</v>
      </c>
      <c r="H4553" s="532"/>
      <c r="I4553" s="532"/>
      <c r="J4553" s="532"/>
    </row>
    <row r="4554" spans="1:10" x14ac:dyDescent="0.25">
      <c r="A4554" s="362"/>
      <c r="B4554" s="611">
        <v>44378</v>
      </c>
      <c r="C4554" s="362" t="s">
        <v>86</v>
      </c>
      <c r="D4554" s="562">
        <v>173341313</v>
      </c>
      <c r="E4554" s="562">
        <v>141604187</v>
      </c>
      <c r="F4554" s="562"/>
      <c r="G4554" s="562">
        <f t="shared" si="213"/>
        <v>314945500</v>
      </c>
      <c r="H4554" s="362"/>
      <c r="I4554" s="362"/>
      <c r="J4554" s="362"/>
    </row>
    <row r="4555" spans="1:10" x14ac:dyDescent="0.25">
      <c r="A4555" s="362"/>
      <c r="B4555" s="611">
        <v>44378</v>
      </c>
      <c r="C4555" s="362" t="s">
        <v>87</v>
      </c>
      <c r="D4555" s="562">
        <v>67030660</v>
      </c>
      <c r="E4555" s="562">
        <v>43647601</v>
      </c>
      <c r="F4555" s="562"/>
      <c r="G4555" s="562">
        <f t="shared" si="213"/>
        <v>110678261</v>
      </c>
      <c r="H4555" s="362"/>
      <c r="I4555" s="362"/>
      <c r="J4555" s="362"/>
    </row>
    <row r="4556" spans="1:10" x14ac:dyDescent="0.25">
      <c r="A4556" s="362"/>
      <c r="B4556" s="611">
        <v>44378</v>
      </c>
      <c r="C4556" s="362" t="s">
        <v>88</v>
      </c>
      <c r="D4556" s="562">
        <v>279809114</v>
      </c>
      <c r="E4556" s="562">
        <v>70950612</v>
      </c>
      <c r="F4556" s="562"/>
      <c r="G4556" s="562">
        <f t="shared" ref="G4556:G4619" si="218">D4556+E4556-F4556</f>
        <v>350759726</v>
      </c>
      <c r="H4556" s="362"/>
      <c r="I4556" s="362"/>
      <c r="J4556" s="362"/>
    </row>
    <row r="4557" spans="1:10" x14ac:dyDescent="0.25">
      <c r="A4557" s="362"/>
      <c r="B4557" s="611">
        <v>44378</v>
      </c>
      <c r="C4557" s="362" t="s">
        <v>82</v>
      </c>
      <c r="D4557" s="562">
        <v>98878759</v>
      </c>
      <c r="E4557" s="562">
        <v>6607168</v>
      </c>
      <c r="F4557" s="562"/>
      <c r="G4557" s="562">
        <f t="shared" si="218"/>
        <v>105485927</v>
      </c>
      <c r="H4557" s="362"/>
      <c r="I4557" s="362"/>
      <c r="J4557" s="362"/>
    </row>
    <row r="4558" spans="1:10" x14ac:dyDescent="0.25">
      <c r="A4558" s="362"/>
      <c r="B4558" s="611">
        <v>44378</v>
      </c>
      <c r="C4558" s="362" t="s">
        <v>80</v>
      </c>
      <c r="D4558" s="562">
        <v>232899818</v>
      </c>
      <c r="E4558" s="562"/>
      <c r="F4558" s="562"/>
      <c r="G4558" s="562">
        <f t="shared" si="218"/>
        <v>232899818</v>
      </c>
      <c r="H4558" s="362"/>
      <c r="I4558" s="362"/>
      <c r="J4558" s="362"/>
    </row>
    <row r="4559" spans="1:10" x14ac:dyDescent="0.25">
      <c r="A4559" s="362"/>
      <c r="B4559" s="611">
        <v>44378</v>
      </c>
      <c r="C4559" s="362" t="s">
        <v>83</v>
      </c>
      <c r="D4559" s="562">
        <v>237811265</v>
      </c>
      <c r="E4559" s="562">
        <v>60188025</v>
      </c>
      <c r="F4559" s="562"/>
      <c r="G4559" s="562">
        <f t="shared" si="218"/>
        <v>297999290</v>
      </c>
      <c r="H4559" s="362"/>
      <c r="I4559" s="362"/>
      <c r="J4559" s="362"/>
    </row>
    <row r="4560" spans="1:10" x14ac:dyDescent="0.25">
      <c r="A4560" s="362"/>
      <c r="B4560" s="611">
        <v>44378</v>
      </c>
      <c r="C4560" s="362" t="s">
        <v>78</v>
      </c>
      <c r="D4560" s="562">
        <v>130920985</v>
      </c>
      <c r="E4560" s="562">
        <v>2543015</v>
      </c>
      <c r="F4560" s="562"/>
      <c r="G4560" s="562">
        <f t="shared" si="218"/>
        <v>133464000</v>
      </c>
      <c r="H4560" s="362"/>
      <c r="I4560" s="362"/>
      <c r="J4560" s="362"/>
    </row>
    <row r="4561" spans="1:10" x14ac:dyDescent="0.25">
      <c r="A4561" s="362"/>
      <c r="B4561" s="611">
        <v>44378</v>
      </c>
      <c r="C4561" s="362" t="s">
        <v>141</v>
      </c>
      <c r="D4561" s="562">
        <v>108798972</v>
      </c>
      <c r="E4561" s="562">
        <v>947989</v>
      </c>
      <c r="F4561" s="562"/>
      <c r="G4561" s="562">
        <f t="shared" si="218"/>
        <v>109746961</v>
      </c>
      <c r="H4561" s="362"/>
      <c r="I4561" s="362"/>
      <c r="J4561" s="362"/>
    </row>
    <row r="4562" spans="1:10" x14ac:dyDescent="0.25">
      <c r="A4562" s="362"/>
      <c r="B4562" s="611">
        <v>44378</v>
      </c>
      <c r="C4562" s="362" t="s">
        <v>89</v>
      </c>
      <c r="D4562" s="562">
        <v>148934574</v>
      </c>
      <c r="E4562" s="562">
        <v>14518126</v>
      </c>
      <c r="F4562" s="562"/>
      <c r="G4562" s="562">
        <f t="shared" si="218"/>
        <v>163452700</v>
      </c>
      <c r="H4562" s="362"/>
      <c r="I4562" s="362"/>
      <c r="J4562" s="362"/>
    </row>
    <row r="4563" spans="1:10" x14ac:dyDescent="0.25">
      <c r="A4563" s="362"/>
      <c r="B4563" s="611">
        <v>44378</v>
      </c>
      <c r="C4563" s="362" t="s">
        <v>81</v>
      </c>
      <c r="D4563" s="562">
        <v>69469832</v>
      </c>
      <c r="E4563" s="562">
        <v>23566029</v>
      </c>
      <c r="F4563" s="562"/>
      <c r="G4563" s="562">
        <f t="shared" si="218"/>
        <v>93035861</v>
      </c>
      <c r="H4563" s="362"/>
      <c r="I4563" s="362"/>
      <c r="J4563" s="362"/>
    </row>
    <row r="4564" spans="1:10" x14ac:dyDescent="0.25">
      <c r="A4564" s="362"/>
      <c r="B4564" s="611">
        <v>44378</v>
      </c>
      <c r="C4564" s="362" t="s">
        <v>84</v>
      </c>
      <c r="D4564" s="562">
        <v>409314682</v>
      </c>
      <c r="E4564" s="562">
        <v>15300301</v>
      </c>
      <c r="F4564" s="562"/>
      <c r="G4564" s="562">
        <f t="shared" si="218"/>
        <v>424614983</v>
      </c>
      <c r="H4564" s="362"/>
      <c r="I4564" s="362"/>
      <c r="J4564" s="362"/>
    </row>
    <row r="4565" spans="1:10" x14ac:dyDescent="0.25">
      <c r="A4565" s="362"/>
      <c r="B4565" s="611">
        <v>44378</v>
      </c>
      <c r="C4565" s="362" t="s">
        <v>4751</v>
      </c>
      <c r="D4565" s="562">
        <v>287795460</v>
      </c>
      <c r="E4565" s="562">
        <v>10661040</v>
      </c>
      <c r="F4565" s="562"/>
      <c r="G4565" s="562">
        <f t="shared" si="218"/>
        <v>298456500</v>
      </c>
      <c r="H4565" s="362"/>
      <c r="I4565" s="362"/>
      <c r="J4565" s="362"/>
    </row>
    <row r="4566" spans="1:10" x14ac:dyDescent="0.25">
      <c r="A4566" s="362"/>
      <c r="B4566" s="611">
        <v>44378</v>
      </c>
      <c r="C4566" s="362" t="s">
        <v>166</v>
      </c>
      <c r="D4566" s="562">
        <v>73037331</v>
      </c>
      <c r="E4566" s="562"/>
      <c r="F4566" s="562"/>
      <c r="G4566" s="562">
        <f t="shared" si="218"/>
        <v>73037331</v>
      </c>
      <c r="H4566" s="362"/>
      <c r="I4566" s="362"/>
      <c r="J4566" s="362"/>
    </row>
    <row r="4567" spans="1:10" x14ac:dyDescent="0.25">
      <c r="A4567" s="362"/>
      <c r="B4567" s="611">
        <v>44378</v>
      </c>
      <c r="C4567" s="362" t="s">
        <v>3435</v>
      </c>
      <c r="D4567" s="562">
        <v>54478785</v>
      </c>
      <c r="E4567" s="562"/>
      <c r="F4567" s="562"/>
      <c r="G4567" s="562">
        <f t="shared" si="218"/>
        <v>54478785</v>
      </c>
      <c r="H4567" s="362"/>
      <c r="I4567" s="362"/>
      <c r="J4567" s="362"/>
    </row>
    <row r="4568" spans="1:10" x14ac:dyDescent="0.25">
      <c r="A4568" s="362"/>
      <c r="B4568" s="611">
        <v>44378</v>
      </c>
      <c r="C4568" s="370" t="s">
        <v>85</v>
      </c>
      <c r="D4568" s="562">
        <v>24587200</v>
      </c>
      <c r="E4568" s="562"/>
      <c r="F4568" s="562"/>
      <c r="G4568" s="562">
        <f t="shared" si="218"/>
        <v>24587200</v>
      </c>
      <c r="H4568" s="362"/>
      <c r="I4568" s="362"/>
      <c r="J4568" s="362"/>
    </row>
    <row r="4569" spans="1:10" x14ac:dyDescent="0.25">
      <c r="A4569" s="532"/>
      <c r="B4569" s="532"/>
      <c r="C4569" s="532"/>
      <c r="D4569" s="564">
        <f>SUM(D4554:D4568)</f>
        <v>2397108750</v>
      </c>
      <c r="E4569" s="564">
        <f t="shared" ref="E4569:G4569" si="219">SUM(E4554:E4568)</f>
        <v>390534093</v>
      </c>
      <c r="F4569" s="564">
        <f t="shared" si="219"/>
        <v>0</v>
      </c>
      <c r="G4569" s="564">
        <f t="shared" si="219"/>
        <v>2787642843</v>
      </c>
      <c r="H4569" s="532"/>
      <c r="I4569" s="532"/>
      <c r="J4569" s="532"/>
    </row>
    <row r="4570" spans="1:10" x14ac:dyDescent="0.25">
      <c r="A4570" s="362"/>
      <c r="B4570" s="611">
        <v>44379</v>
      </c>
      <c r="C4570" s="362" t="s">
        <v>86</v>
      </c>
      <c r="D4570" s="562">
        <v>38636068</v>
      </c>
      <c r="E4570" s="562">
        <v>117508048</v>
      </c>
      <c r="F4570" s="562">
        <v>156144000</v>
      </c>
      <c r="G4570" s="562">
        <f t="shared" si="218"/>
        <v>116</v>
      </c>
      <c r="H4570" s="362"/>
      <c r="I4570" s="362"/>
      <c r="J4570" s="362"/>
    </row>
    <row r="4571" spans="1:10" x14ac:dyDescent="0.25">
      <c r="A4571" s="362"/>
      <c r="B4571" s="611">
        <v>44379</v>
      </c>
      <c r="C4571" s="362" t="s">
        <v>87</v>
      </c>
      <c r="D4571" s="562">
        <v>65166568</v>
      </c>
      <c r="E4571" s="562">
        <v>120436335</v>
      </c>
      <c r="F4571" s="562">
        <v>185602900</v>
      </c>
      <c r="G4571" s="562">
        <f t="shared" si="218"/>
        <v>3</v>
      </c>
      <c r="H4571" s="362"/>
      <c r="I4571" s="362"/>
      <c r="J4571" s="362"/>
    </row>
    <row r="4572" spans="1:10" x14ac:dyDescent="0.25">
      <c r="A4572" s="362"/>
      <c r="B4572" s="611">
        <v>44379</v>
      </c>
      <c r="C4572" s="362" t="s">
        <v>88</v>
      </c>
      <c r="D4572" s="562">
        <v>166816108</v>
      </c>
      <c r="E4572" s="562">
        <v>73917021</v>
      </c>
      <c r="F4572" s="562">
        <v>240733200</v>
      </c>
      <c r="G4572" s="562">
        <f t="shared" si="218"/>
        <v>-71</v>
      </c>
      <c r="H4572" s="362"/>
      <c r="I4572" s="362"/>
      <c r="J4572" s="362"/>
    </row>
    <row r="4573" spans="1:10" x14ac:dyDescent="0.25">
      <c r="A4573" s="362"/>
      <c r="B4573" s="611">
        <v>44379</v>
      </c>
      <c r="C4573" s="362" t="s">
        <v>82</v>
      </c>
      <c r="D4573" s="562">
        <v>112721532</v>
      </c>
      <c r="E4573" s="562">
        <v>3328937</v>
      </c>
      <c r="F4573" s="562">
        <v>116050400</v>
      </c>
      <c r="G4573" s="562">
        <f t="shared" si="218"/>
        <v>69</v>
      </c>
      <c r="H4573" s="362"/>
      <c r="I4573" s="362"/>
      <c r="J4573" s="362"/>
    </row>
    <row r="4574" spans="1:10" x14ac:dyDescent="0.25">
      <c r="A4574" s="362"/>
      <c r="B4574" s="611">
        <v>44379</v>
      </c>
      <c r="C4574" s="362" t="s">
        <v>80</v>
      </c>
      <c r="D4574" s="562">
        <v>142304756</v>
      </c>
      <c r="E4574" s="562"/>
      <c r="F4574" s="562">
        <v>142304800</v>
      </c>
      <c r="G4574" s="562">
        <f t="shared" si="218"/>
        <v>-44</v>
      </c>
      <c r="H4574" s="362"/>
      <c r="I4574" s="362"/>
      <c r="J4574" s="362"/>
    </row>
    <row r="4575" spans="1:10" x14ac:dyDescent="0.25">
      <c r="A4575" s="362"/>
      <c r="B4575" s="611">
        <v>44379</v>
      </c>
      <c r="C4575" s="362" t="s">
        <v>83</v>
      </c>
      <c r="D4575" s="562">
        <v>213373922</v>
      </c>
      <c r="E4575" s="562">
        <v>6420056</v>
      </c>
      <c r="F4575" s="562">
        <v>219794000</v>
      </c>
      <c r="G4575" s="562">
        <f t="shared" si="218"/>
        <v>-22</v>
      </c>
      <c r="H4575" s="362"/>
      <c r="I4575" s="362"/>
      <c r="J4575" s="362"/>
    </row>
    <row r="4576" spans="1:10" x14ac:dyDescent="0.25">
      <c r="A4576" s="362"/>
      <c r="B4576" s="611">
        <v>44379</v>
      </c>
      <c r="C4576" s="362" t="s">
        <v>78</v>
      </c>
      <c r="D4576" s="562">
        <v>97275725</v>
      </c>
      <c r="E4576" s="562">
        <v>4325075</v>
      </c>
      <c r="F4576" s="562">
        <v>101600800</v>
      </c>
      <c r="G4576" s="562">
        <f t="shared" si="218"/>
        <v>0</v>
      </c>
      <c r="H4576" s="362"/>
      <c r="I4576" s="362"/>
      <c r="J4576" s="362"/>
    </row>
    <row r="4577" spans="1:10" x14ac:dyDescent="0.25">
      <c r="A4577" s="362"/>
      <c r="B4577" s="611">
        <v>44379</v>
      </c>
      <c r="C4577" s="362" t="s">
        <v>141</v>
      </c>
      <c r="D4577" s="562">
        <v>59555215</v>
      </c>
      <c r="E4577" s="562">
        <v>3841032</v>
      </c>
      <c r="F4577" s="562">
        <v>63396300</v>
      </c>
      <c r="G4577" s="562">
        <f t="shared" si="218"/>
        <v>-53</v>
      </c>
      <c r="H4577" s="362"/>
      <c r="I4577" s="362"/>
      <c r="J4577" s="362"/>
    </row>
    <row r="4578" spans="1:10" x14ac:dyDescent="0.25">
      <c r="A4578" s="362"/>
      <c r="B4578" s="611">
        <v>44379</v>
      </c>
      <c r="C4578" s="362" t="s">
        <v>89</v>
      </c>
      <c r="D4578" s="562">
        <v>126273075</v>
      </c>
      <c r="E4578" s="562">
        <v>16345725</v>
      </c>
      <c r="F4578" s="562">
        <v>142618800</v>
      </c>
      <c r="G4578" s="562">
        <f t="shared" si="218"/>
        <v>0</v>
      </c>
      <c r="H4578" s="362"/>
      <c r="I4578" s="362"/>
      <c r="J4578" s="362"/>
    </row>
    <row r="4579" spans="1:10" x14ac:dyDescent="0.25">
      <c r="A4579" s="362"/>
      <c r="B4579" s="611">
        <v>44379</v>
      </c>
      <c r="C4579" s="362" t="s">
        <v>81</v>
      </c>
      <c r="D4579" s="562">
        <v>51446117</v>
      </c>
      <c r="E4579" s="562">
        <v>5931027</v>
      </c>
      <c r="F4579" s="562">
        <v>57377200</v>
      </c>
      <c r="G4579" s="562">
        <f t="shared" si="218"/>
        <v>-56</v>
      </c>
      <c r="H4579" s="362"/>
      <c r="I4579" s="362"/>
      <c r="J4579" s="362"/>
    </row>
    <row r="4580" spans="1:10" x14ac:dyDescent="0.25">
      <c r="A4580" s="362"/>
      <c r="B4580" s="611">
        <v>44379</v>
      </c>
      <c r="C4580" s="362" t="s">
        <v>84</v>
      </c>
      <c r="D4580" s="562">
        <v>199783308</v>
      </c>
      <c r="E4580" s="562">
        <v>7527233</v>
      </c>
      <c r="F4580" s="562">
        <v>207310600</v>
      </c>
      <c r="G4580" s="562">
        <f t="shared" si="218"/>
        <v>-59</v>
      </c>
      <c r="H4580" s="362"/>
      <c r="I4580" s="362"/>
      <c r="J4580" s="362"/>
    </row>
    <row r="4581" spans="1:10" x14ac:dyDescent="0.25">
      <c r="A4581" s="362"/>
      <c r="B4581" s="611">
        <v>44379</v>
      </c>
      <c r="C4581" s="362" t="s">
        <v>4751</v>
      </c>
      <c r="D4581" s="562">
        <v>176236137</v>
      </c>
      <c r="E4581" s="562">
        <v>14371563</v>
      </c>
      <c r="F4581" s="562">
        <v>190607700</v>
      </c>
      <c r="G4581" s="562">
        <f t="shared" si="218"/>
        <v>0</v>
      </c>
      <c r="H4581" s="362"/>
      <c r="I4581" s="362"/>
      <c r="J4581" s="362"/>
    </row>
    <row r="4582" spans="1:10" x14ac:dyDescent="0.25">
      <c r="A4582" s="362"/>
      <c r="B4582" s="611">
        <v>44379</v>
      </c>
      <c r="C4582" s="362" t="s">
        <v>166</v>
      </c>
      <c r="D4582" s="562">
        <v>51709296</v>
      </c>
      <c r="E4582" s="562"/>
      <c r="F4582" s="562">
        <v>51709300</v>
      </c>
      <c r="G4582" s="562">
        <f t="shared" si="218"/>
        <v>-4</v>
      </c>
      <c r="H4582" s="362"/>
      <c r="I4582" s="362"/>
      <c r="J4582" s="362"/>
    </row>
    <row r="4583" spans="1:10" x14ac:dyDescent="0.25">
      <c r="A4583" s="362"/>
      <c r="B4583" s="611">
        <v>44379</v>
      </c>
      <c r="C4583" s="362" t="s">
        <v>3435</v>
      </c>
      <c r="D4583" s="562">
        <v>46316952</v>
      </c>
      <c r="E4583" s="562"/>
      <c r="F4583" s="562">
        <v>46317000</v>
      </c>
      <c r="G4583" s="562">
        <f t="shared" si="218"/>
        <v>-48</v>
      </c>
      <c r="H4583" s="362"/>
      <c r="I4583" s="362"/>
      <c r="J4583" s="362"/>
    </row>
    <row r="4584" spans="1:10" x14ac:dyDescent="0.25">
      <c r="A4584" s="362"/>
      <c r="B4584" s="611">
        <v>44379</v>
      </c>
      <c r="C4584" s="370" t="s">
        <v>85</v>
      </c>
      <c r="D4584" s="562">
        <v>23880700</v>
      </c>
      <c r="E4584" s="562"/>
      <c r="F4584" s="562">
        <v>23880700</v>
      </c>
      <c r="G4584" s="562">
        <f t="shared" si="218"/>
        <v>0</v>
      </c>
      <c r="H4584" s="362"/>
      <c r="I4584" s="362"/>
      <c r="J4584" s="362"/>
    </row>
    <row r="4585" spans="1:10" x14ac:dyDescent="0.25">
      <c r="A4585" s="532"/>
      <c r="B4585" s="532"/>
      <c r="C4585" s="532"/>
      <c r="D4585" s="564"/>
      <c r="E4585" s="564"/>
      <c r="F4585" s="564"/>
      <c r="G4585" s="564"/>
      <c r="H4585" s="532"/>
      <c r="I4585" s="532"/>
      <c r="J4585" s="532"/>
    </row>
    <row r="4586" spans="1:10" x14ac:dyDescent="0.25">
      <c r="A4586" s="362"/>
      <c r="B4586" s="611">
        <v>44380</v>
      </c>
      <c r="C4586" s="362" t="s">
        <v>86</v>
      </c>
      <c r="D4586" s="562">
        <v>54804058</v>
      </c>
      <c r="E4586" s="562">
        <v>33335294</v>
      </c>
      <c r="F4586" s="562"/>
      <c r="G4586" s="562">
        <f t="shared" si="218"/>
        <v>88139352</v>
      </c>
      <c r="H4586" s="362"/>
      <c r="I4586" s="362"/>
      <c r="J4586" s="362"/>
    </row>
    <row r="4587" spans="1:10" x14ac:dyDescent="0.25">
      <c r="A4587" s="362"/>
      <c r="B4587" s="611">
        <v>44380</v>
      </c>
      <c r="C4587" s="362" t="s">
        <v>87</v>
      </c>
      <c r="D4587" s="562">
        <v>66157319</v>
      </c>
      <c r="E4587" s="562">
        <v>213406135</v>
      </c>
      <c r="F4587" s="562"/>
      <c r="G4587" s="562">
        <f t="shared" si="218"/>
        <v>279563454</v>
      </c>
      <c r="H4587" s="362"/>
      <c r="I4587" s="362"/>
      <c r="J4587" s="362"/>
    </row>
    <row r="4588" spans="1:10" x14ac:dyDescent="0.25">
      <c r="A4588" s="362"/>
      <c r="B4588" s="611">
        <v>44380</v>
      </c>
      <c r="C4588" s="362" t="s">
        <v>88</v>
      </c>
      <c r="D4588" s="562">
        <v>240039950</v>
      </c>
      <c r="E4588" s="562">
        <v>34689684</v>
      </c>
      <c r="F4588" s="562"/>
      <c r="G4588" s="562">
        <f t="shared" si="218"/>
        <v>274729634</v>
      </c>
      <c r="H4588" s="362"/>
      <c r="I4588" s="362"/>
      <c r="J4588" s="362"/>
    </row>
    <row r="4589" spans="1:10" x14ac:dyDescent="0.25">
      <c r="A4589" s="362"/>
      <c r="B4589" s="611">
        <v>44380</v>
      </c>
      <c r="C4589" s="362" t="s">
        <v>82</v>
      </c>
      <c r="D4589" s="562">
        <v>37103062</v>
      </c>
      <c r="E4589" s="562">
        <v>4275000</v>
      </c>
      <c r="F4589" s="562"/>
      <c r="G4589" s="562">
        <f t="shared" si="218"/>
        <v>41378062</v>
      </c>
      <c r="H4589" s="362"/>
      <c r="I4589" s="362"/>
      <c r="J4589" s="362"/>
    </row>
    <row r="4590" spans="1:10" x14ac:dyDescent="0.25">
      <c r="A4590" s="362"/>
      <c r="B4590" s="611">
        <v>44380</v>
      </c>
      <c r="C4590" s="362" t="s">
        <v>80</v>
      </c>
      <c r="D4590" s="562">
        <v>250139438</v>
      </c>
      <c r="E4590" s="562">
        <v>11027806</v>
      </c>
      <c r="F4590" s="562"/>
      <c r="G4590" s="562">
        <f t="shared" si="218"/>
        <v>261167244</v>
      </c>
      <c r="H4590" s="362"/>
      <c r="I4590" s="362"/>
      <c r="J4590" s="362"/>
    </row>
    <row r="4591" spans="1:10" x14ac:dyDescent="0.25">
      <c r="A4591" s="362"/>
      <c r="B4591" s="611">
        <v>44380</v>
      </c>
      <c r="C4591" s="362" t="s">
        <v>83</v>
      </c>
      <c r="D4591" s="562">
        <v>189922926</v>
      </c>
      <c r="E4591" s="562">
        <v>21015274</v>
      </c>
      <c r="F4591" s="562"/>
      <c r="G4591" s="562">
        <f t="shared" si="218"/>
        <v>210938200</v>
      </c>
      <c r="H4591" s="362"/>
      <c r="I4591" s="362"/>
      <c r="J4591" s="362"/>
    </row>
    <row r="4592" spans="1:10" x14ac:dyDescent="0.25">
      <c r="A4592" s="362"/>
      <c r="B4592" s="611">
        <v>44380</v>
      </c>
      <c r="C4592" s="362" t="s">
        <v>78</v>
      </c>
      <c r="D4592" s="562">
        <v>135961844</v>
      </c>
      <c r="E4592" s="562">
        <v>1529256</v>
      </c>
      <c r="F4592" s="562"/>
      <c r="G4592" s="562">
        <f t="shared" si="218"/>
        <v>137491100</v>
      </c>
      <c r="H4592" s="362"/>
      <c r="I4592" s="362"/>
      <c r="J4592" s="362"/>
    </row>
    <row r="4593" spans="1:10" x14ac:dyDescent="0.25">
      <c r="A4593" s="362"/>
      <c r="B4593" s="611">
        <v>44380</v>
      </c>
      <c r="C4593" s="362" t="s">
        <v>141</v>
      </c>
      <c r="D4593" s="562">
        <v>36562852</v>
      </c>
      <c r="E4593" s="562">
        <v>13755745</v>
      </c>
      <c r="F4593" s="562"/>
      <c r="G4593" s="562">
        <f t="shared" si="218"/>
        <v>50318597</v>
      </c>
      <c r="H4593" s="362"/>
      <c r="I4593" s="362"/>
      <c r="J4593" s="362"/>
    </row>
    <row r="4594" spans="1:10" x14ac:dyDescent="0.25">
      <c r="A4594" s="362"/>
      <c r="B4594" s="611">
        <v>44380</v>
      </c>
      <c r="C4594" s="362" t="s">
        <v>89</v>
      </c>
      <c r="D4594" s="562">
        <v>117601373</v>
      </c>
      <c r="E4594" s="562">
        <v>31415127</v>
      </c>
      <c r="F4594" s="562"/>
      <c r="G4594" s="562">
        <f t="shared" si="218"/>
        <v>149016500</v>
      </c>
      <c r="H4594" s="362"/>
      <c r="I4594" s="362"/>
      <c r="J4594" s="362"/>
    </row>
    <row r="4595" spans="1:10" x14ac:dyDescent="0.25">
      <c r="A4595" s="362"/>
      <c r="B4595" s="611">
        <v>44380</v>
      </c>
      <c r="C4595" s="362" t="s">
        <v>81</v>
      </c>
      <c r="D4595" s="562">
        <v>166963189</v>
      </c>
      <c r="E4595" s="562">
        <v>54903932</v>
      </c>
      <c r="F4595" s="562"/>
      <c r="G4595" s="562">
        <f t="shared" si="218"/>
        <v>221867121</v>
      </c>
      <c r="H4595" s="362"/>
      <c r="I4595" s="362"/>
      <c r="J4595" s="362"/>
    </row>
    <row r="4596" spans="1:10" x14ac:dyDescent="0.25">
      <c r="A4596" s="362"/>
      <c r="B4596" s="611">
        <v>44380</v>
      </c>
      <c r="C4596" s="362" t="s">
        <v>84</v>
      </c>
      <c r="D4596" s="562">
        <v>390693807</v>
      </c>
      <c r="E4596" s="562">
        <v>18380737</v>
      </c>
      <c r="F4596" s="562"/>
      <c r="G4596" s="562">
        <f t="shared" si="218"/>
        <v>409074544</v>
      </c>
      <c r="H4596" s="362"/>
      <c r="I4596" s="362"/>
      <c r="J4596" s="362"/>
    </row>
    <row r="4597" spans="1:10" x14ac:dyDescent="0.25">
      <c r="A4597" s="362"/>
      <c r="B4597" s="611">
        <v>44380</v>
      </c>
      <c r="C4597" s="362" t="s">
        <v>4751</v>
      </c>
      <c r="D4597" s="562">
        <v>261826361</v>
      </c>
      <c r="E4597" s="562">
        <v>14863939</v>
      </c>
      <c r="F4597" s="562"/>
      <c r="G4597" s="562">
        <f t="shared" si="218"/>
        <v>276690300</v>
      </c>
      <c r="H4597" s="362"/>
      <c r="I4597" s="362"/>
      <c r="J4597" s="362"/>
    </row>
    <row r="4598" spans="1:10" x14ac:dyDescent="0.25">
      <c r="A4598" s="362"/>
      <c r="B4598" s="611">
        <v>44380</v>
      </c>
      <c r="C4598" s="362" t="s">
        <v>166</v>
      </c>
      <c r="D4598" s="562"/>
      <c r="E4598" s="562"/>
      <c r="F4598" s="562"/>
      <c r="G4598" s="562">
        <f t="shared" si="218"/>
        <v>0</v>
      </c>
      <c r="H4598" s="362"/>
      <c r="I4598" s="362"/>
      <c r="J4598" s="362"/>
    </row>
    <row r="4599" spans="1:10" x14ac:dyDescent="0.25">
      <c r="A4599" s="362"/>
      <c r="B4599" s="611">
        <v>44380</v>
      </c>
      <c r="C4599" s="362" t="s">
        <v>3435</v>
      </c>
      <c r="D4599" s="562"/>
      <c r="E4599" s="562"/>
      <c r="F4599" s="562"/>
      <c r="G4599" s="562">
        <f t="shared" si="218"/>
        <v>0</v>
      </c>
      <c r="H4599" s="362"/>
      <c r="I4599" s="362"/>
      <c r="J4599" s="362"/>
    </row>
    <row r="4600" spans="1:10" x14ac:dyDescent="0.25">
      <c r="A4600" s="362"/>
      <c r="B4600" s="611">
        <v>44380</v>
      </c>
      <c r="C4600" s="370" t="s">
        <v>85</v>
      </c>
      <c r="D4600" s="562">
        <v>22859900</v>
      </c>
      <c r="E4600" s="562"/>
      <c r="F4600" s="562"/>
      <c r="G4600" s="562">
        <f t="shared" si="218"/>
        <v>22859900</v>
      </c>
      <c r="H4600" s="362"/>
      <c r="I4600" s="362"/>
      <c r="J4600" s="362"/>
    </row>
    <row r="4601" spans="1:10" x14ac:dyDescent="0.25">
      <c r="A4601" s="532"/>
      <c r="B4601" s="532"/>
      <c r="C4601" s="532"/>
      <c r="D4601" s="564">
        <f>SUM(D4586:D4600)</f>
        <v>1970636079</v>
      </c>
      <c r="E4601" s="564">
        <f t="shared" ref="E4601:G4601" si="220">SUM(E4586:E4600)</f>
        <v>452597929</v>
      </c>
      <c r="F4601" s="564">
        <f t="shared" si="220"/>
        <v>0</v>
      </c>
      <c r="G4601" s="564">
        <f t="shared" si="220"/>
        <v>2423234008</v>
      </c>
      <c r="H4601" s="532"/>
      <c r="I4601" s="532"/>
      <c r="J4601" s="532"/>
    </row>
    <row r="4602" spans="1:10" x14ac:dyDescent="0.25">
      <c r="A4602" s="362"/>
      <c r="B4602" s="611">
        <v>44382</v>
      </c>
      <c r="C4602" s="362" t="s">
        <v>86</v>
      </c>
      <c r="D4602" s="562">
        <v>56211392</v>
      </c>
      <c r="E4602" s="562">
        <v>19196263</v>
      </c>
      <c r="F4602" s="562"/>
      <c r="G4602" s="562">
        <f t="shared" si="218"/>
        <v>75407655</v>
      </c>
      <c r="H4602" s="362"/>
      <c r="I4602" s="362"/>
      <c r="J4602" s="362"/>
    </row>
    <row r="4603" spans="1:10" x14ac:dyDescent="0.25">
      <c r="A4603" s="362"/>
      <c r="B4603" s="611">
        <v>44382</v>
      </c>
      <c r="C4603" s="362" t="s">
        <v>87</v>
      </c>
      <c r="D4603" s="562">
        <v>148312940</v>
      </c>
      <c r="E4603" s="562">
        <v>30175166</v>
      </c>
      <c r="F4603" s="562"/>
      <c r="G4603" s="562">
        <f t="shared" si="218"/>
        <v>178488106</v>
      </c>
      <c r="H4603" s="362"/>
      <c r="I4603" s="362"/>
      <c r="J4603" s="362"/>
    </row>
    <row r="4604" spans="1:10" x14ac:dyDescent="0.25">
      <c r="A4604" s="362"/>
      <c r="B4604" s="611">
        <v>44382</v>
      </c>
      <c r="C4604" s="362" t="s">
        <v>88</v>
      </c>
      <c r="D4604" s="562">
        <v>196936910</v>
      </c>
      <c r="E4604" s="562">
        <v>12938165</v>
      </c>
      <c r="F4604" s="562"/>
      <c r="G4604" s="562">
        <f t="shared" si="218"/>
        <v>209875075</v>
      </c>
      <c r="H4604" s="362"/>
      <c r="I4604" s="362"/>
      <c r="J4604" s="362"/>
    </row>
    <row r="4605" spans="1:10" x14ac:dyDescent="0.25">
      <c r="A4605" s="362"/>
      <c r="B4605" s="611">
        <v>44382</v>
      </c>
      <c r="C4605" s="362" t="s">
        <v>82</v>
      </c>
      <c r="D4605" s="562">
        <v>42067928</v>
      </c>
      <c r="E4605" s="562">
        <v>855052</v>
      </c>
      <c r="F4605" s="562"/>
      <c r="G4605" s="562">
        <f t="shared" si="218"/>
        <v>42922980</v>
      </c>
      <c r="H4605" s="362"/>
      <c r="I4605" s="362"/>
      <c r="J4605" s="362"/>
    </row>
    <row r="4606" spans="1:10" x14ac:dyDescent="0.25">
      <c r="A4606" s="362"/>
      <c r="B4606" s="611">
        <v>44382</v>
      </c>
      <c r="C4606" s="362" t="s">
        <v>80</v>
      </c>
      <c r="D4606" s="562">
        <v>295909689</v>
      </c>
      <c r="E4606" s="562"/>
      <c r="F4606" s="562"/>
      <c r="G4606" s="562">
        <f t="shared" si="218"/>
        <v>295909689</v>
      </c>
      <c r="H4606" s="362"/>
      <c r="I4606" s="362"/>
      <c r="J4606" s="362"/>
    </row>
    <row r="4607" spans="1:10" x14ac:dyDescent="0.25">
      <c r="A4607" s="362"/>
      <c r="B4607" s="611">
        <v>44382</v>
      </c>
      <c r="C4607" s="362" t="s">
        <v>83</v>
      </c>
      <c r="D4607" s="562">
        <v>332301715</v>
      </c>
      <c r="E4607" s="562">
        <v>126956785</v>
      </c>
      <c r="F4607" s="562"/>
      <c r="G4607" s="562">
        <f t="shared" si="218"/>
        <v>459258500</v>
      </c>
      <c r="H4607" s="362"/>
      <c r="I4607" s="362"/>
      <c r="J4607" s="362"/>
    </row>
    <row r="4608" spans="1:10" x14ac:dyDescent="0.25">
      <c r="A4608" s="362"/>
      <c r="B4608" s="611">
        <v>44382</v>
      </c>
      <c r="C4608" s="362" t="s">
        <v>78</v>
      </c>
      <c r="D4608" s="562">
        <v>94359224</v>
      </c>
      <c r="E4608" s="562">
        <v>1620376</v>
      </c>
      <c r="F4608" s="562"/>
      <c r="G4608" s="562">
        <f t="shared" si="218"/>
        <v>95979600</v>
      </c>
      <c r="H4608" s="362"/>
      <c r="I4608" s="362"/>
      <c r="J4608" s="362"/>
    </row>
    <row r="4609" spans="1:10" x14ac:dyDescent="0.25">
      <c r="A4609" s="362"/>
      <c r="B4609" s="611">
        <v>44382</v>
      </c>
      <c r="C4609" s="362" t="s">
        <v>141</v>
      </c>
      <c r="D4609" s="562">
        <v>94547459</v>
      </c>
      <c r="E4609" s="562">
        <v>3136131</v>
      </c>
      <c r="F4609" s="562"/>
      <c r="G4609" s="562">
        <f t="shared" si="218"/>
        <v>97683590</v>
      </c>
      <c r="H4609" s="362"/>
      <c r="I4609" s="362"/>
      <c r="J4609" s="362"/>
    </row>
    <row r="4610" spans="1:10" x14ac:dyDescent="0.25">
      <c r="A4610" s="362"/>
      <c r="B4610" s="611">
        <v>44382</v>
      </c>
      <c r="C4610" s="362" t="s">
        <v>89</v>
      </c>
      <c r="D4610" s="562">
        <v>126606688</v>
      </c>
      <c r="E4610" s="562">
        <v>36216112</v>
      </c>
      <c r="F4610" s="562"/>
      <c r="G4610" s="562">
        <f t="shared" si="218"/>
        <v>162822800</v>
      </c>
      <c r="H4610" s="362"/>
      <c r="I4610" s="362"/>
      <c r="J4610" s="362"/>
    </row>
    <row r="4611" spans="1:10" x14ac:dyDescent="0.25">
      <c r="A4611" s="362"/>
      <c r="B4611" s="611">
        <v>44382</v>
      </c>
      <c r="C4611" s="362" t="s">
        <v>81</v>
      </c>
      <c r="D4611" s="562">
        <v>42788847</v>
      </c>
      <c r="E4611" s="562">
        <v>7606946</v>
      </c>
      <c r="F4611" s="562"/>
      <c r="G4611" s="562">
        <f t="shared" si="218"/>
        <v>50395793</v>
      </c>
      <c r="H4611" s="362"/>
      <c r="I4611" s="362"/>
      <c r="J4611" s="362"/>
    </row>
    <row r="4612" spans="1:10" x14ac:dyDescent="0.25">
      <c r="A4612" s="362"/>
      <c r="B4612" s="611">
        <v>44382</v>
      </c>
      <c r="C4612" s="362" t="s">
        <v>84</v>
      </c>
      <c r="D4612" s="562">
        <v>215679594</v>
      </c>
      <c r="E4612" s="562">
        <v>9279418</v>
      </c>
      <c r="F4612" s="562"/>
      <c r="G4612" s="562">
        <f t="shared" si="218"/>
        <v>224959012</v>
      </c>
      <c r="H4612" s="362"/>
      <c r="I4612" s="362"/>
      <c r="J4612" s="362"/>
    </row>
    <row r="4613" spans="1:10" x14ac:dyDescent="0.25">
      <c r="A4613" s="362"/>
      <c r="B4613" s="611">
        <v>44382</v>
      </c>
      <c r="C4613" s="362" t="s">
        <v>4751</v>
      </c>
      <c r="D4613" s="562">
        <v>150811006</v>
      </c>
      <c r="E4613" s="562">
        <v>5950294</v>
      </c>
      <c r="F4613" s="562"/>
      <c r="G4613" s="562">
        <f t="shared" si="218"/>
        <v>156761300</v>
      </c>
      <c r="H4613" s="362"/>
      <c r="I4613" s="362"/>
      <c r="J4613" s="362"/>
    </row>
    <row r="4614" spans="1:10" x14ac:dyDescent="0.25">
      <c r="A4614" s="362"/>
      <c r="B4614" s="611">
        <v>44382</v>
      </c>
      <c r="C4614" s="362" t="s">
        <v>166</v>
      </c>
      <c r="D4614" s="562">
        <v>110198609</v>
      </c>
      <c r="E4614" s="562"/>
      <c r="F4614" s="562"/>
      <c r="G4614" s="562">
        <f t="shared" si="218"/>
        <v>110198609</v>
      </c>
      <c r="H4614" s="362"/>
      <c r="I4614" s="362"/>
      <c r="J4614" s="362"/>
    </row>
    <row r="4615" spans="1:10" x14ac:dyDescent="0.25">
      <c r="A4615" s="362"/>
      <c r="B4615" s="611">
        <v>44382</v>
      </c>
      <c r="C4615" s="362" t="s">
        <v>3435</v>
      </c>
      <c r="D4615" s="562">
        <v>36236901</v>
      </c>
      <c r="E4615" s="562"/>
      <c r="F4615" s="562"/>
      <c r="G4615" s="562">
        <f t="shared" si="218"/>
        <v>36236901</v>
      </c>
      <c r="H4615" s="362"/>
      <c r="I4615" s="362"/>
      <c r="J4615" s="362"/>
    </row>
    <row r="4616" spans="1:10" x14ac:dyDescent="0.25">
      <c r="A4616" s="362"/>
      <c r="B4616" s="611">
        <v>44382</v>
      </c>
      <c r="C4616" s="370" t="s">
        <v>85</v>
      </c>
      <c r="D4616" s="562">
        <v>43191700</v>
      </c>
      <c r="E4616" s="562"/>
      <c r="F4616" s="562"/>
      <c r="G4616" s="562">
        <f t="shared" si="218"/>
        <v>43191700</v>
      </c>
      <c r="H4616" s="362"/>
      <c r="I4616" s="362"/>
      <c r="J4616" s="362"/>
    </row>
    <row r="4617" spans="1:10" x14ac:dyDescent="0.25">
      <c r="A4617" s="532"/>
      <c r="B4617" s="532"/>
      <c r="C4617" s="532"/>
      <c r="D4617" s="564">
        <f>SUM(D4602:D4616)</f>
        <v>1986160602</v>
      </c>
      <c r="E4617" s="564">
        <f t="shared" ref="E4617:G4617" si="221">SUM(E4602:E4616)</f>
        <v>253930708</v>
      </c>
      <c r="F4617" s="564">
        <f t="shared" si="221"/>
        <v>0</v>
      </c>
      <c r="G4617" s="564">
        <f t="shared" si="221"/>
        <v>2240091310</v>
      </c>
      <c r="H4617" s="532"/>
      <c r="I4617" s="532"/>
      <c r="J4617" s="532"/>
    </row>
    <row r="4618" spans="1:10" x14ac:dyDescent="0.25">
      <c r="A4618" s="362"/>
      <c r="B4618" s="611">
        <v>44383</v>
      </c>
      <c r="C4618" s="362" t="s">
        <v>86</v>
      </c>
      <c r="D4618" s="562">
        <v>62989243</v>
      </c>
      <c r="E4618" s="562">
        <v>75193696</v>
      </c>
      <c r="F4618" s="562"/>
      <c r="G4618" s="562">
        <f t="shared" si="218"/>
        <v>138182939</v>
      </c>
      <c r="H4618" s="362"/>
      <c r="I4618" s="362"/>
      <c r="J4618" s="362"/>
    </row>
    <row r="4619" spans="1:10" x14ac:dyDescent="0.25">
      <c r="A4619" s="362"/>
      <c r="B4619" s="611">
        <v>44383</v>
      </c>
      <c r="C4619" s="362" t="s">
        <v>87</v>
      </c>
      <c r="D4619" s="562">
        <v>119127886</v>
      </c>
      <c r="E4619" s="562">
        <v>61085549</v>
      </c>
      <c r="F4619" s="562"/>
      <c r="G4619" s="562">
        <f t="shared" si="218"/>
        <v>180213435</v>
      </c>
      <c r="H4619" s="362"/>
      <c r="I4619" s="362"/>
      <c r="J4619" s="362"/>
    </row>
    <row r="4620" spans="1:10" x14ac:dyDescent="0.25">
      <c r="A4620" s="362"/>
      <c r="B4620" s="611">
        <v>44383</v>
      </c>
      <c r="C4620" s="362" t="s">
        <v>88</v>
      </c>
      <c r="D4620" s="562">
        <v>206398114</v>
      </c>
      <c r="E4620" s="562">
        <v>48767288</v>
      </c>
      <c r="F4620" s="562"/>
      <c r="G4620" s="562">
        <f t="shared" ref="G4620:G4683" si="222">D4620+E4620-F4620</f>
        <v>255165402</v>
      </c>
      <c r="H4620" s="362"/>
      <c r="I4620" s="362"/>
      <c r="J4620" s="362"/>
    </row>
    <row r="4621" spans="1:10" x14ac:dyDescent="0.25">
      <c r="A4621" s="362"/>
      <c r="B4621" s="611">
        <v>44383</v>
      </c>
      <c r="C4621" s="362" t="s">
        <v>82</v>
      </c>
      <c r="D4621" s="562">
        <v>41162729</v>
      </c>
      <c r="E4621" s="562">
        <v>880198</v>
      </c>
      <c r="F4621" s="562"/>
      <c r="G4621" s="562">
        <f t="shared" si="222"/>
        <v>42042927</v>
      </c>
      <c r="H4621" s="362"/>
      <c r="I4621" s="362"/>
      <c r="J4621" s="362"/>
    </row>
    <row r="4622" spans="1:10" x14ac:dyDescent="0.25">
      <c r="A4622" s="362"/>
      <c r="B4622" s="611">
        <v>44383</v>
      </c>
      <c r="C4622" s="362" t="s">
        <v>80</v>
      </c>
      <c r="D4622" s="562">
        <v>181889489</v>
      </c>
      <c r="E4622" s="562"/>
      <c r="F4622" s="562"/>
      <c r="G4622" s="562">
        <f t="shared" si="222"/>
        <v>181889489</v>
      </c>
      <c r="H4622" s="362"/>
      <c r="I4622" s="362"/>
      <c r="J4622" s="362"/>
    </row>
    <row r="4623" spans="1:10" x14ac:dyDescent="0.25">
      <c r="A4623" s="362"/>
      <c r="B4623" s="611">
        <v>44383</v>
      </c>
      <c r="C4623" s="362" t="s">
        <v>83</v>
      </c>
      <c r="D4623" s="562">
        <v>263519418</v>
      </c>
      <c r="E4623" s="562">
        <v>34052865</v>
      </c>
      <c r="F4623" s="562"/>
      <c r="G4623" s="562">
        <f t="shared" si="222"/>
        <v>297572283</v>
      </c>
      <c r="H4623" s="362"/>
      <c r="I4623" s="362"/>
      <c r="J4623" s="362"/>
    </row>
    <row r="4624" spans="1:10" x14ac:dyDescent="0.25">
      <c r="A4624" s="362"/>
      <c r="B4624" s="611">
        <v>44383</v>
      </c>
      <c r="C4624" s="362" t="s">
        <v>78</v>
      </c>
      <c r="D4624" s="562">
        <v>80372828</v>
      </c>
      <c r="E4624" s="562">
        <v>1207772</v>
      </c>
      <c r="F4624" s="562"/>
      <c r="G4624" s="562">
        <f t="shared" si="222"/>
        <v>81580600</v>
      </c>
      <c r="H4624" s="362"/>
      <c r="I4624" s="362"/>
      <c r="J4624" s="362"/>
    </row>
    <row r="4625" spans="1:10" x14ac:dyDescent="0.25">
      <c r="A4625" s="362"/>
      <c r="B4625" s="611">
        <v>44383</v>
      </c>
      <c r="C4625" s="362" t="s">
        <v>141</v>
      </c>
      <c r="D4625" s="562">
        <v>55736593</v>
      </c>
      <c r="E4625" s="562">
        <v>2689770</v>
      </c>
      <c r="F4625" s="562"/>
      <c r="G4625" s="562">
        <f t="shared" si="222"/>
        <v>58426363</v>
      </c>
      <c r="H4625" s="362"/>
      <c r="I4625" s="362"/>
      <c r="J4625" s="362"/>
    </row>
    <row r="4626" spans="1:10" x14ac:dyDescent="0.25">
      <c r="A4626" s="362"/>
      <c r="B4626" s="611">
        <v>44383</v>
      </c>
      <c r="C4626" s="362" t="s">
        <v>89</v>
      </c>
      <c r="D4626" s="562">
        <v>148372746</v>
      </c>
      <c r="E4626" s="562">
        <v>3695454</v>
      </c>
      <c r="F4626" s="562"/>
      <c r="G4626" s="562">
        <f t="shared" si="222"/>
        <v>152068200</v>
      </c>
      <c r="H4626" s="362"/>
      <c r="I4626" s="362"/>
      <c r="J4626" s="362"/>
    </row>
    <row r="4627" spans="1:10" x14ac:dyDescent="0.25">
      <c r="A4627" s="362"/>
      <c r="B4627" s="611">
        <v>44383</v>
      </c>
      <c r="C4627" s="362" t="s">
        <v>81</v>
      </c>
      <c r="D4627" s="562">
        <v>74476817</v>
      </c>
      <c r="E4627" s="562">
        <v>4412238</v>
      </c>
      <c r="F4627" s="562"/>
      <c r="G4627" s="562">
        <f t="shared" si="222"/>
        <v>78889055</v>
      </c>
      <c r="H4627" s="362"/>
      <c r="I4627" s="362"/>
      <c r="J4627" s="362"/>
    </row>
    <row r="4628" spans="1:10" x14ac:dyDescent="0.25">
      <c r="A4628" s="362"/>
      <c r="B4628" s="611">
        <v>44383</v>
      </c>
      <c r="C4628" s="362" t="s">
        <v>84</v>
      </c>
      <c r="D4628" s="562">
        <v>181437249</v>
      </c>
      <c r="E4628" s="562">
        <v>9318061</v>
      </c>
      <c r="F4628" s="562"/>
      <c r="G4628" s="562">
        <f t="shared" si="222"/>
        <v>190755310</v>
      </c>
      <c r="H4628" s="362"/>
      <c r="I4628" s="362"/>
      <c r="J4628" s="362"/>
    </row>
    <row r="4629" spans="1:10" x14ac:dyDescent="0.25">
      <c r="A4629" s="362"/>
      <c r="B4629" s="611">
        <v>44383</v>
      </c>
      <c r="C4629" s="362" t="s">
        <v>4751</v>
      </c>
      <c r="D4629" s="562">
        <v>175387117</v>
      </c>
      <c r="E4629" s="562">
        <v>6075983</v>
      </c>
      <c r="F4629" s="562"/>
      <c r="G4629" s="562">
        <f t="shared" si="222"/>
        <v>181463100</v>
      </c>
      <c r="H4629" s="362"/>
      <c r="I4629" s="362"/>
      <c r="J4629" s="362"/>
    </row>
    <row r="4630" spans="1:10" x14ac:dyDescent="0.25">
      <c r="A4630" s="362"/>
      <c r="B4630" s="611">
        <v>44383</v>
      </c>
      <c r="C4630" s="362" t="s">
        <v>166</v>
      </c>
      <c r="D4630" s="562">
        <v>76078950</v>
      </c>
      <c r="E4630" s="562"/>
      <c r="F4630" s="562"/>
      <c r="G4630" s="562">
        <f t="shared" si="222"/>
        <v>76078950</v>
      </c>
      <c r="H4630" s="362"/>
      <c r="I4630" s="362"/>
      <c r="J4630" s="362"/>
    </row>
    <row r="4631" spans="1:10" x14ac:dyDescent="0.25">
      <c r="A4631" s="362"/>
      <c r="B4631" s="611">
        <v>44383</v>
      </c>
      <c r="C4631" s="362" t="s">
        <v>3435</v>
      </c>
      <c r="D4631" s="562">
        <v>90160634</v>
      </c>
      <c r="E4631" s="562"/>
      <c r="F4631" s="562"/>
      <c r="G4631" s="562">
        <f t="shared" si="222"/>
        <v>90160634</v>
      </c>
      <c r="H4631" s="362"/>
      <c r="I4631" s="362"/>
      <c r="J4631" s="362"/>
    </row>
    <row r="4632" spans="1:10" x14ac:dyDescent="0.25">
      <c r="A4632" s="362"/>
      <c r="B4632" s="611">
        <v>44383</v>
      </c>
      <c r="C4632" s="370" t="s">
        <v>85</v>
      </c>
      <c r="D4632" s="562">
        <v>28608700</v>
      </c>
      <c r="E4632" s="562"/>
      <c r="F4632" s="562"/>
      <c r="G4632" s="562">
        <f t="shared" si="222"/>
        <v>28608700</v>
      </c>
      <c r="H4632" s="362"/>
      <c r="I4632" s="362"/>
      <c r="J4632" s="362"/>
    </row>
    <row r="4633" spans="1:10" x14ac:dyDescent="0.25">
      <c r="A4633" s="532"/>
      <c r="B4633" s="532"/>
      <c r="C4633" s="532"/>
      <c r="D4633" s="564">
        <f>SUM(D4618:D4632)</f>
        <v>1785718513</v>
      </c>
      <c r="E4633" s="564">
        <f t="shared" ref="E4633:G4633" si="223">SUM(E4618:E4632)</f>
        <v>247378874</v>
      </c>
      <c r="F4633" s="564">
        <f t="shared" si="223"/>
        <v>0</v>
      </c>
      <c r="G4633" s="564">
        <f t="shared" si="223"/>
        <v>2033097387</v>
      </c>
      <c r="H4633" s="532"/>
      <c r="I4633" s="532"/>
      <c r="J4633" s="532"/>
    </row>
    <row r="4634" spans="1:10" x14ac:dyDescent="0.25">
      <c r="A4634" s="362"/>
      <c r="B4634" s="611">
        <v>44384</v>
      </c>
      <c r="C4634" s="362" t="s">
        <v>86</v>
      </c>
      <c r="D4634" s="562">
        <v>45277977</v>
      </c>
      <c r="E4634" s="562">
        <v>45957900</v>
      </c>
      <c r="F4634" s="562"/>
      <c r="G4634" s="562">
        <f t="shared" si="222"/>
        <v>91235877</v>
      </c>
      <c r="H4634" s="362"/>
      <c r="I4634" s="362"/>
      <c r="J4634" s="362"/>
    </row>
    <row r="4635" spans="1:10" x14ac:dyDescent="0.25">
      <c r="A4635" s="362"/>
      <c r="B4635" s="611">
        <v>44384</v>
      </c>
      <c r="C4635" s="362" t="s">
        <v>87</v>
      </c>
      <c r="D4635" s="562">
        <v>155012990</v>
      </c>
      <c r="E4635" s="562">
        <v>12391091</v>
      </c>
      <c r="F4635" s="562"/>
      <c r="G4635" s="562">
        <f t="shared" si="222"/>
        <v>167404081</v>
      </c>
      <c r="H4635" s="362"/>
      <c r="I4635" s="362"/>
      <c r="J4635" s="362"/>
    </row>
    <row r="4636" spans="1:10" x14ac:dyDescent="0.25">
      <c r="A4636" s="362"/>
      <c r="B4636" s="611">
        <v>44384</v>
      </c>
      <c r="C4636" s="362" t="s">
        <v>88</v>
      </c>
      <c r="D4636" s="562">
        <v>166809178</v>
      </c>
      <c r="E4636" s="562">
        <v>57679163</v>
      </c>
      <c r="F4636" s="562"/>
      <c r="G4636" s="562">
        <f t="shared" si="222"/>
        <v>224488341</v>
      </c>
      <c r="H4636" s="362"/>
      <c r="I4636" s="362"/>
      <c r="J4636" s="362"/>
    </row>
    <row r="4637" spans="1:10" x14ac:dyDescent="0.25">
      <c r="A4637" s="362"/>
      <c r="B4637" s="611">
        <v>44384</v>
      </c>
      <c r="C4637" s="362" t="s">
        <v>82</v>
      </c>
      <c r="D4637" s="562">
        <v>59977210</v>
      </c>
      <c r="E4637" s="562">
        <v>1045924</v>
      </c>
      <c r="F4637" s="562"/>
      <c r="G4637" s="562">
        <f t="shared" si="222"/>
        <v>61023134</v>
      </c>
      <c r="H4637" s="362"/>
      <c r="I4637" s="362"/>
      <c r="J4637" s="362"/>
    </row>
    <row r="4638" spans="1:10" x14ac:dyDescent="0.25">
      <c r="A4638" s="362"/>
      <c r="B4638" s="611">
        <v>44384</v>
      </c>
      <c r="C4638" s="362" t="s">
        <v>80</v>
      </c>
      <c r="D4638" s="562">
        <v>243036119</v>
      </c>
      <c r="E4638" s="562">
        <v>7396468</v>
      </c>
      <c r="F4638" s="562"/>
      <c r="G4638" s="562">
        <f t="shared" si="222"/>
        <v>250432587</v>
      </c>
      <c r="H4638" s="362"/>
      <c r="I4638" s="362"/>
      <c r="J4638" s="362"/>
    </row>
    <row r="4639" spans="1:10" x14ac:dyDescent="0.25">
      <c r="A4639" s="362"/>
      <c r="B4639" s="611">
        <v>44384</v>
      </c>
      <c r="C4639" s="362" t="s">
        <v>83</v>
      </c>
      <c r="D4639" s="562">
        <v>253054012</v>
      </c>
      <c r="E4639" s="562">
        <v>20916988</v>
      </c>
      <c r="F4639" s="562"/>
      <c r="G4639" s="562">
        <f t="shared" si="222"/>
        <v>273971000</v>
      </c>
      <c r="H4639" s="362"/>
      <c r="I4639" s="362"/>
      <c r="J4639" s="362"/>
    </row>
    <row r="4640" spans="1:10" x14ac:dyDescent="0.25">
      <c r="A4640" s="362"/>
      <c r="B4640" s="611">
        <v>44384</v>
      </c>
      <c r="C4640" s="362" t="s">
        <v>78</v>
      </c>
      <c r="D4640" s="562">
        <v>165283078</v>
      </c>
      <c r="E4640" s="562">
        <v>807822</v>
      </c>
      <c r="F4640" s="562"/>
      <c r="G4640" s="562">
        <f t="shared" si="222"/>
        <v>166090900</v>
      </c>
      <c r="H4640" s="362"/>
      <c r="I4640" s="362"/>
      <c r="J4640" s="362"/>
    </row>
    <row r="4641" spans="1:10" x14ac:dyDescent="0.25">
      <c r="A4641" s="362"/>
      <c r="B4641" s="611">
        <v>44384</v>
      </c>
      <c r="C4641" s="362" t="s">
        <v>141</v>
      </c>
      <c r="D4641" s="562">
        <v>120961591</v>
      </c>
      <c r="E4641" s="562">
        <v>664600</v>
      </c>
      <c r="F4641" s="562"/>
      <c r="G4641" s="562">
        <f t="shared" si="222"/>
        <v>121626191</v>
      </c>
      <c r="H4641" s="362"/>
      <c r="I4641" s="362"/>
      <c r="J4641" s="362"/>
    </row>
    <row r="4642" spans="1:10" x14ac:dyDescent="0.25">
      <c r="A4642" s="362"/>
      <c r="B4642" s="611">
        <v>44384</v>
      </c>
      <c r="C4642" s="362" t="s">
        <v>89</v>
      </c>
      <c r="D4642" s="562">
        <v>129422780</v>
      </c>
      <c r="E4642" s="562">
        <v>36398320</v>
      </c>
      <c r="F4642" s="562"/>
      <c r="G4642" s="562">
        <f t="shared" si="222"/>
        <v>165821100</v>
      </c>
      <c r="H4642" s="362"/>
      <c r="I4642" s="362"/>
      <c r="J4642" s="362"/>
    </row>
    <row r="4643" spans="1:10" x14ac:dyDescent="0.25">
      <c r="A4643" s="362"/>
      <c r="B4643" s="611">
        <v>44384</v>
      </c>
      <c r="C4643" s="362" t="s">
        <v>81</v>
      </c>
      <c r="D4643" s="562">
        <v>100007301</v>
      </c>
      <c r="E4643" s="562">
        <v>10327098</v>
      </c>
      <c r="F4643" s="562"/>
      <c r="G4643" s="562">
        <f t="shared" si="222"/>
        <v>110334399</v>
      </c>
      <c r="H4643" s="362"/>
      <c r="I4643" s="362"/>
      <c r="J4643" s="362"/>
    </row>
    <row r="4644" spans="1:10" x14ac:dyDescent="0.25">
      <c r="A4644" s="362"/>
      <c r="B4644" s="611">
        <v>44384</v>
      </c>
      <c r="C4644" s="362" t="s">
        <v>84</v>
      </c>
      <c r="D4644" s="562">
        <v>227287198</v>
      </c>
      <c r="E4644" s="562">
        <v>8250272</v>
      </c>
      <c r="F4644" s="562"/>
      <c r="G4644" s="562">
        <f t="shared" si="222"/>
        <v>235537470</v>
      </c>
      <c r="H4644" s="362"/>
      <c r="I4644" s="362"/>
      <c r="J4644" s="362"/>
    </row>
    <row r="4645" spans="1:10" x14ac:dyDescent="0.25">
      <c r="A4645" s="362"/>
      <c r="B4645" s="611">
        <v>44384</v>
      </c>
      <c r="C4645" s="362" t="s">
        <v>4751</v>
      </c>
      <c r="D4645" s="562">
        <v>171869702</v>
      </c>
      <c r="E4645" s="562">
        <v>15343298</v>
      </c>
      <c r="F4645" s="562"/>
      <c r="G4645" s="562">
        <f t="shared" si="222"/>
        <v>187213000</v>
      </c>
      <c r="H4645" s="362"/>
      <c r="I4645" s="362"/>
      <c r="J4645" s="362"/>
    </row>
    <row r="4646" spans="1:10" x14ac:dyDescent="0.25">
      <c r="A4646" s="362"/>
      <c r="B4646" s="611">
        <v>44384</v>
      </c>
      <c r="C4646" s="362" t="s">
        <v>166</v>
      </c>
      <c r="D4646" s="562">
        <v>54097882</v>
      </c>
      <c r="E4646" s="562"/>
      <c r="F4646" s="562"/>
      <c r="G4646" s="562">
        <f t="shared" si="222"/>
        <v>54097882</v>
      </c>
      <c r="H4646" s="362"/>
      <c r="I4646" s="362"/>
      <c r="J4646" s="362"/>
    </row>
    <row r="4647" spans="1:10" x14ac:dyDescent="0.25">
      <c r="A4647" s="362"/>
      <c r="B4647" s="611">
        <v>44384</v>
      </c>
      <c r="C4647" s="362" t="s">
        <v>3435</v>
      </c>
      <c r="D4647" s="562">
        <v>42026536</v>
      </c>
      <c r="E4647" s="562"/>
      <c r="F4647" s="562"/>
      <c r="G4647" s="562">
        <f t="shared" si="222"/>
        <v>42026536</v>
      </c>
      <c r="H4647" s="362"/>
      <c r="I4647" s="362"/>
      <c r="J4647" s="362"/>
    </row>
    <row r="4648" spans="1:10" x14ac:dyDescent="0.25">
      <c r="A4648" s="362"/>
      <c r="B4648" s="611">
        <v>44384</v>
      </c>
      <c r="C4648" s="370" t="s">
        <v>85</v>
      </c>
      <c r="D4648" s="562">
        <v>42313900</v>
      </c>
      <c r="E4648" s="562"/>
      <c r="F4648" s="562"/>
      <c r="G4648" s="562">
        <f t="shared" si="222"/>
        <v>42313900</v>
      </c>
      <c r="H4648" s="362"/>
      <c r="I4648" s="362"/>
      <c r="J4648" s="362"/>
    </row>
    <row r="4649" spans="1:10" x14ac:dyDescent="0.25">
      <c r="A4649" s="532"/>
      <c r="B4649" s="532"/>
      <c r="C4649" s="532"/>
      <c r="D4649" s="564">
        <f>SUM(D4634:D4648)</f>
        <v>1976437454</v>
      </c>
      <c r="E4649" s="564">
        <f t="shared" ref="E4649:G4649" si="224">SUM(E4634:E4648)</f>
        <v>217178944</v>
      </c>
      <c r="F4649" s="564">
        <f t="shared" si="224"/>
        <v>0</v>
      </c>
      <c r="G4649" s="564">
        <f t="shared" si="224"/>
        <v>2193616398</v>
      </c>
      <c r="H4649" s="532"/>
      <c r="I4649" s="532"/>
      <c r="J4649" s="532"/>
    </row>
    <row r="4650" spans="1:10" x14ac:dyDescent="0.25">
      <c r="A4650" s="362"/>
      <c r="B4650" s="611">
        <v>44385</v>
      </c>
      <c r="C4650" s="362" t="s">
        <v>86</v>
      </c>
      <c r="D4650" s="562">
        <v>102346012</v>
      </c>
      <c r="E4650" s="562">
        <v>137307884</v>
      </c>
      <c r="F4650" s="562"/>
      <c r="G4650" s="562">
        <f t="shared" si="222"/>
        <v>239653896</v>
      </c>
      <c r="H4650" s="362"/>
      <c r="I4650" s="362"/>
      <c r="J4650" s="362"/>
    </row>
    <row r="4651" spans="1:10" x14ac:dyDescent="0.25">
      <c r="A4651" s="362"/>
      <c r="B4651" s="611">
        <v>44385</v>
      </c>
      <c r="C4651" s="362" t="s">
        <v>87</v>
      </c>
      <c r="D4651" s="562">
        <v>103334113</v>
      </c>
      <c r="E4651" s="562">
        <v>192180376</v>
      </c>
      <c r="F4651" s="562"/>
      <c r="G4651" s="562">
        <f t="shared" si="222"/>
        <v>295514489</v>
      </c>
      <c r="H4651" s="362"/>
      <c r="I4651" s="362"/>
      <c r="J4651" s="362"/>
    </row>
    <row r="4652" spans="1:10" x14ac:dyDescent="0.25">
      <c r="A4652" s="362"/>
      <c r="B4652" s="611">
        <v>44385</v>
      </c>
      <c r="C4652" s="362" t="s">
        <v>88</v>
      </c>
      <c r="D4652" s="562">
        <v>328695682</v>
      </c>
      <c r="E4652" s="562">
        <v>9516019</v>
      </c>
      <c r="F4652" s="562"/>
      <c r="G4652" s="562">
        <f t="shared" si="222"/>
        <v>338211701</v>
      </c>
      <c r="H4652" s="362"/>
      <c r="I4652" s="362"/>
      <c r="J4652" s="362"/>
    </row>
    <row r="4653" spans="1:10" x14ac:dyDescent="0.25">
      <c r="A4653" s="362"/>
      <c r="B4653" s="611">
        <v>44385</v>
      </c>
      <c r="C4653" s="362" t="s">
        <v>82</v>
      </c>
      <c r="D4653" s="562">
        <v>113683339</v>
      </c>
      <c r="E4653" s="562">
        <v>4040773</v>
      </c>
      <c r="F4653" s="562"/>
      <c r="G4653" s="562">
        <f t="shared" si="222"/>
        <v>117724112</v>
      </c>
      <c r="H4653" s="362"/>
      <c r="I4653" s="362"/>
      <c r="J4653" s="362"/>
    </row>
    <row r="4654" spans="1:10" x14ac:dyDescent="0.25">
      <c r="A4654" s="362"/>
      <c r="B4654" s="611">
        <v>44385</v>
      </c>
      <c r="C4654" s="362" t="s">
        <v>80</v>
      </c>
      <c r="D4654" s="562">
        <v>221537971</v>
      </c>
      <c r="E4654" s="562"/>
      <c r="F4654" s="562"/>
      <c r="G4654" s="562">
        <f t="shared" si="222"/>
        <v>221537971</v>
      </c>
      <c r="H4654" s="362"/>
      <c r="I4654" s="362"/>
      <c r="J4654" s="362"/>
    </row>
    <row r="4655" spans="1:10" x14ac:dyDescent="0.25">
      <c r="A4655" s="362"/>
      <c r="B4655" s="611">
        <v>44385</v>
      </c>
      <c r="C4655" s="362" t="s">
        <v>83</v>
      </c>
      <c r="D4655" s="562">
        <v>183190977</v>
      </c>
      <c r="E4655" s="562">
        <v>10167519</v>
      </c>
      <c r="F4655" s="562"/>
      <c r="G4655" s="562">
        <f t="shared" si="222"/>
        <v>193358496</v>
      </c>
      <c r="H4655" s="362"/>
      <c r="I4655" s="362"/>
      <c r="J4655" s="362"/>
    </row>
    <row r="4656" spans="1:10" x14ac:dyDescent="0.25">
      <c r="A4656" s="362"/>
      <c r="B4656" s="611">
        <v>44385</v>
      </c>
      <c r="C4656" s="362" t="s">
        <v>78</v>
      </c>
      <c r="D4656" s="562">
        <v>114279100</v>
      </c>
      <c r="E4656" s="562"/>
      <c r="F4656" s="562"/>
      <c r="G4656" s="562">
        <f t="shared" si="222"/>
        <v>114279100</v>
      </c>
      <c r="H4656" s="362"/>
      <c r="I4656" s="362"/>
      <c r="J4656" s="362"/>
    </row>
    <row r="4657" spans="1:10" x14ac:dyDescent="0.25">
      <c r="A4657" s="362"/>
      <c r="B4657" s="611">
        <v>44385</v>
      </c>
      <c r="C4657" s="362" t="s">
        <v>141</v>
      </c>
      <c r="D4657" s="562">
        <v>69481508</v>
      </c>
      <c r="E4657" s="562">
        <v>3365196</v>
      </c>
      <c r="F4657" s="562"/>
      <c r="G4657" s="562">
        <f t="shared" si="222"/>
        <v>72846704</v>
      </c>
      <c r="H4657" s="362"/>
      <c r="I4657" s="362"/>
      <c r="J4657" s="362"/>
    </row>
    <row r="4658" spans="1:10" x14ac:dyDescent="0.25">
      <c r="A4658" s="362"/>
      <c r="B4658" s="611">
        <v>44385</v>
      </c>
      <c r="C4658" s="362" t="s">
        <v>89</v>
      </c>
      <c r="D4658" s="562">
        <v>143170789</v>
      </c>
      <c r="E4658" s="562">
        <v>8601811</v>
      </c>
      <c r="F4658" s="562"/>
      <c r="G4658" s="562">
        <f t="shared" si="222"/>
        <v>151772600</v>
      </c>
      <c r="H4658" s="362"/>
      <c r="I4658" s="362"/>
      <c r="J4658" s="362"/>
    </row>
    <row r="4659" spans="1:10" x14ac:dyDescent="0.25">
      <c r="A4659" s="362"/>
      <c r="B4659" s="611">
        <v>44385</v>
      </c>
      <c r="C4659" s="362" t="s">
        <v>81</v>
      </c>
      <c r="D4659" s="562">
        <v>132614137</v>
      </c>
      <c r="E4659" s="562">
        <v>10272574</v>
      </c>
      <c r="F4659" s="562"/>
      <c r="G4659" s="562">
        <f t="shared" si="222"/>
        <v>142886711</v>
      </c>
      <c r="H4659" s="362"/>
      <c r="I4659" s="362"/>
      <c r="J4659" s="362"/>
    </row>
    <row r="4660" spans="1:10" x14ac:dyDescent="0.25">
      <c r="A4660" s="362"/>
      <c r="B4660" s="611">
        <v>44385</v>
      </c>
      <c r="C4660" s="362" t="s">
        <v>84</v>
      </c>
      <c r="D4660" s="562">
        <v>171117079</v>
      </c>
      <c r="E4660" s="562">
        <v>25194141</v>
      </c>
      <c r="F4660" s="562"/>
      <c r="G4660" s="562">
        <f t="shared" si="222"/>
        <v>196311220</v>
      </c>
      <c r="H4660" s="362"/>
      <c r="I4660" s="362"/>
      <c r="J4660" s="362"/>
    </row>
    <row r="4661" spans="1:10" x14ac:dyDescent="0.25">
      <c r="A4661" s="362"/>
      <c r="B4661" s="611">
        <v>44385</v>
      </c>
      <c r="C4661" s="362" t="s">
        <v>4751</v>
      </c>
      <c r="D4661" s="562">
        <v>163507714</v>
      </c>
      <c r="E4661" s="562">
        <v>17050686</v>
      </c>
      <c r="F4661" s="562"/>
      <c r="G4661" s="562">
        <f t="shared" si="222"/>
        <v>180558400</v>
      </c>
      <c r="H4661" s="362"/>
      <c r="I4661" s="362"/>
      <c r="J4661" s="362"/>
    </row>
    <row r="4662" spans="1:10" x14ac:dyDescent="0.25">
      <c r="A4662" s="362"/>
      <c r="B4662" s="611">
        <v>44385</v>
      </c>
      <c r="C4662" s="362" t="s">
        <v>166</v>
      </c>
      <c r="D4662" s="562">
        <v>129670341</v>
      </c>
      <c r="E4662" s="562"/>
      <c r="F4662" s="562"/>
      <c r="G4662" s="562">
        <f t="shared" si="222"/>
        <v>129670341</v>
      </c>
      <c r="H4662" s="362"/>
      <c r="I4662" s="362"/>
      <c r="J4662" s="362"/>
    </row>
    <row r="4663" spans="1:10" x14ac:dyDescent="0.25">
      <c r="A4663" s="362"/>
      <c r="B4663" s="611">
        <v>44385</v>
      </c>
      <c r="C4663" s="362" t="s">
        <v>3435</v>
      </c>
      <c r="D4663" s="562">
        <v>103418265</v>
      </c>
      <c r="E4663" s="562"/>
      <c r="F4663" s="562"/>
      <c r="G4663" s="562">
        <f t="shared" si="222"/>
        <v>103418265</v>
      </c>
      <c r="H4663" s="362"/>
      <c r="I4663" s="362"/>
      <c r="J4663" s="362"/>
    </row>
    <row r="4664" spans="1:10" x14ac:dyDescent="0.25">
      <c r="A4664" s="362"/>
      <c r="B4664" s="611">
        <v>44385</v>
      </c>
      <c r="C4664" s="370" t="s">
        <v>85</v>
      </c>
      <c r="D4664" s="562">
        <v>15039300</v>
      </c>
      <c r="E4664" s="562"/>
      <c r="F4664" s="562"/>
      <c r="G4664" s="562">
        <f t="shared" si="222"/>
        <v>15039300</v>
      </c>
      <c r="H4664" s="362"/>
      <c r="I4664" s="362"/>
      <c r="J4664" s="362"/>
    </row>
    <row r="4665" spans="1:10" x14ac:dyDescent="0.25">
      <c r="A4665" s="532"/>
      <c r="B4665" s="532"/>
      <c r="C4665" s="532"/>
      <c r="D4665" s="564">
        <f>SUM(D4650:D4664)</f>
        <v>2095086327</v>
      </c>
      <c r="E4665" s="564">
        <f t="shared" ref="E4665:G4665" si="225">SUM(E4650:E4664)</f>
        <v>417696979</v>
      </c>
      <c r="F4665" s="564">
        <f t="shared" si="225"/>
        <v>0</v>
      </c>
      <c r="G4665" s="564">
        <f t="shared" si="225"/>
        <v>2512783306</v>
      </c>
      <c r="H4665" s="532"/>
      <c r="I4665" s="532"/>
      <c r="J4665" s="532"/>
    </row>
    <row r="4666" spans="1:10" x14ac:dyDescent="0.25">
      <c r="A4666" s="362"/>
      <c r="B4666" s="611">
        <v>44386</v>
      </c>
      <c r="C4666" s="362" t="s">
        <v>86</v>
      </c>
      <c r="D4666" s="562">
        <v>5901003</v>
      </c>
      <c r="E4666" s="562">
        <v>82628587</v>
      </c>
      <c r="F4666" s="562">
        <v>88529500</v>
      </c>
      <c r="G4666" s="562">
        <f t="shared" si="222"/>
        <v>90</v>
      </c>
      <c r="H4666" s="362"/>
      <c r="I4666" s="362"/>
      <c r="J4666" s="362"/>
    </row>
    <row r="4667" spans="1:10" x14ac:dyDescent="0.25">
      <c r="A4667" s="362"/>
      <c r="B4667" s="611">
        <v>44386</v>
      </c>
      <c r="C4667" s="362" t="s">
        <v>87</v>
      </c>
      <c r="D4667" s="562">
        <v>164643055</v>
      </c>
      <c r="E4667" s="562">
        <v>53560993</v>
      </c>
      <c r="F4667" s="562">
        <v>218204200</v>
      </c>
      <c r="G4667" s="562">
        <f t="shared" si="222"/>
        <v>-152</v>
      </c>
      <c r="H4667" s="362"/>
      <c r="I4667" s="362"/>
      <c r="J4667" s="362"/>
    </row>
    <row r="4668" spans="1:10" x14ac:dyDescent="0.25">
      <c r="A4668" s="362"/>
      <c r="B4668" s="611">
        <v>44386</v>
      </c>
      <c r="C4668" s="362" t="s">
        <v>88</v>
      </c>
      <c r="D4668" s="562">
        <v>116950139</v>
      </c>
      <c r="E4668" s="562">
        <v>41006686</v>
      </c>
      <c r="F4668" s="562">
        <v>157956900</v>
      </c>
      <c r="G4668" s="562">
        <f t="shared" si="222"/>
        <v>-75</v>
      </c>
      <c r="H4668" s="362"/>
      <c r="I4668" s="362"/>
      <c r="J4668" s="362"/>
    </row>
    <row r="4669" spans="1:10" x14ac:dyDescent="0.25">
      <c r="A4669" s="362"/>
      <c r="B4669" s="611">
        <v>44386</v>
      </c>
      <c r="C4669" s="362" t="s">
        <v>82</v>
      </c>
      <c r="D4669" s="562">
        <v>55740006</v>
      </c>
      <c r="E4669" s="562">
        <v>1141360</v>
      </c>
      <c r="F4669" s="562">
        <v>56881400</v>
      </c>
      <c r="G4669" s="562">
        <f t="shared" si="222"/>
        <v>-34</v>
      </c>
      <c r="H4669" s="362"/>
      <c r="I4669" s="362"/>
      <c r="J4669" s="362"/>
    </row>
    <row r="4670" spans="1:10" x14ac:dyDescent="0.25">
      <c r="A4670" s="362"/>
      <c r="B4670" s="611">
        <v>44386</v>
      </c>
      <c r="C4670" s="362" t="s">
        <v>80</v>
      </c>
      <c r="D4670" s="562">
        <v>225404741</v>
      </c>
      <c r="E4670" s="562"/>
      <c r="F4670" s="562">
        <v>225410800</v>
      </c>
      <c r="G4670" s="562">
        <f t="shared" si="222"/>
        <v>-6059</v>
      </c>
      <c r="H4670" s="362"/>
      <c r="I4670" s="362"/>
      <c r="J4670" s="362"/>
    </row>
    <row r="4671" spans="1:10" x14ac:dyDescent="0.25">
      <c r="A4671" s="362"/>
      <c r="B4671" s="611">
        <v>44386</v>
      </c>
      <c r="C4671" s="362" t="s">
        <v>83</v>
      </c>
      <c r="D4671" s="562">
        <v>168475490</v>
      </c>
      <c r="E4671" s="562">
        <v>104641498</v>
      </c>
      <c r="F4671" s="562">
        <v>273117000</v>
      </c>
      <c r="G4671" s="562">
        <f t="shared" si="222"/>
        <v>-12</v>
      </c>
      <c r="H4671" s="362"/>
      <c r="I4671" s="362"/>
      <c r="J4671" s="362"/>
    </row>
    <row r="4672" spans="1:10" x14ac:dyDescent="0.25">
      <c r="A4672" s="362"/>
      <c r="B4672" s="611">
        <v>44386</v>
      </c>
      <c r="C4672" s="362" t="s">
        <v>78</v>
      </c>
      <c r="D4672" s="562">
        <v>130212926</v>
      </c>
      <c r="E4672" s="562">
        <v>964574</v>
      </c>
      <c r="F4672" s="562">
        <v>131177500</v>
      </c>
      <c r="G4672" s="562">
        <f t="shared" si="222"/>
        <v>0</v>
      </c>
      <c r="H4672" s="362"/>
      <c r="I4672" s="362"/>
      <c r="J4672" s="362"/>
    </row>
    <row r="4673" spans="1:10" x14ac:dyDescent="0.25">
      <c r="A4673" s="362"/>
      <c r="B4673" s="611">
        <v>44386</v>
      </c>
      <c r="C4673" s="362" t="s">
        <v>141</v>
      </c>
      <c r="D4673" s="562">
        <v>80374553</v>
      </c>
      <c r="E4673" s="562">
        <v>1351232</v>
      </c>
      <c r="F4673" s="562">
        <v>81725800</v>
      </c>
      <c r="G4673" s="562">
        <f t="shared" si="222"/>
        <v>-15</v>
      </c>
      <c r="H4673" s="362"/>
      <c r="I4673" s="362"/>
      <c r="J4673" s="362"/>
    </row>
    <row r="4674" spans="1:10" x14ac:dyDescent="0.25">
      <c r="A4674" s="362"/>
      <c r="B4674" s="611">
        <v>44386</v>
      </c>
      <c r="C4674" s="362" t="s">
        <v>89</v>
      </c>
      <c r="D4674" s="562">
        <v>144375849</v>
      </c>
      <c r="E4674" s="562">
        <v>68920151</v>
      </c>
      <c r="F4674" s="562">
        <v>213296000</v>
      </c>
      <c r="G4674" s="562">
        <f t="shared" si="222"/>
        <v>0</v>
      </c>
      <c r="H4674" s="362"/>
      <c r="I4674" s="362"/>
      <c r="J4674" s="362"/>
    </row>
    <row r="4675" spans="1:10" x14ac:dyDescent="0.25">
      <c r="A4675" s="362"/>
      <c r="B4675" s="611">
        <v>44386</v>
      </c>
      <c r="C4675" s="362" t="s">
        <v>81</v>
      </c>
      <c r="D4675" s="562">
        <v>59228792</v>
      </c>
      <c r="E4675" s="562">
        <v>13958151</v>
      </c>
      <c r="F4675" s="562">
        <v>73187000</v>
      </c>
      <c r="G4675" s="562">
        <f t="shared" si="222"/>
        <v>-57</v>
      </c>
      <c r="H4675" s="362"/>
      <c r="I4675" s="362"/>
      <c r="J4675" s="362"/>
    </row>
    <row r="4676" spans="1:10" x14ac:dyDescent="0.25">
      <c r="A4676" s="362"/>
      <c r="B4676" s="611">
        <v>44386</v>
      </c>
      <c r="C4676" s="362" t="s">
        <v>84</v>
      </c>
      <c r="D4676" s="562">
        <v>120208123</v>
      </c>
      <c r="E4676" s="562">
        <v>11215528</v>
      </c>
      <c r="F4676" s="562">
        <v>131423700</v>
      </c>
      <c r="G4676" s="562">
        <f t="shared" si="222"/>
        <v>-49</v>
      </c>
      <c r="H4676" s="362"/>
      <c r="I4676" s="362"/>
      <c r="J4676" s="362"/>
    </row>
    <row r="4677" spans="1:10" x14ac:dyDescent="0.25">
      <c r="A4677" s="362"/>
      <c r="B4677" s="611">
        <v>44386</v>
      </c>
      <c r="C4677" s="362" t="s">
        <v>4751</v>
      </c>
      <c r="D4677" s="562">
        <v>109930441</v>
      </c>
      <c r="E4677" s="562">
        <v>16082459</v>
      </c>
      <c r="F4677" s="562">
        <v>126012800</v>
      </c>
      <c r="G4677" s="562">
        <f t="shared" si="222"/>
        <v>100</v>
      </c>
      <c r="H4677" s="362"/>
      <c r="I4677" s="362"/>
      <c r="J4677" s="362"/>
    </row>
    <row r="4678" spans="1:10" x14ac:dyDescent="0.25">
      <c r="A4678" s="362"/>
      <c r="B4678" s="611">
        <v>44386</v>
      </c>
      <c r="C4678" s="362" t="s">
        <v>166</v>
      </c>
      <c r="D4678" s="562">
        <v>33706130</v>
      </c>
      <c r="E4678" s="562"/>
      <c r="F4678" s="562">
        <v>33706100</v>
      </c>
      <c r="G4678" s="562">
        <f t="shared" si="222"/>
        <v>30</v>
      </c>
      <c r="H4678" s="362"/>
      <c r="I4678" s="362"/>
      <c r="J4678" s="362"/>
    </row>
    <row r="4679" spans="1:10" x14ac:dyDescent="0.25">
      <c r="A4679" s="362"/>
      <c r="B4679" s="611">
        <v>44386</v>
      </c>
      <c r="C4679" s="362" t="s">
        <v>3435</v>
      </c>
      <c r="D4679" s="562">
        <v>218930785</v>
      </c>
      <c r="E4679" s="562"/>
      <c r="F4679" s="562">
        <v>218930800</v>
      </c>
      <c r="G4679" s="562">
        <f t="shared" si="222"/>
        <v>-15</v>
      </c>
      <c r="H4679" s="362"/>
      <c r="I4679" s="362"/>
      <c r="J4679" s="362"/>
    </row>
    <row r="4680" spans="1:10" x14ac:dyDescent="0.25">
      <c r="A4680" s="362"/>
      <c r="B4680" s="611">
        <v>44386</v>
      </c>
      <c r="C4680" s="370" t="s">
        <v>85</v>
      </c>
      <c r="D4680" s="562">
        <v>17033900</v>
      </c>
      <c r="E4680" s="562"/>
      <c r="F4680" s="562">
        <v>17033900</v>
      </c>
      <c r="G4680" s="562">
        <f t="shared" si="222"/>
        <v>0</v>
      </c>
      <c r="H4680" s="362"/>
      <c r="I4680" s="362"/>
      <c r="J4680" s="362"/>
    </row>
    <row r="4681" spans="1:10" x14ac:dyDescent="0.25">
      <c r="A4681" s="532"/>
      <c r="B4681" s="532"/>
      <c r="C4681" s="532"/>
      <c r="D4681" s="564">
        <f>SUM(D4666:D4680)</f>
        <v>1651115933</v>
      </c>
      <c r="E4681" s="564">
        <f t="shared" ref="E4681:G4681" si="226">SUM(E4666:E4680)</f>
        <v>395471219</v>
      </c>
      <c r="F4681" s="564">
        <f t="shared" si="226"/>
        <v>2046593400</v>
      </c>
      <c r="G4681" s="564">
        <f t="shared" si="226"/>
        <v>-6248</v>
      </c>
      <c r="H4681" s="532"/>
      <c r="I4681" s="532"/>
      <c r="J4681" s="532"/>
    </row>
    <row r="4682" spans="1:10" x14ac:dyDescent="0.25">
      <c r="A4682" s="362"/>
      <c r="B4682" s="611">
        <v>44387</v>
      </c>
      <c r="C4682" s="362" t="s">
        <v>86</v>
      </c>
      <c r="D4682" s="562">
        <v>63010096</v>
      </c>
      <c r="E4682" s="562">
        <v>138009027</v>
      </c>
      <c r="F4682" s="562">
        <v>201018900</v>
      </c>
      <c r="G4682" s="562">
        <f t="shared" si="222"/>
        <v>223</v>
      </c>
      <c r="H4682" s="362"/>
      <c r="I4682" s="362"/>
      <c r="J4682" s="362"/>
    </row>
    <row r="4683" spans="1:10" x14ac:dyDescent="0.25">
      <c r="A4683" s="362"/>
      <c r="B4683" s="611">
        <v>44387</v>
      </c>
      <c r="C4683" s="362" t="s">
        <v>87</v>
      </c>
      <c r="D4683" s="562">
        <v>105920462</v>
      </c>
      <c r="E4683" s="562">
        <v>182116420</v>
      </c>
      <c r="F4683" s="562">
        <v>288037000</v>
      </c>
      <c r="G4683" s="562">
        <f t="shared" si="222"/>
        <v>-118</v>
      </c>
      <c r="H4683" s="362"/>
      <c r="I4683" s="362"/>
      <c r="J4683" s="362"/>
    </row>
    <row r="4684" spans="1:10" x14ac:dyDescent="0.25">
      <c r="A4684" s="362"/>
      <c r="B4684" s="611">
        <v>44387</v>
      </c>
      <c r="C4684" s="362" t="s">
        <v>88</v>
      </c>
      <c r="D4684" s="562">
        <v>232492740</v>
      </c>
      <c r="E4684" s="562">
        <v>19143695</v>
      </c>
      <c r="F4684" s="562">
        <v>251636500</v>
      </c>
      <c r="G4684" s="562">
        <f t="shared" ref="G4684:G4747" si="227">D4684+E4684-F4684</f>
        <v>-65</v>
      </c>
      <c r="H4684" s="362"/>
      <c r="I4684" s="362"/>
      <c r="J4684" s="362"/>
    </row>
    <row r="4685" spans="1:10" x14ac:dyDescent="0.25">
      <c r="A4685" s="362"/>
      <c r="B4685" s="611">
        <v>44387</v>
      </c>
      <c r="C4685" s="362" t="s">
        <v>82</v>
      </c>
      <c r="D4685" s="562">
        <v>60210834</v>
      </c>
      <c r="E4685" s="562">
        <v>6400669</v>
      </c>
      <c r="F4685" s="562">
        <v>66611600</v>
      </c>
      <c r="G4685" s="562">
        <f t="shared" si="227"/>
        <v>-97</v>
      </c>
      <c r="H4685" s="362"/>
      <c r="I4685" s="362"/>
      <c r="J4685" s="362"/>
    </row>
    <row r="4686" spans="1:10" x14ac:dyDescent="0.25">
      <c r="A4686" s="362"/>
      <c r="B4686" s="611">
        <v>44387</v>
      </c>
      <c r="C4686" s="362" t="s">
        <v>80</v>
      </c>
      <c r="D4686" s="562">
        <v>235207460</v>
      </c>
      <c r="E4686" s="562"/>
      <c r="F4686" s="562">
        <v>235207500</v>
      </c>
      <c r="G4686" s="562">
        <f t="shared" si="227"/>
        <v>-40</v>
      </c>
      <c r="H4686" s="362"/>
      <c r="I4686" s="362"/>
      <c r="J4686" s="362"/>
    </row>
    <row r="4687" spans="1:10" x14ac:dyDescent="0.25">
      <c r="A4687" s="362"/>
      <c r="B4687" s="611">
        <v>44387</v>
      </c>
      <c r="C4687" s="362" t="s">
        <v>83</v>
      </c>
      <c r="D4687" s="562">
        <v>182777504</v>
      </c>
      <c r="E4687" s="562">
        <v>159513196</v>
      </c>
      <c r="F4687" s="562">
        <v>342290700</v>
      </c>
      <c r="G4687" s="562">
        <f t="shared" si="227"/>
        <v>0</v>
      </c>
      <c r="H4687" s="362"/>
      <c r="I4687" s="362"/>
      <c r="J4687" s="362"/>
    </row>
    <row r="4688" spans="1:10" x14ac:dyDescent="0.25">
      <c r="A4688" s="362"/>
      <c r="B4688" s="611">
        <v>44387</v>
      </c>
      <c r="C4688" s="362" t="s">
        <v>78</v>
      </c>
      <c r="D4688" s="562">
        <v>126482109</v>
      </c>
      <c r="E4688" s="562">
        <v>6600191</v>
      </c>
      <c r="F4688" s="562">
        <v>133082300</v>
      </c>
      <c r="G4688" s="562">
        <f t="shared" si="227"/>
        <v>0</v>
      </c>
      <c r="H4688" s="362"/>
      <c r="I4688" s="362"/>
      <c r="J4688" s="362"/>
    </row>
    <row r="4689" spans="1:10" x14ac:dyDescent="0.25">
      <c r="A4689" s="362"/>
      <c r="B4689" s="611">
        <v>44387</v>
      </c>
      <c r="C4689" s="362" t="s">
        <v>141</v>
      </c>
      <c r="D4689" s="562">
        <v>41852692</v>
      </c>
      <c r="E4689" s="562">
        <v>812323</v>
      </c>
      <c r="F4689" s="562">
        <v>42665100</v>
      </c>
      <c r="G4689" s="562">
        <f t="shared" si="227"/>
        <v>-85</v>
      </c>
      <c r="H4689" s="362"/>
      <c r="I4689" s="362"/>
      <c r="J4689" s="362"/>
    </row>
    <row r="4690" spans="1:10" x14ac:dyDescent="0.25">
      <c r="A4690" s="362"/>
      <c r="B4690" s="611">
        <v>44387</v>
      </c>
      <c r="C4690" s="362" t="s">
        <v>89</v>
      </c>
      <c r="D4690" s="562">
        <v>75437580</v>
      </c>
      <c r="E4690" s="562">
        <v>85326920</v>
      </c>
      <c r="F4690" s="562">
        <v>160764500</v>
      </c>
      <c r="G4690" s="562">
        <f t="shared" si="227"/>
        <v>0</v>
      </c>
      <c r="H4690" s="362"/>
      <c r="I4690" s="362"/>
      <c r="J4690" s="362"/>
    </row>
    <row r="4691" spans="1:10" x14ac:dyDescent="0.25">
      <c r="A4691" s="362"/>
      <c r="B4691" s="611">
        <v>44387</v>
      </c>
      <c r="C4691" s="362" t="s">
        <v>81</v>
      </c>
      <c r="D4691" s="562">
        <v>85658407</v>
      </c>
      <c r="E4691" s="562">
        <v>7229643</v>
      </c>
      <c r="F4691" s="562">
        <f>42400300+50487800</f>
        <v>92888100</v>
      </c>
      <c r="G4691" s="562">
        <f t="shared" si="227"/>
        <v>-50</v>
      </c>
      <c r="H4691" s="362"/>
      <c r="I4691" s="362"/>
      <c r="J4691" s="362"/>
    </row>
    <row r="4692" spans="1:10" x14ac:dyDescent="0.25">
      <c r="A4692" s="362"/>
      <c r="B4692" s="611">
        <v>44387</v>
      </c>
      <c r="C4692" s="362" t="s">
        <v>84</v>
      </c>
      <c r="D4692" s="562">
        <v>181667398</v>
      </c>
      <c r="E4692" s="562">
        <v>34649076</v>
      </c>
      <c r="F4692" s="562">
        <v>216316500</v>
      </c>
      <c r="G4692" s="562">
        <f t="shared" si="227"/>
        <v>-26</v>
      </c>
      <c r="H4692" s="362"/>
      <c r="I4692" s="362"/>
      <c r="J4692" s="362"/>
    </row>
    <row r="4693" spans="1:10" x14ac:dyDescent="0.25">
      <c r="A4693" s="362"/>
      <c r="B4693" s="611">
        <v>44387</v>
      </c>
      <c r="C4693" s="362" t="s">
        <v>4751</v>
      </c>
      <c r="D4693" s="562">
        <v>210387246</v>
      </c>
      <c r="E4693" s="562">
        <v>11524854</v>
      </c>
      <c r="F4693" s="562">
        <v>221912100</v>
      </c>
      <c r="G4693" s="562">
        <f t="shared" si="227"/>
        <v>0</v>
      </c>
      <c r="H4693" s="362"/>
      <c r="I4693" s="362"/>
      <c r="J4693" s="362"/>
    </row>
    <row r="4694" spans="1:10" x14ac:dyDescent="0.25">
      <c r="A4694" s="362"/>
      <c r="B4694" s="611">
        <v>44387</v>
      </c>
      <c r="C4694" s="362" t="s">
        <v>166</v>
      </c>
      <c r="D4694" s="562"/>
      <c r="E4694" s="562"/>
      <c r="F4694" s="562"/>
      <c r="G4694" s="562">
        <f t="shared" si="227"/>
        <v>0</v>
      </c>
      <c r="H4694" s="362"/>
      <c r="I4694" s="362"/>
      <c r="J4694" s="362"/>
    </row>
    <row r="4695" spans="1:10" x14ac:dyDescent="0.25">
      <c r="A4695" s="362"/>
      <c r="B4695" s="611">
        <v>44387</v>
      </c>
      <c r="C4695" s="362" t="s">
        <v>3435</v>
      </c>
      <c r="D4695" s="562"/>
      <c r="E4695" s="562"/>
      <c r="F4695" s="562"/>
      <c r="G4695" s="562">
        <f t="shared" si="227"/>
        <v>0</v>
      </c>
      <c r="H4695" s="362"/>
      <c r="I4695" s="362"/>
      <c r="J4695" s="362"/>
    </row>
    <row r="4696" spans="1:10" x14ac:dyDescent="0.25">
      <c r="A4696" s="362"/>
      <c r="B4696" s="611">
        <v>44387</v>
      </c>
      <c r="C4696" s="370" t="s">
        <v>85</v>
      </c>
      <c r="D4696" s="562">
        <v>27395600</v>
      </c>
      <c r="E4696" s="562"/>
      <c r="F4696" s="562">
        <v>27395700</v>
      </c>
      <c r="G4696" s="562">
        <f t="shared" si="227"/>
        <v>-100</v>
      </c>
      <c r="H4696" s="362"/>
      <c r="I4696" s="362"/>
      <c r="J4696" s="362"/>
    </row>
    <row r="4697" spans="1:10" x14ac:dyDescent="0.25">
      <c r="A4697" s="532"/>
      <c r="B4697" s="532"/>
      <c r="C4697" s="532"/>
      <c r="D4697" s="564">
        <f>SUM(D4682:D4696)</f>
        <v>1628500128</v>
      </c>
      <c r="E4697" s="564">
        <f t="shared" ref="E4697:G4697" si="228">SUM(E4682:E4696)</f>
        <v>651326014</v>
      </c>
      <c r="F4697" s="564">
        <f t="shared" si="228"/>
        <v>2279826500</v>
      </c>
      <c r="G4697" s="564">
        <f t="shared" si="228"/>
        <v>-358</v>
      </c>
      <c r="H4697" s="532"/>
      <c r="I4697" s="532"/>
      <c r="J4697" s="532"/>
    </row>
    <row r="4698" spans="1:10" x14ac:dyDescent="0.25">
      <c r="A4698" s="362"/>
      <c r="B4698" s="611">
        <v>44389</v>
      </c>
      <c r="C4698" s="362" t="s">
        <v>86</v>
      </c>
      <c r="D4698" s="562">
        <v>47996055</v>
      </c>
      <c r="E4698" s="562">
        <v>6865941</v>
      </c>
      <c r="F4698" s="562">
        <v>54861900</v>
      </c>
      <c r="G4698" s="562">
        <f t="shared" si="227"/>
        <v>96</v>
      </c>
      <c r="H4698" s="362"/>
      <c r="I4698" s="362"/>
      <c r="J4698" s="362"/>
    </row>
    <row r="4699" spans="1:10" x14ac:dyDescent="0.25">
      <c r="A4699" s="362"/>
      <c r="B4699" s="611">
        <v>44389</v>
      </c>
      <c r="C4699" s="362" t="s">
        <v>87</v>
      </c>
      <c r="D4699" s="562">
        <v>95319432</v>
      </c>
      <c r="E4699" s="562">
        <v>25003485</v>
      </c>
      <c r="F4699" s="562">
        <v>120323000</v>
      </c>
      <c r="G4699" s="562">
        <f t="shared" si="227"/>
        <v>-83</v>
      </c>
      <c r="H4699" s="362"/>
      <c r="I4699" s="362"/>
      <c r="J4699" s="362"/>
    </row>
    <row r="4700" spans="1:10" x14ac:dyDescent="0.25">
      <c r="A4700" s="362"/>
      <c r="B4700" s="611">
        <v>44389</v>
      </c>
      <c r="C4700" s="362" t="s">
        <v>88</v>
      </c>
      <c r="D4700" s="562">
        <v>325480731</v>
      </c>
      <c r="E4700" s="562">
        <v>6416102</v>
      </c>
      <c r="F4700" s="562">
        <v>331896900</v>
      </c>
      <c r="G4700" s="562">
        <f t="shared" si="227"/>
        <v>-67</v>
      </c>
      <c r="H4700" s="362"/>
      <c r="I4700" s="362"/>
      <c r="J4700" s="362"/>
    </row>
    <row r="4701" spans="1:10" x14ac:dyDescent="0.25">
      <c r="A4701" s="362"/>
      <c r="B4701" s="611">
        <v>44389</v>
      </c>
      <c r="C4701" s="362" t="s">
        <v>82</v>
      </c>
      <c r="D4701" s="562">
        <v>31288436</v>
      </c>
      <c r="E4701" s="562">
        <v>23984239</v>
      </c>
      <c r="F4701" s="562">
        <v>55272700</v>
      </c>
      <c r="G4701" s="562">
        <f t="shared" si="227"/>
        <v>-25</v>
      </c>
      <c r="H4701" s="362"/>
      <c r="I4701" s="362"/>
      <c r="J4701" s="362"/>
    </row>
    <row r="4702" spans="1:10" x14ac:dyDescent="0.25">
      <c r="A4702" s="362"/>
      <c r="B4702" s="611">
        <v>44389</v>
      </c>
      <c r="C4702" s="362" t="s">
        <v>80</v>
      </c>
      <c r="D4702" s="562">
        <v>322785228</v>
      </c>
      <c r="E4702" s="562"/>
      <c r="F4702" s="562">
        <v>322781000</v>
      </c>
      <c r="G4702" s="562">
        <f t="shared" si="227"/>
        <v>4228</v>
      </c>
      <c r="H4702" s="362"/>
      <c r="I4702" s="362"/>
      <c r="J4702" s="362"/>
    </row>
    <row r="4703" spans="1:10" x14ac:dyDescent="0.25">
      <c r="A4703" s="362"/>
      <c r="B4703" s="611">
        <v>44389</v>
      </c>
      <c r="C4703" s="362" t="s">
        <v>83</v>
      </c>
      <c r="D4703" s="562">
        <v>247288455</v>
      </c>
      <c r="E4703" s="562">
        <v>11221232</v>
      </c>
      <c r="F4703" s="562">
        <v>258509700</v>
      </c>
      <c r="G4703" s="562">
        <f t="shared" si="227"/>
        <v>-13</v>
      </c>
      <c r="H4703" s="362"/>
      <c r="I4703" s="362"/>
      <c r="J4703" s="362"/>
    </row>
    <row r="4704" spans="1:10" x14ac:dyDescent="0.25">
      <c r="A4704" s="362"/>
      <c r="B4704" s="611">
        <v>44389</v>
      </c>
      <c r="C4704" s="362" t="s">
        <v>78</v>
      </c>
      <c r="D4704" s="562">
        <v>110891479</v>
      </c>
      <c r="E4704" s="562">
        <v>2124321</v>
      </c>
      <c r="F4704" s="562">
        <v>113015800</v>
      </c>
      <c r="G4704" s="562">
        <f t="shared" si="227"/>
        <v>0</v>
      </c>
      <c r="H4704" s="362"/>
      <c r="I4704" s="362"/>
      <c r="J4704" s="362"/>
    </row>
    <row r="4705" spans="1:10" x14ac:dyDescent="0.25">
      <c r="A4705" s="362"/>
      <c r="B4705" s="611">
        <v>44389</v>
      </c>
      <c r="C4705" s="362" t="s">
        <v>141</v>
      </c>
      <c r="D4705" s="562">
        <v>55679740</v>
      </c>
      <c r="E4705" s="562">
        <v>639100</v>
      </c>
      <c r="F4705" s="562">
        <v>56318900</v>
      </c>
      <c r="G4705" s="562">
        <f t="shared" si="227"/>
        <v>-60</v>
      </c>
      <c r="H4705" s="362"/>
      <c r="I4705" s="362"/>
      <c r="J4705" s="362"/>
    </row>
    <row r="4706" spans="1:10" x14ac:dyDescent="0.25">
      <c r="A4706" s="362"/>
      <c r="B4706" s="611">
        <v>44389</v>
      </c>
      <c r="C4706" s="362" t="s">
        <v>89</v>
      </c>
      <c r="D4706" s="562">
        <v>126550702</v>
      </c>
      <c r="E4706" s="562">
        <v>33123898</v>
      </c>
      <c r="F4706" s="562">
        <v>159674000</v>
      </c>
      <c r="G4706" s="562">
        <f t="shared" si="227"/>
        <v>600</v>
      </c>
      <c r="H4706" s="362"/>
      <c r="I4706" s="362"/>
      <c r="J4706" s="362"/>
    </row>
    <row r="4707" spans="1:10" x14ac:dyDescent="0.25">
      <c r="A4707" s="362"/>
      <c r="B4707" s="611">
        <v>44389</v>
      </c>
      <c r="C4707" s="362" t="s">
        <v>81</v>
      </c>
      <c r="D4707" s="562">
        <v>105896854</v>
      </c>
      <c r="E4707" s="562">
        <v>11770647</v>
      </c>
      <c r="F4707" s="562">
        <v>117667500</v>
      </c>
      <c r="G4707" s="562">
        <f t="shared" si="227"/>
        <v>1</v>
      </c>
      <c r="H4707" s="362"/>
      <c r="I4707" s="362"/>
      <c r="J4707" s="362"/>
    </row>
    <row r="4708" spans="1:10" x14ac:dyDescent="0.25">
      <c r="A4708" s="362"/>
      <c r="B4708" s="611">
        <v>44389</v>
      </c>
      <c r="C4708" s="362" t="s">
        <v>84</v>
      </c>
      <c r="D4708" s="562">
        <v>174216454</v>
      </c>
      <c r="E4708" s="562">
        <v>7629207</v>
      </c>
      <c r="F4708" s="562">
        <v>181945600</v>
      </c>
      <c r="G4708" s="562">
        <f t="shared" si="227"/>
        <v>-99939</v>
      </c>
      <c r="H4708" s="362"/>
      <c r="I4708" s="362"/>
      <c r="J4708" s="362"/>
    </row>
    <row r="4709" spans="1:10" x14ac:dyDescent="0.25">
      <c r="A4709" s="362"/>
      <c r="B4709" s="611">
        <v>44389</v>
      </c>
      <c r="C4709" s="362" t="s">
        <v>4751</v>
      </c>
      <c r="D4709" s="562">
        <v>179363656</v>
      </c>
      <c r="E4709" s="562">
        <v>12851544</v>
      </c>
      <c r="F4709" s="562">
        <v>192215200</v>
      </c>
      <c r="G4709" s="562">
        <f t="shared" si="227"/>
        <v>0</v>
      </c>
      <c r="H4709" s="362"/>
      <c r="I4709" s="362"/>
      <c r="J4709" s="362"/>
    </row>
    <row r="4710" spans="1:10" x14ac:dyDescent="0.25">
      <c r="A4710" s="362"/>
      <c r="B4710" s="611">
        <v>44389</v>
      </c>
      <c r="C4710" s="362" t="s">
        <v>166</v>
      </c>
      <c r="D4710" s="562">
        <v>45316201</v>
      </c>
      <c r="E4710" s="562"/>
      <c r="F4710" s="562">
        <v>45316500</v>
      </c>
      <c r="G4710" s="562">
        <f t="shared" si="227"/>
        <v>-299</v>
      </c>
      <c r="H4710" s="362"/>
      <c r="I4710" s="362"/>
      <c r="J4710" s="362"/>
    </row>
    <row r="4711" spans="1:10" x14ac:dyDescent="0.25">
      <c r="A4711" s="362"/>
      <c r="B4711" s="611">
        <v>44389</v>
      </c>
      <c r="C4711" s="362" t="s">
        <v>3435</v>
      </c>
      <c r="D4711" s="562">
        <v>44156584</v>
      </c>
      <c r="E4711" s="562"/>
      <c r="F4711" s="562">
        <v>44156600</v>
      </c>
      <c r="G4711" s="562">
        <f t="shared" si="227"/>
        <v>-16</v>
      </c>
      <c r="H4711" s="362"/>
      <c r="I4711" s="362"/>
      <c r="J4711" s="362"/>
    </row>
    <row r="4712" spans="1:10" x14ac:dyDescent="0.25">
      <c r="A4712" s="362"/>
      <c r="B4712" s="611">
        <v>44389</v>
      </c>
      <c r="C4712" s="370" t="s">
        <v>85</v>
      </c>
      <c r="D4712" s="562">
        <v>32898700</v>
      </c>
      <c r="E4712" s="562"/>
      <c r="F4712" s="562">
        <v>32898700</v>
      </c>
      <c r="G4712" s="562">
        <f t="shared" si="227"/>
        <v>0</v>
      </c>
      <c r="H4712" s="362"/>
      <c r="I4712" s="362"/>
      <c r="J4712" s="362"/>
    </row>
    <row r="4713" spans="1:10" x14ac:dyDescent="0.25">
      <c r="A4713" s="532"/>
      <c r="B4713" s="532"/>
      <c r="C4713" s="532"/>
      <c r="D4713" s="564">
        <f>SUM(D4698:D4712)</f>
        <v>1945128707</v>
      </c>
      <c r="E4713" s="564">
        <f t="shared" ref="E4713:G4713" si="229">SUM(E4698:E4712)</f>
        <v>141629716</v>
      </c>
      <c r="F4713" s="564">
        <f t="shared" si="229"/>
        <v>2086854000</v>
      </c>
      <c r="G4713" s="564">
        <f t="shared" si="229"/>
        <v>-95577</v>
      </c>
      <c r="H4713" s="532"/>
      <c r="I4713" s="532"/>
      <c r="J4713" s="532"/>
    </row>
    <row r="4714" spans="1:10" x14ac:dyDescent="0.25">
      <c r="A4714" s="362"/>
      <c r="B4714" s="611">
        <v>44390</v>
      </c>
      <c r="C4714" s="362" t="s">
        <v>86</v>
      </c>
      <c r="D4714" s="562">
        <v>96450281</v>
      </c>
      <c r="E4714" s="562">
        <v>138359959</v>
      </c>
      <c r="F4714" s="562"/>
      <c r="G4714" s="562">
        <f t="shared" si="227"/>
        <v>234810240</v>
      </c>
      <c r="H4714" s="362"/>
      <c r="I4714" s="362"/>
      <c r="J4714" s="362"/>
    </row>
    <row r="4715" spans="1:10" x14ac:dyDescent="0.25">
      <c r="A4715" s="362"/>
      <c r="B4715" s="611">
        <v>44390</v>
      </c>
      <c r="C4715" s="362" t="s">
        <v>87</v>
      </c>
      <c r="D4715" s="562">
        <v>127987256</v>
      </c>
      <c r="E4715" s="562">
        <v>40102398</v>
      </c>
      <c r="F4715" s="562"/>
      <c r="G4715" s="562">
        <f t="shared" si="227"/>
        <v>168089654</v>
      </c>
      <c r="H4715" s="362"/>
      <c r="I4715" s="362"/>
      <c r="J4715" s="362"/>
    </row>
    <row r="4716" spans="1:10" x14ac:dyDescent="0.25">
      <c r="A4716" s="362"/>
      <c r="B4716" s="611">
        <v>44390</v>
      </c>
      <c r="C4716" s="362" t="s">
        <v>88</v>
      </c>
      <c r="D4716" s="562">
        <v>143154883</v>
      </c>
      <c r="E4716" s="562">
        <v>78041323</v>
      </c>
      <c r="F4716" s="562"/>
      <c r="G4716" s="562">
        <f t="shared" si="227"/>
        <v>221196206</v>
      </c>
      <c r="H4716" s="362"/>
      <c r="I4716" s="362"/>
      <c r="J4716" s="362"/>
    </row>
    <row r="4717" spans="1:10" x14ac:dyDescent="0.25">
      <c r="A4717" s="362"/>
      <c r="B4717" s="611">
        <v>44390</v>
      </c>
      <c r="C4717" s="362" t="s">
        <v>82</v>
      </c>
      <c r="D4717" s="562">
        <v>57072142</v>
      </c>
      <c r="E4717" s="562">
        <v>1161715</v>
      </c>
      <c r="F4717" s="562"/>
      <c r="G4717" s="562">
        <f t="shared" si="227"/>
        <v>58233857</v>
      </c>
      <c r="H4717" s="362"/>
      <c r="I4717" s="362"/>
      <c r="J4717" s="362"/>
    </row>
    <row r="4718" spans="1:10" x14ac:dyDescent="0.25">
      <c r="A4718" s="362"/>
      <c r="B4718" s="611">
        <v>44390</v>
      </c>
      <c r="C4718" s="362" t="s">
        <v>80</v>
      </c>
      <c r="D4718" s="562">
        <v>308065191</v>
      </c>
      <c r="E4718" s="562"/>
      <c r="F4718" s="562"/>
      <c r="G4718" s="562">
        <f t="shared" si="227"/>
        <v>308065191</v>
      </c>
      <c r="H4718" s="362"/>
      <c r="I4718" s="362"/>
      <c r="J4718" s="362"/>
    </row>
    <row r="4719" spans="1:10" x14ac:dyDescent="0.25">
      <c r="A4719" s="362"/>
      <c r="B4719" s="611">
        <v>44390</v>
      </c>
      <c r="C4719" s="362" t="s">
        <v>83</v>
      </c>
      <c r="D4719" s="562">
        <v>269489855</v>
      </c>
      <c r="E4719" s="562">
        <v>73850754</v>
      </c>
      <c r="F4719" s="562"/>
      <c r="G4719" s="562">
        <f t="shared" si="227"/>
        <v>343340609</v>
      </c>
      <c r="H4719" s="362"/>
      <c r="I4719" s="362"/>
      <c r="J4719" s="362"/>
    </row>
    <row r="4720" spans="1:10" x14ac:dyDescent="0.25">
      <c r="A4720" s="362"/>
      <c r="B4720" s="611">
        <v>44390</v>
      </c>
      <c r="C4720" s="362" t="s">
        <v>78</v>
      </c>
      <c r="D4720" s="562">
        <v>76984966</v>
      </c>
      <c r="E4720" s="562">
        <v>978934</v>
      </c>
      <c r="F4720" s="562"/>
      <c r="G4720" s="562">
        <f t="shared" si="227"/>
        <v>77963900</v>
      </c>
      <c r="H4720" s="362"/>
      <c r="I4720" s="362"/>
      <c r="J4720" s="362"/>
    </row>
    <row r="4721" spans="1:10" x14ac:dyDescent="0.25">
      <c r="A4721" s="362"/>
      <c r="B4721" s="611">
        <v>44390</v>
      </c>
      <c r="C4721" s="362" t="s">
        <v>141</v>
      </c>
      <c r="D4721" s="562">
        <v>54419367</v>
      </c>
      <c r="E4721" s="562">
        <v>489075</v>
      </c>
      <c r="F4721" s="562"/>
      <c r="G4721" s="562">
        <f t="shared" si="227"/>
        <v>54908442</v>
      </c>
      <c r="H4721" s="362"/>
      <c r="I4721" s="362"/>
      <c r="J4721" s="362"/>
    </row>
    <row r="4722" spans="1:10" x14ac:dyDescent="0.25">
      <c r="A4722" s="362"/>
      <c r="B4722" s="611">
        <v>44390</v>
      </c>
      <c r="C4722" s="362" t="s">
        <v>89</v>
      </c>
      <c r="D4722" s="562">
        <v>154921897</v>
      </c>
      <c r="E4722" s="562">
        <v>33792103</v>
      </c>
      <c r="F4722" s="562"/>
      <c r="G4722" s="562">
        <f t="shared" si="227"/>
        <v>188714000</v>
      </c>
      <c r="H4722" s="362"/>
      <c r="I4722" s="362"/>
      <c r="J4722" s="362"/>
    </row>
    <row r="4723" spans="1:10" x14ac:dyDescent="0.25">
      <c r="A4723" s="362"/>
      <c r="B4723" s="611">
        <v>44390</v>
      </c>
      <c r="C4723" s="362" t="s">
        <v>81</v>
      </c>
      <c r="D4723" s="562">
        <v>139290784</v>
      </c>
      <c r="E4723" s="562">
        <v>4219576</v>
      </c>
      <c r="F4723" s="562"/>
      <c r="G4723" s="562">
        <f t="shared" si="227"/>
        <v>143510360</v>
      </c>
      <c r="H4723" s="362"/>
      <c r="I4723" s="362"/>
      <c r="J4723" s="362"/>
    </row>
    <row r="4724" spans="1:10" x14ac:dyDescent="0.25">
      <c r="A4724" s="362"/>
      <c r="B4724" s="611">
        <v>44390</v>
      </c>
      <c r="C4724" s="362" t="s">
        <v>84</v>
      </c>
      <c r="D4724" s="562">
        <v>146482731</v>
      </c>
      <c r="E4724" s="562">
        <v>15448768</v>
      </c>
      <c r="F4724" s="562"/>
      <c r="G4724" s="562">
        <f t="shared" si="227"/>
        <v>161931499</v>
      </c>
      <c r="H4724" s="362"/>
      <c r="I4724" s="362"/>
      <c r="J4724" s="362"/>
    </row>
    <row r="4725" spans="1:10" x14ac:dyDescent="0.25">
      <c r="A4725" s="362"/>
      <c r="B4725" s="611">
        <v>44390</v>
      </c>
      <c r="C4725" s="362" t="s">
        <v>4751</v>
      </c>
      <c r="D4725" s="562">
        <v>235632377</v>
      </c>
      <c r="E4725" s="562">
        <v>13931423</v>
      </c>
      <c r="F4725" s="562"/>
      <c r="G4725" s="562">
        <f t="shared" si="227"/>
        <v>249563800</v>
      </c>
      <c r="H4725" s="362"/>
      <c r="I4725" s="362"/>
      <c r="J4725" s="362"/>
    </row>
    <row r="4726" spans="1:10" x14ac:dyDescent="0.25">
      <c r="A4726" s="362"/>
      <c r="B4726" s="611">
        <v>44390</v>
      </c>
      <c r="C4726" s="362" t="s">
        <v>166</v>
      </c>
      <c r="D4726" s="562">
        <v>60105919</v>
      </c>
      <c r="E4726" s="562"/>
      <c r="F4726" s="562"/>
      <c r="G4726" s="562">
        <f t="shared" si="227"/>
        <v>60105919</v>
      </c>
      <c r="H4726" s="362"/>
      <c r="I4726" s="362"/>
      <c r="J4726" s="362"/>
    </row>
    <row r="4727" spans="1:10" x14ac:dyDescent="0.25">
      <c r="A4727" s="362"/>
      <c r="B4727" s="611">
        <v>44390</v>
      </c>
      <c r="C4727" s="362" t="s">
        <v>3435</v>
      </c>
      <c r="D4727" s="562">
        <v>217019165</v>
      </c>
      <c r="E4727" s="562"/>
      <c r="F4727" s="562"/>
      <c r="G4727" s="562">
        <f t="shared" si="227"/>
        <v>217019165</v>
      </c>
      <c r="H4727" s="362"/>
      <c r="I4727" s="362"/>
      <c r="J4727" s="362"/>
    </row>
    <row r="4728" spans="1:10" x14ac:dyDescent="0.25">
      <c r="A4728" s="362"/>
      <c r="B4728" s="611">
        <v>44390</v>
      </c>
      <c r="C4728" s="370" t="s">
        <v>85</v>
      </c>
      <c r="D4728" s="562">
        <v>27197600</v>
      </c>
      <c r="E4728" s="562"/>
      <c r="F4728" s="562"/>
      <c r="G4728" s="562">
        <f t="shared" si="227"/>
        <v>27197600</v>
      </c>
      <c r="H4728" s="362"/>
      <c r="I4728" s="362"/>
      <c r="J4728" s="362"/>
    </row>
    <row r="4729" spans="1:10" x14ac:dyDescent="0.25">
      <c r="A4729" s="532"/>
      <c r="B4729" s="532"/>
      <c r="C4729" s="532"/>
      <c r="D4729" s="564">
        <f>SUM(D4714:D4728)</f>
        <v>2114274414</v>
      </c>
      <c r="E4729" s="564">
        <f t="shared" ref="E4729:G4729" si="230">SUM(E4714:E4728)</f>
        <v>400376028</v>
      </c>
      <c r="F4729" s="564">
        <f t="shared" si="230"/>
        <v>0</v>
      </c>
      <c r="G4729" s="564">
        <f t="shared" si="230"/>
        <v>2514650442</v>
      </c>
      <c r="H4729" s="532"/>
      <c r="I4729" s="532"/>
      <c r="J4729" s="532"/>
    </row>
    <row r="4730" spans="1:10" x14ac:dyDescent="0.25">
      <c r="A4730" s="362"/>
      <c r="B4730" s="611">
        <v>44391</v>
      </c>
      <c r="C4730" s="362" t="s">
        <v>86</v>
      </c>
      <c r="D4730" s="562">
        <v>79585215</v>
      </c>
      <c r="E4730" s="562">
        <v>64951409</v>
      </c>
      <c r="F4730" s="562"/>
      <c r="G4730" s="562">
        <f t="shared" si="227"/>
        <v>144536624</v>
      </c>
      <c r="H4730" s="362"/>
      <c r="I4730" s="362"/>
      <c r="J4730" s="362"/>
    </row>
    <row r="4731" spans="1:10" x14ac:dyDescent="0.25">
      <c r="A4731" s="362"/>
      <c r="B4731" s="611">
        <v>44391</v>
      </c>
      <c r="C4731" s="362" t="s">
        <v>87</v>
      </c>
      <c r="D4731" s="562">
        <v>98022662</v>
      </c>
      <c r="E4731" s="562">
        <v>18271467</v>
      </c>
      <c r="F4731" s="562"/>
      <c r="G4731" s="562">
        <f t="shared" si="227"/>
        <v>116294129</v>
      </c>
      <c r="H4731" s="362"/>
      <c r="I4731" s="362"/>
      <c r="J4731" s="362"/>
    </row>
    <row r="4732" spans="1:10" x14ac:dyDescent="0.25">
      <c r="A4732" s="362"/>
      <c r="B4732" s="611">
        <v>44391</v>
      </c>
      <c r="C4732" s="362" t="s">
        <v>88</v>
      </c>
      <c r="D4732" s="562">
        <v>163635608</v>
      </c>
      <c r="E4732" s="562">
        <v>9427360</v>
      </c>
      <c r="F4732" s="562"/>
      <c r="G4732" s="562">
        <f t="shared" si="227"/>
        <v>173062968</v>
      </c>
      <c r="H4732" s="362"/>
      <c r="I4732" s="362"/>
      <c r="J4732" s="362"/>
    </row>
    <row r="4733" spans="1:10" x14ac:dyDescent="0.25">
      <c r="A4733" s="362"/>
      <c r="B4733" s="611">
        <v>44391</v>
      </c>
      <c r="C4733" s="362" t="s">
        <v>82</v>
      </c>
      <c r="D4733" s="562">
        <v>61539738</v>
      </c>
      <c r="E4733" s="562">
        <v>924308</v>
      </c>
      <c r="F4733" s="562"/>
      <c r="G4733" s="562">
        <f t="shared" si="227"/>
        <v>62464046</v>
      </c>
      <c r="H4733" s="362"/>
      <c r="I4733" s="362"/>
      <c r="J4733" s="362"/>
    </row>
    <row r="4734" spans="1:10" x14ac:dyDescent="0.25">
      <c r="A4734" s="362"/>
      <c r="B4734" s="611">
        <v>44391</v>
      </c>
      <c r="C4734" s="362" t="s">
        <v>80</v>
      </c>
      <c r="D4734" s="562">
        <v>285727007</v>
      </c>
      <c r="E4734" s="562">
        <v>7095700</v>
      </c>
      <c r="F4734" s="562"/>
      <c r="G4734" s="562">
        <f t="shared" si="227"/>
        <v>292822707</v>
      </c>
      <c r="H4734" s="362"/>
      <c r="I4734" s="362"/>
      <c r="J4734" s="362"/>
    </row>
    <row r="4735" spans="1:10" x14ac:dyDescent="0.25">
      <c r="A4735" s="362"/>
      <c r="B4735" s="611">
        <v>44391</v>
      </c>
      <c r="C4735" s="362" t="s">
        <v>83</v>
      </c>
      <c r="D4735" s="562">
        <v>189194274</v>
      </c>
      <c r="E4735" s="562">
        <v>15662848</v>
      </c>
      <c r="F4735" s="562"/>
      <c r="G4735" s="562">
        <f t="shared" si="227"/>
        <v>204857122</v>
      </c>
      <c r="H4735" s="362"/>
      <c r="I4735" s="362"/>
      <c r="J4735" s="362"/>
    </row>
    <row r="4736" spans="1:10" x14ac:dyDescent="0.25">
      <c r="A4736" s="362"/>
      <c r="B4736" s="611">
        <v>44391</v>
      </c>
      <c r="C4736" s="362" t="s">
        <v>78</v>
      </c>
      <c r="D4736" s="562">
        <v>113798191</v>
      </c>
      <c r="E4736" s="562">
        <v>2044309</v>
      </c>
      <c r="F4736" s="562"/>
      <c r="G4736" s="562">
        <f t="shared" si="227"/>
        <v>115842500</v>
      </c>
      <c r="H4736" s="362"/>
      <c r="I4736" s="362"/>
      <c r="J4736" s="362"/>
    </row>
    <row r="4737" spans="1:10" x14ac:dyDescent="0.25">
      <c r="A4737" s="362"/>
      <c r="B4737" s="611">
        <v>44391</v>
      </c>
      <c r="C4737" s="362" t="s">
        <v>141</v>
      </c>
      <c r="D4737" s="562">
        <v>54846941</v>
      </c>
      <c r="E4737" s="562">
        <v>1358807</v>
      </c>
      <c r="F4737" s="562"/>
      <c r="G4737" s="562">
        <f t="shared" si="227"/>
        <v>56205748</v>
      </c>
      <c r="H4737" s="362"/>
      <c r="I4737" s="362"/>
      <c r="J4737" s="362"/>
    </row>
    <row r="4738" spans="1:10" x14ac:dyDescent="0.25">
      <c r="A4738" s="362"/>
      <c r="B4738" s="611">
        <v>44391</v>
      </c>
      <c r="C4738" s="362" t="s">
        <v>89</v>
      </c>
      <c r="D4738" s="562">
        <v>97226002</v>
      </c>
      <c r="E4738" s="562">
        <v>24164498</v>
      </c>
      <c r="F4738" s="562"/>
      <c r="G4738" s="562">
        <f t="shared" si="227"/>
        <v>121390500</v>
      </c>
      <c r="H4738" s="362"/>
      <c r="I4738" s="362"/>
      <c r="J4738" s="362"/>
    </row>
    <row r="4739" spans="1:10" x14ac:dyDescent="0.25">
      <c r="A4739" s="362"/>
      <c r="B4739" s="611">
        <v>44391</v>
      </c>
      <c r="C4739" s="362" t="s">
        <v>81</v>
      </c>
      <c r="D4739" s="562">
        <v>121408783</v>
      </c>
      <c r="E4739" s="562">
        <v>7260601</v>
      </c>
      <c r="F4739" s="562"/>
      <c r="G4739" s="562">
        <f t="shared" si="227"/>
        <v>128669384</v>
      </c>
      <c r="H4739" s="362"/>
      <c r="I4739" s="362"/>
      <c r="J4739" s="362"/>
    </row>
    <row r="4740" spans="1:10" x14ac:dyDescent="0.25">
      <c r="A4740" s="362"/>
      <c r="B4740" s="611">
        <v>44391</v>
      </c>
      <c r="C4740" s="362" t="s">
        <v>84</v>
      </c>
      <c r="D4740" s="562">
        <v>221308807</v>
      </c>
      <c r="E4740" s="562">
        <v>6208033</v>
      </c>
      <c r="F4740" s="562"/>
      <c r="G4740" s="562">
        <f t="shared" si="227"/>
        <v>227516840</v>
      </c>
      <c r="H4740" s="362"/>
      <c r="I4740" s="362"/>
      <c r="J4740" s="362"/>
    </row>
    <row r="4741" spans="1:10" x14ac:dyDescent="0.25">
      <c r="A4741" s="362"/>
      <c r="B4741" s="611">
        <v>44391</v>
      </c>
      <c r="C4741" s="362" t="s">
        <v>4751</v>
      </c>
      <c r="D4741" s="562">
        <v>215322092</v>
      </c>
      <c r="E4741" s="562">
        <v>10983908</v>
      </c>
      <c r="F4741" s="562"/>
      <c r="G4741" s="562">
        <f t="shared" si="227"/>
        <v>226306000</v>
      </c>
      <c r="H4741" s="362"/>
      <c r="I4741" s="362"/>
      <c r="J4741" s="362"/>
    </row>
    <row r="4742" spans="1:10" x14ac:dyDescent="0.25">
      <c r="A4742" s="362"/>
      <c r="B4742" s="611">
        <v>44391</v>
      </c>
      <c r="C4742" s="362" t="s">
        <v>166</v>
      </c>
      <c r="D4742" s="562">
        <v>50393773</v>
      </c>
      <c r="E4742" s="562"/>
      <c r="F4742" s="562"/>
      <c r="G4742" s="562">
        <f t="shared" si="227"/>
        <v>50393773</v>
      </c>
      <c r="H4742" s="362"/>
      <c r="I4742" s="362"/>
      <c r="J4742" s="362"/>
    </row>
    <row r="4743" spans="1:10" x14ac:dyDescent="0.25">
      <c r="A4743" s="362"/>
      <c r="B4743" s="611">
        <v>44391</v>
      </c>
      <c r="C4743" s="362" t="s">
        <v>3435</v>
      </c>
      <c r="D4743" s="562">
        <v>89470525</v>
      </c>
      <c r="E4743" s="562"/>
      <c r="F4743" s="562"/>
      <c r="G4743" s="562">
        <f t="shared" si="227"/>
        <v>89470525</v>
      </c>
      <c r="H4743" s="362"/>
      <c r="I4743" s="362"/>
      <c r="J4743" s="362"/>
    </row>
    <row r="4744" spans="1:10" x14ac:dyDescent="0.25">
      <c r="A4744" s="362"/>
      <c r="B4744" s="611">
        <v>44391</v>
      </c>
      <c r="C4744" s="370" t="s">
        <v>85</v>
      </c>
      <c r="D4744" s="562">
        <v>35229900</v>
      </c>
      <c r="E4744" s="562"/>
      <c r="F4744" s="562"/>
      <c r="G4744" s="562">
        <f t="shared" si="227"/>
        <v>35229900</v>
      </c>
      <c r="H4744" s="362"/>
      <c r="I4744" s="362"/>
      <c r="J4744" s="362"/>
    </row>
    <row r="4745" spans="1:10" x14ac:dyDescent="0.25">
      <c r="A4745" s="532"/>
      <c r="B4745" s="532"/>
      <c r="C4745" s="532"/>
      <c r="D4745" s="564">
        <f>SUM(D4730:D4744)</f>
        <v>1876709518</v>
      </c>
      <c r="E4745" s="564">
        <f t="shared" ref="E4745:G4745" si="231">SUM(E4730:E4744)</f>
        <v>168353248</v>
      </c>
      <c r="F4745" s="564">
        <f t="shared" si="231"/>
        <v>0</v>
      </c>
      <c r="G4745" s="564">
        <f t="shared" si="231"/>
        <v>2045062766</v>
      </c>
      <c r="H4745" s="532"/>
      <c r="I4745" s="532"/>
      <c r="J4745" s="532"/>
    </row>
    <row r="4746" spans="1:10" x14ac:dyDescent="0.25">
      <c r="A4746" s="362"/>
      <c r="B4746" s="611">
        <v>44392</v>
      </c>
      <c r="C4746" s="362" t="s">
        <v>86</v>
      </c>
      <c r="D4746" s="562">
        <v>46197062</v>
      </c>
      <c r="E4746" s="562">
        <v>183648288</v>
      </c>
      <c r="F4746" s="562"/>
      <c r="G4746" s="562">
        <f t="shared" si="227"/>
        <v>229845350</v>
      </c>
      <c r="H4746" s="362"/>
      <c r="I4746" s="362"/>
      <c r="J4746" s="362"/>
    </row>
    <row r="4747" spans="1:10" x14ac:dyDescent="0.25">
      <c r="A4747" s="362"/>
      <c r="B4747" s="611">
        <v>44392</v>
      </c>
      <c r="C4747" s="362" t="s">
        <v>87</v>
      </c>
      <c r="D4747" s="562">
        <v>115620380</v>
      </c>
      <c r="E4747" s="562">
        <v>24932745</v>
      </c>
      <c r="F4747" s="562"/>
      <c r="G4747" s="562">
        <f t="shared" si="227"/>
        <v>140553125</v>
      </c>
      <c r="H4747" s="362"/>
      <c r="I4747" s="362"/>
      <c r="J4747" s="362"/>
    </row>
    <row r="4748" spans="1:10" x14ac:dyDescent="0.25">
      <c r="A4748" s="362"/>
      <c r="B4748" s="611">
        <v>44392</v>
      </c>
      <c r="C4748" s="362" t="s">
        <v>88</v>
      </c>
      <c r="D4748" s="562">
        <v>171386093</v>
      </c>
      <c r="E4748" s="562">
        <v>29564017</v>
      </c>
      <c r="F4748" s="562"/>
      <c r="G4748" s="562">
        <f t="shared" ref="G4748:G4811" si="232">D4748+E4748-F4748</f>
        <v>200950110</v>
      </c>
      <c r="H4748" s="362"/>
      <c r="I4748" s="362"/>
      <c r="J4748" s="362"/>
    </row>
    <row r="4749" spans="1:10" x14ac:dyDescent="0.25">
      <c r="A4749" s="362"/>
      <c r="B4749" s="611">
        <v>44392</v>
      </c>
      <c r="C4749" s="362" t="s">
        <v>82</v>
      </c>
      <c r="D4749" s="562">
        <v>64861247</v>
      </c>
      <c r="E4749" s="562">
        <v>4571360</v>
      </c>
      <c r="F4749" s="562"/>
      <c r="G4749" s="562">
        <f t="shared" si="232"/>
        <v>69432607</v>
      </c>
      <c r="H4749" s="362"/>
      <c r="I4749" s="362"/>
      <c r="J4749" s="362"/>
    </row>
    <row r="4750" spans="1:10" x14ac:dyDescent="0.25">
      <c r="A4750" s="362"/>
      <c r="B4750" s="611">
        <v>44392</v>
      </c>
      <c r="C4750" s="362" t="s">
        <v>80</v>
      </c>
      <c r="D4750" s="562">
        <v>339938666</v>
      </c>
      <c r="E4750" s="562"/>
      <c r="F4750" s="562"/>
      <c r="G4750" s="562">
        <f t="shared" si="232"/>
        <v>339938666</v>
      </c>
      <c r="H4750" s="362"/>
      <c r="I4750" s="362"/>
      <c r="J4750" s="362"/>
    </row>
    <row r="4751" spans="1:10" x14ac:dyDescent="0.25">
      <c r="A4751" s="362"/>
      <c r="B4751" s="611">
        <v>44392</v>
      </c>
      <c r="C4751" s="362" t="s">
        <v>83</v>
      </c>
      <c r="D4751" s="562">
        <v>194834134</v>
      </c>
      <c r="E4751" s="562">
        <v>6310934</v>
      </c>
      <c r="F4751" s="562"/>
      <c r="G4751" s="562">
        <f t="shared" si="232"/>
        <v>201145068</v>
      </c>
      <c r="H4751" s="362"/>
      <c r="I4751" s="362"/>
      <c r="J4751" s="362"/>
    </row>
    <row r="4752" spans="1:10" x14ac:dyDescent="0.25">
      <c r="A4752" s="362"/>
      <c r="B4752" s="611">
        <v>44392</v>
      </c>
      <c r="C4752" s="362" t="s">
        <v>78</v>
      </c>
      <c r="D4752" s="562">
        <v>80928026</v>
      </c>
      <c r="E4752" s="562">
        <v>2959974</v>
      </c>
      <c r="F4752" s="562"/>
      <c r="G4752" s="562">
        <f t="shared" si="232"/>
        <v>83888000</v>
      </c>
      <c r="H4752" s="362"/>
      <c r="I4752" s="362"/>
      <c r="J4752" s="362"/>
    </row>
    <row r="4753" spans="1:10" x14ac:dyDescent="0.25">
      <c r="A4753" s="362"/>
      <c r="B4753" s="611">
        <v>44392</v>
      </c>
      <c r="C4753" s="362" t="s">
        <v>141</v>
      </c>
      <c r="D4753" s="562">
        <v>59173181</v>
      </c>
      <c r="E4753" s="562">
        <v>440000</v>
      </c>
      <c r="F4753" s="562"/>
      <c r="G4753" s="562">
        <f t="shared" si="232"/>
        <v>59613181</v>
      </c>
      <c r="H4753" s="362"/>
      <c r="I4753" s="362"/>
      <c r="J4753" s="362"/>
    </row>
    <row r="4754" spans="1:10" x14ac:dyDescent="0.25">
      <c r="A4754" s="362"/>
      <c r="B4754" s="611">
        <v>44392</v>
      </c>
      <c r="C4754" s="362" t="s">
        <v>89</v>
      </c>
      <c r="D4754" s="562">
        <v>162774020</v>
      </c>
      <c r="E4754" s="562">
        <v>7394980</v>
      </c>
      <c r="F4754" s="562"/>
      <c r="G4754" s="562">
        <f t="shared" si="232"/>
        <v>170169000</v>
      </c>
      <c r="H4754" s="362"/>
      <c r="I4754" s="362"/>
      <c r="J4754" s="362"/>
    </row>
    <row r="4755" spans="1:10" x14ac:dyDescent="0.25">
      <c r="A4755" s="362"/>
      <c r="B4755" s="611">
        <v>44392</v>
      </c>
      <c r="C4755" s="362" t="s">
        <v>81</v>
      </c>
      <c r="D4755" s="562">
        <v>38485597</v>
      </c>
      <c r="E4755" s="562">
        <v>14439575</v>
      </c>
      <c r="F4755" s="562"/>
      <c r="G4755" s="562">
        <f t="shared" si="232"/>
        <v>52925172</v>
      </c>
      <c r="H4755" s="362"/>
      <c r="I4755" s="362"/>
      <c r="J4755" s="362"/>
    </row>
    <row r="4756" spans="1:10" x14ac:dyDescent="0.25">
      <c r="A4756" s="362"/>
      <c r="B4756" s="611">
        <v>44392</v>
      </c>
      <c r="C4756" s="362" t="s">
        <v>84</v>
      </c>
      <c r="D4756" s="562">
        <v>358239465</v>
      </c>
      <c r="E4756" s="562">
        <v>9060929</v>
      </c>
      <c r="F4756" s="562"/>
      <c r="G4756" s="562">
        <f t="shared" si="232"/>
        <v>367300394</v>
      </c>
      <c r="H4756" s="362"/>
      <c r="I4756" s="362"/>
      <c r="J4756" s="362"/>
    </row>
    <row r="4757" spans="1:10" x14ac:dyDescent="0.25">
      <c r="A4757" s="362"/>
      <c r="B4757" s="611">
        <v>44392</v>
      </c>
      <c r="C4757" s="362" t="s">
        <v>4751</v>
      </c>
      <c r="D4757" s="562">
        <v>286029991</v>
      </c>
      <c r="E4757" s="562">
        <v>29697109</v>
      </c>
      <c r="F4757" s="562"/>
      <c r="G4757" s="562">
        <f t="shared" si="232"/>
        <v>315727100</v>
      </c>
      <c r="H4757" s="362"/>
      <c r="I4757" s="362"/>
      <c r="J4757" s="362"/>
    </row>
    <row r="4758" spans="1:10" x14ac:dyDescent="0.25">
      <c r="A4758" s="362"/>
      <c r="B4758" s="611">
        <v>44392</v>
      </c>
      <c r="C4758" s="362" t="s">
        <v>166</v>
      </c>
      <c r="D4758" s="562">
        <v>66896618</v>
      </c>
      <c r="E4758" s="562"/>
      <c r="F4758" s="562"/>
      <c r="G4758" s="562">
        <f t="shared" si="232"/>
        <v>66896618</v>
      </c>
      <c r="H4758" s="362"/>
      <c r="I4758" s="362"/>
      <c r="J4758" s="362"/>
    </row>
    <row r="4759" spans="1:10" x14ac:dyDescent="0.25">
      <c r="A4759" s="362"/>
      <c r="B4759" s="611">
        <v>44392</v>
      </c>
      <c r="C4759" s="362" t="s">
        <v>3435</v>
      </c>
      <c r="D4759" s="562">
        <v>94371525</v>
      </c>
      <c r="E4759" s="562"/>
      <c r="F4759" s="562"/>
      <c r="G4759" s="562">
        <f t="shared" si="232"/>
        <v>94371525</v>
      </c>
      <c r="H4759" s="362"/>
      <c r="I4759" s="362"/>
      <c r="J4759" s="362"/>
    </row>
    <row r="4760" spans="1:10" x14ac:dyDescent="0.25">
      <c r="A4760" s="362"/>
      <c r="B4760" s="611">
        <v>44392</v>
      </c>
      <c r="C4760" s="370" t="s">
        <v>85</v>
      </c>
      <c r="D4760" s="562">
        <v>18652200</v>
      </c>
      <c r="E4760" s="562"/>
      <c r="F4760" s="562"/>
      <c r="G4760" s="562">
        <f t="shared" si="232"/>
        <v>18652200</v>
      </c>
      <c r="H4760" s="362"/>
      <c r="I4760" s="362"/>
      <c r="J4760" s="362"/>
    </row>
    <row r="4761" spans="1:10" x14ac:dyDescent="0.25">
      <c r="A4761" s="532"/>
      <c r="B4761" s="532"/>
      <c r="C4761" s="532"/>
      <c r="D4761" s="564">
        <f>SUM(D4746:D4760)</f>
        <v>2098388205</v>
      </c>
      <c r="E4761" s="564">
        <f t="shared" ref="E4761:G4761" si="233">SUM(E4746:E4760)</f>
        <v>313019911</v>
      </c>
      <c r="F4761" s="564">
        <f t="shared" si="233"/>
        <v>0</v>
      </c>
      <c r="G4761" s="564">
        <f t="shared" si="233"/>
        <v>2411408116</v>
      </c>
      <c r="H4761" s="532"/>
      <c r="I4761" s="532"/>
      <c r="J4761" s="532"/>
    </row>
    <row r="4762" spans="1:10" x14ac:dyDescent="0.25">
      <c r="A4762" s="362"/>
      <c r="B4762" s="611">
        <v>44393</v>
      </c>
      <c r="C4762" s="362" t="s">
        <v>86</v>
      </c>
      <c r="D4762" s="562">
        <v>35149017</v>
      </c>
      <c r="E4762" s="562">
        <v>5528928</v>
      </c>
      <c r="F4762" s="562">
        <v>40678100</v>
      </c>
      <c r="G4762" s="562">
        <f t="shared" si="232"/>
        <v>-155</v>
      </c>
      <c r="H4762" s="362"/>
      <c r="I4762" s="362"/>
      <c r="J4762" s="362"/>
    </row>
    <row r="4763" spans="1:10" x14ac:dyDescent="0.25">
      <c r="A4763" s="362"/>
      <c r="B4763" s="611">
        <v>44393</v>
      </c>
      <c r="C4763" s="362" t="s">
        <v>87</v>
      </c>
      <c r="D4763" s="562">
        <v>158051464</v>
      </c>
      <c r="E4763" s="562">
        <v>72954768</v>
      </c>
      <c r="F4763" s="562">
        <v>231006400</v>
      </c>
      <c r="G4763" s="562">
        <f t="shared" si="232"/>
        <v>-168</v>
      </c>
      <c r="H4763" s="362"/>
      <c r="I4763" s="362"/>
      <c r="J4763" s="362"/>
    </row>
    <row r="4764" spans="1:10" x14ac:dyDescent="0.25">
      <c r="A4764" s="362"/>
      <c r="B4764" s="611">
        <v>44393</v>
      </c>
      <c r="C4764" s="362" t="s">
        <v>88</v>
      </c>
      <c r="D4764" s="562">
        <v>122459030</v>
      </c>
      <c r="E4764" s="562">
        <v>77351863</v>
      </c>
      <c r="F4764" s="562">
        <v>199811000</v>
      </c>
      <c r="G4764" s="562">
        <f t="shared" si="232"/>
        <v>-107</v>
      </c>
      <c r="H4764" s="362"/>
      <c r="I4764" s="362"/>
      <c r="J4764" s="362"/>
    </row>
    <row r="4765" spans="1:10" x14ac:dyDescent="0.25">
      <c r="A4765" s="362"/>
      <c r="B4765" s="611">
        <v>44393</v>
      </c>
      <c r="C4765" s="362" t="s">
        <v>82</v>
      </c>
      <c r="D4765" s="562">
        <v>30934598</v>
      </c>
      <c r="E4765" s="562">
        <v>13569317</v>
      </c>
      <c r="F4765" s="562">
        <v>44504000</v>
      </c>
      <c r="G4765" s="562">
        <f t="shared" si="232"/>
        <v>-85</v>
      </c>
      <c r="H4765" s="362"/>
      <c r="I4765" s="362"/>
      <c r="J4765" s="362"/>
    </row>
    <row r="4766" spans="1:10" x14ac:dyDescent="0.25">
      <c r="A4766" s="362"/>
      <c r="B4766" s="611">
        <v>44393</v>
      </c>
      <c r="C4766" s="362" t="s">
        <v>80</v>
      </c>
      <c r="D4766" s="562">
        <v>144917495</v>
      </c>
      <c r="E4766" s="562">
        <v>39861600</v>
      </c>
      <c r="F4766" s="562">
        <v>184779100</v>
      </c>
      <c r="G4766" s="562">
        <f t="shared" si="232"/>
        <v>-5</v>
      </c>
      <c r="H4766" s="362"/>
      <c r="I4766" s="362"/>
      <c r="J4766" s="362"/>
    </row>
    <row r="4767" spans="1:10" x14ac:dyDescent="0.25">
      <c r="A4767" s="362"/>
      <c r="B4767" s="611">
        <v>44393</v>
      </c>
      <c r="C4767" s="362" t="s">
        <v>83</v>
      </c>
      <c r="D4767" s="562">
        <v>139962182</v>
      </c>
      <c r="E4767" s="562">
        <v>6318069</v>
      </c>
      <c r="F4767" s="562">
        <v>146280300</v>
      </c>
      <c r="G4767" s="562">
        <f t="shared" si="232"/>
        <v>-49</v>
      </c>
      <c r="H4767" s="362"/>
      <c r="I4767" s="362"/>
      <c r="J4767" s="362"/>
    </row>
    <row r="4768" spans="1:10" x14ac:dyDescent="0.25">
      <c r="A4768" s="362"/>
      <c r="B4768" s="611">
        <v>44393</v>
      </c>
      <c r="C4768" s="362" t="s">
        <v>78</v>
      </c>
      <c r="D4768" s="562">
        <v>74174135</v>
      </c>
      <c r="E4768" s="562">
        <v>2096765</v>
      </c>
      <c r="F4768" s="562">
        <v>76270900</v>
      </c>
      <c r="G4768" s="562">
        <f t="shared" si="232"/>
        <v>0</v>
      </c>
      <c r="H4768" s="362"/>
      <c r="I4768" s="362"/>
      <c r="J4768" s="362"/>
    </row>
    <row r="4769" spans="1:10" x14ac:dyDescent="0.25">
      <c r="A4769" s="362"/>
      <c r="B4769" s="611">
        <v>44393</v>
      </c>
      <c r="C4769" s="362" t="s">
        <v>141</v>
      </c>
      <c r="D4769" s="562">
        <v>46922690</v>
      </c>
      <c r="E4769" s="562">
        <v>1578405</v>
      </c>
      <c r="F4769" s="562">
        <v>48501100</v>
      </c>
      <c r="G4769" s="562">
        <f t="shared" si="232"/>
        <v>-5</v>
      </c>
      <c r="H4769" s="362"/>
      <c r="I4769" s="362"/>
      <c r="J4769" s="362"/>
    </row>
    <row r="4770" spans="1:10" x14ac:dyDescent="0.25">
      <c r="A4770" s="362"/>
      <c r="B4770" s="611">
        <v>44393</v>
      </c>
      <c r="C4770" s="362" t="s">
        <v>89</v>
      </c>
      <c r="D4770" s="562">
        <v>158369469</v>
      </c>
      <c r="E4770" s="562">
        <v>18370731</v>
      </c>
      <c r="F4770" s="562">
        <v>176740400</v>
      </c>
      <c r="G4770" s="562">
        <f t="shared" si="232"/>
        <v>-200</v>
      </c>
      <c r="H4770" s="362"/>
      <c r="I4770" s="362"/>
      <c r="J4770" s="362"/>
    </row>
    <row r="4771" spans="1:10" x14ac:dyDescent="0.25">
      <c r="A4771" s="362"/>
      <c r="B4771" s="611">
        <v>44393</v>
      </c>
      <c r="C4771" s="362" t="s">
        <v>81</v>
      </c>
      <c r="D4771" s="562">
        <v>72350880</v>
      </c>
      <c r="E4771" s="562">
        <v>15732317</v>
      </c>
      <c r="F4771" s="562">
        <v>88083200</v>
      </c>
      <c r="G4771" s="562">
        <f t="shared" si="232"/>
        <v>-3</v>
      </c>
      <c r="H4771" s="362"/>
      <c r="I4771" s="362"/>
      <c r="J4771" s="362"/>
    </row>
    <row r="4772" spans="1:10" x14ac:dyDescent="0.25">
      <c r="A4772" s="362"/>
      <c r="B4772" s="611">
        <v>44393</v>
      </c>
      <c r="C4772" s="362" t="s">
        <v>84</v>
      </c>
      <c r="D4772" s="562">
        <v>222983827</v>
      </c>
      <c r="E4772" s="562">
        <v>13245318</v>
      </c>
      <c r="F4772" s="562">
        <v>236229200</v>
      </c>
      <c r="G4772" s="562">
        <f t="shared" si="232"/>
        <v>-55</v>
      </c>
      <c r="H4772" s="362"/>
      <c r="I4772" s="362"/>
      <c r="J4772" s="362"/>
    </row>
    <row r="4773" spans="1:10" x14ac:dyDescent="0.25">
      <c r="A4773" s="362"/>
      <c r="B4773" s="611">
        <v>44393</v>
      </c>
      <c r="C4773" s="362" t="s">
        <v>4751</v>
      </c>
      <c r="D4773" s="562">
        <v>112575944</v>
      </c>
      <c r="E4773" s="562">
        <v>13034556</v>
      </c>
      <c r="F4773" s="562">
        <v>125610500</v>
      </c>
      <c r="G4773" s="562">
        <f t="shared" si="232"/>
        <v>0</v>
      </c>
      <c r="H4773" s="362"/>
      <c r="I4773" s="362"/>
      <c r="J4773" s="362"/>
    </row>
    <row r="4774" spans="1:10" x14ac:dyDescent="0.25">
      <c r="A4774" s="362"/>
      <c r="B4774" s="611">
        <v>44393</v>
      </c>
      <c r="C4774" s="362" t="s">
        <v>166</v>
      </c>
      <c r="D4774" s="562">
        <v>47855038</v>
      </c>
      <c r="E4774" s="562"/>
      <c r="F4774" s="562">
        <v>47855100</v>
      </c>
      <c r="G4774" s="562">
        <f t="shared" si="232"/>
        <v>-62</v>
      </c>
      <c r="H4774" s="362"/>
      <c r="I4774" s="362"/>
      <c r="J4774" s="362"/>
    </row>
    <row r="4775" spans="1:10" x14ac:dyDescent="0.25">
      <c r="A4775" s="362"/>
      <c r="B4775" s="611">
        <v>44393</v>
      </c>
      <c r="C4775" s="362" t="s">
        <v>3435</v>
      </c>
      <c r="D4775" s="562">
        <v>25840673</v>
      </c>
      <c r="E4775" s="562"/>
      <c r="F4775" s="562">
        <v>25840700</v>
      </c>
      <c r="G4775" s="562">
        <f t="shared" si="232"/>
        <v>-27</v>
      </c>
      <c r="H4775" s="362"/>
      <c r="I4775" s="362"/>
      <c r="J4775" s="362"/>
    </row>
    <row r="4776" spans="1:10" x14ac:dyDescent="0.25">
      <c r="A4776" s="362"/>
      <c r="B4776" s="611">
        <v>44393</v>
      </c>
      <c r="C4776" s="370" t="s">
        <v>85</v>
      </c>
      <c r="D4776" s="562">
        <v>22405900</v>
      </c>
      <c r="E4776" s="562"/>
      <c r="F4776" s="562">
        <v>22405900</v>
      </c>
      <c r="G4776" s="562">
        <f t="shared" si="232"/>
        <v>0</v>
      </c>
      <c r="H4776" s="362"/>
      <c r="I4776" s="362"/>
      <c r="J4776" s="362"/>
    </row>
    <row r="4777" spans="1:10" x14ac:dyDescent="0.25">
      <c r="A4777" s="532"/>
      <c r="B4777" s="532"/>
      <c r="C4777" s="532"/>
      <c r="D4777" s="564">
        <f>SUM(D4762:D4776)</f>
        <v>1414952342</v>
      </c>
      <c r="E4777" s="564">
        <f t="shared" ref="E4777:G4777" si="234">SUM(E4762:E4776)</f>
        <v>279642637</v>
      </c>
      <c r="F4777" s="564">
        <f t="shared" si="234"/>
        <v>1694595900</v>
      </c>
      <c r="G4777" s="564">
        <f t="shared" si="234"/>
        <v>-921</v>
      </c>
      <c r="H4777" s="532"/>
      <c r="I4777" s="532"/>
      <c r="J4777" s="532"/>
    </row>
    <row r="4778" spans="1:10" x14ac:dyDescent="0.25">
      <c r="A4778" s="362"/>
      <c r="B4778" s="611">
        <v>44394</v>
      </c>
      <c r="C4778" s="362" t="s">
        <v>86</v>
      </c>
      <c r="D4778" s="562">
        <v>37857479</v>
      </c>
      <c r="E4778" s="562">
        <v>40025652</v>
      </c>
      <c r="F4778" s="562"/>
      <c r="G4778" s="562">
        <f t="shared" si="232"/>
        <v>77883131</v>
      </c>
      <c r="H4778" s="362"/>
      <c r="I4778" s="362"/>
      <c r="J4778" s="362"/>
    </row>
    <row r="4779" spans="1:10" x14ac:dyDescent="0.25">
      <c r="A4779" s="362"/>
      <c r="B4779" s="611">
        <v>44394</v>
      </c>
      <c r="C4779" s="362" t="s">
        <v>87</v>
      </c>
      <c r="D4779" s="562">
        <v>55742949</v>
      </c>
      <c r="E4779" s="562">
        <v>110235451</v>
      </c>
      <c r="F4779" s="562"/>
      <c r="G4779" s="562">
        <f t="shared" si="232"/>
        <v>165978400</v>
      </c>
      <c r="H4779" s="362"/>
      <c r="I4779" s="362"/>
      <c r="J4779" s="362"/>
    </row>
    <row r="4780" spans="1:10" x14ac:dyDescent="0.25">
      <c r="A4780" s="362"/>
      <c r="B4780" s="611">
        <v>44394</v>
      </c>
      <c r="C4780" s="362" t="s">
        <v>88</v>
      </c>
      <c r="D4780" s="562">
        <v>182277901</v>
      </c>
      <c r="E4780" s="562">
        <v>108667813</v>
      </c>
      <c r="F4780" s="562"/>
      <c r="G4780" s="562">
        <f t="shared" si="232"/>
        <v>290945714</v>
      </c>
      <c r="H4780" s="362"/>
      <c r="I4780" s="362"/>
      <c r="J4780" s="362"/>
    </row>
    <row r="4781" spans="1:10" x14ac:dyDescent="0.25">
      <c r="A4781" s="362"/>
      <c r="B4781" s="611">
        <v>44394</v>
      </c>
      <c r="C4781" s="362" t="s">
        <v>82</v>
      </c>
      <c r="D4781" s="562">
        <v>92669083</v>
      </c>
      <c r="E4781" s="562">
        <v>5209740</v>
      </c>
      <c r="F4781" s="562"/>
      <c r="G4781" s="562">
        <f t="shared" si="232"/>
        <v>97878823</v>
      </c>
      <c r="H4781" s="362"/>
      <c r="I4781" s="362"/>
      <c r="J4781" s="362"/>
    </row>
    <row r="4782" spans="1:10" x14ac:dyDescent="0.25">
      <c r="A4782" s="362"/>
      <c r="B4782" s="611">
        <v>44394</v>
      </c>
      <c r="C4782" s="362" t="s">
        <v>80</v>
      </c>
      <c r="D4782" s="562">
        <v>197247754</v>
      </c>
      <c r="E4782" s="562">
        <v>5799497</v>
      </c>
      <c r="F4782" s="562"/>
      <c r="G4782" s="562">
        <f t="shared" si="232"/>
        <v>203047251</v>
      </c>
      <c r="H4782" s="362"/>
      <c r="I4782" s="362"/>
      <c r="J4782" s="362"/>
    </row>
    <row r="4783" spans="1:10" x14ac:dyDescent="0.25">
      <c r="A4783" s="362"/>
      <c r="B4783" s="611">
        <v>44394</v>
      </c>
      <c r="C4783" s="362" t="s">
        <v>83</v>
      </c>
      <c r="D4783" s="562">
        <v>154361807</v>
      </c>
      <c r="E4783" s="562">
        <v>162158366</v>
      </c>
      <c r="F4783" s="562"/>
      <c r="G4783" s="562">
        <f t="shared" si="232"/>
        <v>316520173</v>
      </c>
      <c r="H4783" s="362"/>
      <c r="I4783" s="362"/>
      <c r="J4783" s="362"/>
    </row>
    <row r="4784" spans="1:10" x14ac:dyDescent="0.25">
      <c r="A4784" s="362"/>
      <c r="B4784" s="611">
        <v>44394</v>
      </c>
      <c r="C4784" s="362" t="s">
        <v>78</v>
      </c>
      <c r="D4784" s="562">
        <v>109899099</v>
      </c>
      <c r="E4784" s="562">
        <v>4276801</v>
      </c>
      <c r="F4784" s="562"/>
      <c r="G4784" s="562">
        <f t="shared" si="232"/>
        <v>114175900</v>
      </c>
      <c r="H4784" s="362"/>
      <c r="I4784" s="362"/>
      <c r="J4784" s="362"/>
    </row>
    <row r="4785" spans="1:10" x14ac:dyDescent="0.25">
      <c r="A4785" s="362"/>
      <c r="B4785" s="611">
        <v>44394</v>
      </c>
      <c r="C4785" s="362" t="s">
        <v>141</v>
      </c>
      <c r="D4785" s="562">
        <v>30454609</v>
      </c>
      <c r="E4785" s="562">
        <v>2012943</v>
      </c>
      <c r="F4785" s="562"/>
      <c r="G4785" s="562">
        <f t="shared" si="232"/>
        <v>32467552</v>
      </c>
      <c r="H4785" s="362"/>
      <c r="I4785" s="362"/>
      <c r="J4785" s="362"/>
    </row>
    <row r="4786" spans="1:10" x14ac:dyDescent="0.25">
      <c r="A4786" s="362"/>
      <c r="B4786" s="611">
        <v>44394</v>
      </c>
      <c r="C4786" s="362" t="s">
        <v>89</v>
      </c>
      <c r="D4786" s="562">
        <v>108680885</v>
      </c>
      <c r="E4786" s="562">
        <v>42875815</v>
      </c>
      <c r="F4786" s="562"/>
      <c r="G4786" s="562">
        <f t="shared" si="232"/>
        <v>151556700</v>
      </c>
      <c r="H4786" s="362"/>
      <c r="I4786" s="362"/>
      <c r="J4786" s="362"/>
    </row>
    <row r="4787" spans="1:10" x14ac:dyDescent="0.25">
      <c r="A4787" s="362"/>
      <c r="B4787" s="611">
        <v>44394</v>
      </c>
      <c r="C4787" s="362" t="s">
        <v>81</v>
      </c>
      <c r="D4787" s="562">
        <v>105255203</v>
      </c>
      <c r="E4787" s="562">
        <v>17996520</v>
      </c>
      <c r="F4787" s="562"/>
      <c r="G4787" s="562">
        <f t="shared" si="232"/>
        <v>123251723</v>
      </c>
      <c r="H4787" s="362"/>
      <c r="I4787" s="362"/>
      <c r="J4787" s="362"/>
    </row>
    <row r="4788" spans="1:10" x14ac:dyDescent="0.25">
      <c r="A4788" s="362"/>
      <c r="B4788" s="611">
        <v>44394</v>
      </c>
      <c r="C4788" s="362" t="s">
        <v>84</v>
      </c>
      <c r="D4788" s="562">
        <v>295991117</v>
      </c>
      <c r="E4788" s="562">
        <v>13798405</v>
      </c>
      <c r="F4788" s="562"/>
      <c r="G4788" s="562">
        <f t="shared" si="232"/>
        <v>309789522</v>
      </c>
      <c r="H4788" s="362"/>
      <c r="I4788" s="362"/>
      <c r="J4788" s="362"/>
    </row>
    <row r="4789" spans="1:10" x14ac:dyDescent="0.25">
      <c r="A4789" s="362"/>
      <c r="B4789" s="611">
        <v>44394</v>
      </c>
      <c r="C4789" s="362" t="s">
        <v>4751</v>
      </c>
      <c r="D4789" s="562">
        <v>268625362</v>
      </c>
      <c r="E4789" s="562">
        <v>11295238</v>
      </c>
      <c r="F4789" s="562"/>
      <c r="G4789" s="562">
        <f t="shared" si="232"/>
        <v>279920600</v>
      </c>
      <c r="H4789" s="362"/>
      <c r="I4789" s="362"/>
      <c r="J4789" s="362"/>
    </row>
    <row r="4790" spans="1:10" x14ac:dyDescent="0.25">
      <c r="A4790" s="362"/>
      <c r="B4790" s="611">
        <v>44394</v>
      </c>
      <c r="C4790" s="362" t="s">
        <v>166</v>
      </c>
      <c r="D4790" s="562"/>
      <c r="E4790" s="562"/>
      <c r="F4790" s="562"/>
      <c r="G4790" s="562">
        <f t="shared" si="232"/>
        <v>0</v>
      </c>
      <c r="H4790" s="362"/>
      <c r="I4790" s="362"/>
      <c r="J4790" s="362"/>
    </row>
    <row r="4791" spans="1:10" x14ac:dyDescent="0.25">
      <c r="A4791" s="362"/>
      <c r="B4791" s="611">
        <v>44394</v>
      </c>
      <c r="C4791" s="362" t="s">
        <v>3435</v>
      </c>
      <c r="D4791" s="562"/>
      <c r="E4791" s="562"/>
      <c r="F4791" s="562"/>
      <c r="G4791" s="562">
        <f t="shared" si="232"/>
        <v>0</v>
      </c>
      <c r="H4791" s="362"/>
      <c r="I4791" s="362"/>
      <c r="J4791" s="362"/>
    </row>
    <row r="4792" spans="1:10" x14ac:dyDescent="0.25">
      <c r="A4792" s="362"/>
      <c r="B4792" s="611">
        <v>44394</v>
      </c>
      <c r="C4792" s="370" t="s">
        <v>85</v>
      </c>
      <c r="D4792" s="562">
        <v>18747400</v>
      </c>
      <c r="E4792" s="562"/>
      <c r="F4792" s="562"/>
      <c r="G4792" s="562">
        <f t="shared" si="232"/>
        <v>18747400</v>
      </c>
      <c r="H4792" s="362"/>
      <c r="I4792" s="362"/>
      <c r="J4792" s="362"/>
    </row>
    <row r="4793" spans="1:10" x14ac:dyDescent="0.25">
      <c r="A4793" s="532"/>
      <c r="B4793" s="532"/>
      <c r="C4793" s="532"/>
      <c r="D4793" s="564">
        <f>SUM(D4778:D4792)</f>
        <v>1657810648</v>
      </c>
      <c r="E4793" s="564">
        <f t="shared" ref="E4793:G4793" si="235">SUM(E4778:E4792)</f>
        <v>524352241</v>
      </c>
      <c r="F4793" s="564">
        <f t="shared" si="235"/>
        <v>0</v>
      </c>
      <c r="G4793" s="564">
        <f t="shared" si="235"/>
        <v>2182162889</v>
      </c>
      <c r="H4793" s="532"/>
      <c r="I4793" s="532"/>
      <c r="J4793" s="532"/>
    </row>
    <row r="4794" spans="1:10" x14ac:dyDescent="0.25">
      <c r="A4794" s="362"/>
      <c r="B4794" s="611">
        <v>44396</v>
      </c>
      <c r="C4794" s="362" t="s">
        <v>86</v>
      </c>
      <c r="D4794" s="562">
        <v>49279651</v>
      </c>
      <c r="E4794" s="562">
        <v>107817596</v>
      </c>
      <c r="F4794" s="562"/>
      <c r="G4794" s="562">
        <f t="shared" si="232"/>
        <v>157097247</v>
      </c>
      <c r="H4794" s="362"/>
      <c r="I4794" s="362"/>
      <c r="J4794" s="362"/>
    </row>
    <row r="4795" spans="1:10" x14ac:dyDescent="0.25">
      <c r="A4795" s="362"/>
      <c r="B4795" s="611">
        <v>44396</v>
      </c>
      <c r="C4795" s="362" t="s">
        <v>87</v>
      </c>
      <c r="D4795" s="562">
        <v>206076043</v>
      </c>
      <c r="E4795" s="562">
        <v>179752586</v>
      </c>
      <c r="F4795" s="562"/>
      <c r="G4795" s="562">
        <f t="shared" si="232"/>
        <v>385828629</v>
      </c>
      <c r="H4795" s="362"/>
      <c r="I4795" s="362"/>
      <c r="J4795" s="362"/>
    </row>
    <row r="4796" spans="1:10" x14ac:dyDescent="0.25">
      <c r="A4796" s="362"/>
      <c r="B4796" s="611">
        <v>44396</v>
      </c>
      <c r="C4796" s="362" t="s">
        <v>88</v>
      </c>
      <c r="D4796" s="562">
        <v>280014166</v>
      </c>
      <c r="E4796" s="562">
        <v>131760950</v>
      </c>
      <c r="F4796" s="562"/>
      <c r="G4796" s="562">
        <f t="shared" si="232"/>
        <v>411775116</v>
      </c>
      <c r="H4796" s="362"/>
      <c r="I4796" s="362"/>
      <c r="J4796" s="362"/>
    </row>
    <row r="4797" spans="1:10" x14ac:dyDescent="0.25">
      <c r="A4797" s="362"/>
      <c r="B4797" s="611">
        <v>44396</v>
      </c>
      <c r="C4797" s="362" t="s">
        <v>82</v>
      </c>
      <c r="D4797" s="562">
        <v>156347066</v>
      </c>
      <c r="E4797" s="562">
        <v>1204104</v>
      </c>
      <c r="F4797" s="562"/>
      <c r="G4797" s="562">
        <f t="shared" si="232"/>
        <v>157551170</v>
      </c>
      <c r="H4797" s="362"/>
      <c r="I4797" s="362"/>
      <c r="J4797" s="362"/>
    </row>
    <row r="4798" spans="1:10" x14ac:dyDescent="0.25">
      <c r="A4798" s="362"/>
      <c r="B4798" s="611">
        <v>44396</v>
      </c>
      <c r="C4798" s="362" t="s">
        <v>80</v>
      </c>
      <c r="D4798" s="562">
        <v>311991731</v>
      </c>
      <c r="E4798" s="562">
        <v>85078</v>
      </c>
      <c r="F4798" s="562"/>
      <c r="G4798" s="562">
        <f t="shared" si="232"/>
        <v>312076809</v>
      </c>
      <c r="H4798" s="362"/>
      <c r="I4798" s="362"/>
      <c r="J4798" s="362"/>
    </row>
    <row r="4799" spans="1:10" x14ac:dyDescent="0.25">
      <c r="A4799" s="362"/>
      <c r="B4799" s="611">
        <v>44396</v>
      </c>
      <c r="C4799" s="362" t="s">
        <v>83</v>
      </c>
      <c r="D4799" s="562">
        <v>394540426</v>
      </c>
      <c r="E4799" s="562">
        <v>182585374</v>
      </c>
      <c r="F4799" s="562"/>
      <c r="G4799" s="562">
        <f t="shared" si="232"/>
        <v>577125800</v>
      </c>
      <c r="H4799" s="362"/>
      <c r="I4799" s="362"/>
      <c r="J4799" s="362"/>
    </row>
    <row r="4800" spans="1:10" x14ac:dyDescent="0.25">
      <c r="A4800" s="362"/>
      <c r="B4800" s="611">
        <v>44396</v>
      </c>
      <c r="C4800" s="362" t="s">
        <v>78</v>
      </c>
      <c r="D4800" s="562">
        <v>93074201</v>
      </c>
      <c r="E4800" s="562">
        <v>21526399</v>
      </c>
      <c r="F4800" s="562"/>
      <c r="G4800" s="562">
        <f t="shared" si="232"/>
        <v>114600600</v>
      </c>
      <c r="H4800" s="362"/>
      <c r="I4800" s="362"/>
      <c r="J4800" s="362"/>
    </row>
    <row r="4801" spans="1:10" x14ac:dyDescent="0.25">
      <c r="A4801" s="362"/>
      <c r="B4801" s="611">
        <v>44396</v>
      </c>
      <c r="C4801" s="362" t="s">
        <v>141</v>
      </c>
      <c r="D4801" s="562">
        <v>137294125</v>
      </c>
      <c r="E4801" s="562">
        <v>2215733</v>
      </c>
      <c r="F4801" s="562"/>
      <c r="G4801" s="562">
        <f t="shared" si="232"/>
        <v>139509858</v>
      </c>
      <c r="H4801" s="362"/>
      <c r="I4801" s="362"/>
      <c r="J4801" s="362"/>
    </row>
    <row r="4802" spans="1:10" x14ac:dyDescent="0.25">
      <c r="A4802" s="362"/>
      <c r="B4802" s="611">
        <v>44396</v>
      </c>
      <c r="C4802" s="362" t="s">
        <v>89</v>
      </c>
      <c r="D4802" s="562">
        <v>184683915</v>
      </c>
      <c r="E4802" s="562">
        <v>22386285</v>
      </c>
      <c r="F4802" s="562"/>
      <c r="G4802" s="562">
        <f t="shared" si="232"/>
        <v>207070200</v>
      </c>
      <c r="H4802" s="362"/>
      <c r="I4802" s="362"/>
      <c r="J4802" s="362"/>
    </row>
    <row r="4803" spans="1:10" x14ac:dyDescent="0.25">
      <c r="A4803" s="362"/>
      <c r="B4803" s="611">
        <v>44396</v>
      </c>
      <c r="C4803" s="362" t="s">
        <v>81</v>
      </c>
      <c r="D4803" s="562">
        <v>266326494</v>
      </c>
      <c r="E4803" s="562">
        <v>13274375</v>
      </c>
      <c r="F4803" s="562"/>
      <c r="G4803" s="562">
        <f t="shared" si="232"/>
        <v>279600869</v>
      </c>
      <c r="H4803" s="362"/>
      <c r="I4803" s="362"/>
      <c r="J4803" s="362"/>
    </row>
    <row r="4804" spans="1:10" x14ac:dyDescent="0.25">
      <c r="A4804" s="362"/>
      <c r="B4804" s="611">
        <v>44396</v>
      </c>
      <c r="C4804" s="362" t="s">
        <v>84</v>
      </c>
      <c r="D4804" s="562">
        <v>193464711</v>
      </c>
      <c r="E4804" s="562">
        <v>10784567</v>
      </c>
      <c r="F4804" s="562"/>
      <c r="G4804" s="562">
        <f t="shared" si="232"/>
        <v>204249278</v>
      </c>
      <c r="H4804" s="362"/>
      <c r="I4804" s="362"/>
      <c r="J4804" s="362"/>
    </row>
    <row r="4805" spans="1:10" x14ac:dyDescent="0.25">
      <c r="A4805" s="362"/>
      <c r="B4805" s="611">
        <v>44396</v>
      </c>
      <c r="C4805" s="362" t="s">
        <v>4751</v>
      </c>
      <c r="D4805" s="562">
        <v>200985533</v>
      </c>
      <c r="E4805" s="562">
        <v>15490967</v>
      </c>
      <c r="F4805" s="562"/>
      <c r="G4805" s="562">
        <f t="shared" si="232"/>
        <v>216476500</v>
      </c>
      <c r="H4805" s="362"/>
      <c r="I4805" s="362"/>
      <c r="J4805" s="362"/>
    </row>
    <row r="4806" spans="1:10" x14ac:dyDescent="0.25">
      <c r="A4806" s="362"/>
      <c r="B4806" s="611">
        <v>44396</v>
      </c>
      <c r="C4806" s="362" t="s">
        <v>166</v>
      </c>
      <c r="D4806" s="562"/>
      <c r="E4806" s="562"/>
      <c r="F4806" s="562"/>
      <c r="G4806" s="562">
        <f t="shared" si="232"/>
        <v>0</v>
      </c>
      <c r="H4806" s="362"/>
      <c r="I4806" s="362"/>
      <c r="J4806" s="362"/>
    </row>
    <row r="4807" spans="1:10" x14ac:dyDescent="0.25">
      <c r="A4807" s="362"/>
      <c r="B4807" s="611">
        <v>44396</v>
      </c>
      <c r="C4807" s="362" t="s">
        <v>3435</v>
      </c>
      <c r="D4807" s="562"/>
      <c r="E4807" s="562"/>
      <c r="F4807" s="562"/>
      <c r="G4807" s="562">
        <f t="shared" si="232"/>
        <v>0</v>
      </c>
      <c r="H4807" s="362"/>
      <c r="I4807" s="362"/>
      <c r="J4807" s="362"/>
    </row>
    <row r="4808" spans="1:10" x14ac:dyDescent="0.25">
      <c r="A4808" s="362"/>
      <c r="B4808" s="611">
        <v>44396</v>
      </c>
      <c r="C4808" s="370" t="s">
        <v>85</v>
      </c>
      <c r="D4808" s="562">
        <v>68961200</v>
      </c>
      <c r="E4808" s="562"/>
      <c r="F4808" s="562"/>
      <c r="G4808" s="562">
        <f t="shared" si="232"/>
        <v>68961200</v>
      </c>
      <c r="H4808" s="362"/>
      <c r="I4808" s="362"/>
      <c r="J4808" s="362"/>
    </row>
    <row r="4809" spans="1:10" x14ac:dyDescent="0.25">
      <c r="A4809" s="532"/>
      <c r="B4809" s="532"/>
      <c r="C4809" s="532"/>
      <c r="D4809" s="564">
        <f>SUM(D4794:D4808)</f>
        <v>2543039262</v>
      </c>
      <c r="E4809" s="564">
        <f t="shared" ref="E4809:G4809" si="236">SUM(E4794:E4808)</f>
        <v>688884014</v>
      </c>
      <c r="F4809" s="564">
        <f t="shared" si="236"/>
        <v>0</v>
      </c>
      <c r="G4809" s="564">
        <f t="shared" si="236"/>
        <v>3231923276</v>
      </c>
      <c r="H4809" s="532"/>
      <c r="I4809" s="532"/>
      <c r="J4809" s="532"/>
    </row>
    <row r="4810" spans="1:10" x14ac:dyDescent="0.25">
      <c r="A4810" s="362"/>
      <c r="B4810" s="611">
        <v>44398</v>
      </c>
      <c r="C4810" s="362" t="s">
        <v>86</v>
      </c>
      <c r="D4810" s="562">
        <v>42786862</v>
      </c>
      <c r="E4810" s="562">
        <v>188370760</v>
      </c>
      <c r="F4810" s="562"/>
      <c r="G4810" s="562">
        <f t="shared" si="232"/>
        <v>231157622</v>
      </c>
      <c r="H4810" s="362"/>
      <c r="I4810" s="362"/>
      <c r="J4810" s="362"/>
    </row>
    <row r="4811" spans="1:10" x14ac:dyDescent="0.25">
      <c r="A4811" s="362"/>
      <c r="B4811" s="611">
        <v>44398</v>
      </c>
      <c r="C4811" s="362" t="s">
        <v>87</v>
      </c>
      <c r="D4811" s="562">
        <v>163787937</v>
      </c>
      <c r="E4811" s="562">
        <v>21423891</v>
      </c>
      <c r="F4811" s="562"/>
      <c r="G4811" s="562">
        <f t="shared" si="232"/>
        <v>185211828</v>
      </c>
      <c r="H4811" s="362"/>
      <c r="I4811" s="362"/>
      <c r="J4811" s="362"/>
    </row>
    <row r="4812" spans="1:10" x14ac:dyDescent="0.25">
      <c r="A4812" s="362"/>
      <c r="B4812" s="611">
        <v>44398</v>
      </c>
      <c r="C4812" s="362" t="s">
        <v>88</v>
      </c>
      <c r="D4812" s="562">
        <v>174226048</v>
      </c>
      <c r="E4812" s="562">
        <v>14940422</v>
      </c>
      <c r="F4812" s="562"/>
      <c r="G4812" s="562">
        <f t="shared" ref="G4812:G4875" si="237">D4812+E4812-F4812</f>
        <v>189166470</v>
      </c>
      <c r="H4812" s="362"/>
      <c r="I4812" s="362"/>
      <c r="J4812" s="362"/>
    </row>
    <row r="4813" spans="1:10" x14ac:dyDescent="0.25">
      <c r="A4813" s="362"/>
      <c r="B4813" s="611">
        <v>44398</v>
      </c>
      <c r="C4813" s="362" t="s">
        <v>82</v>
      </c>
      <c r="D4813" s="562">
        <v>134341804</v>
      </c>
      <c r="E4813" s="562">
        <v>1428570</v>
      </c>
      <c r="F4813" s="562"/>
      <c r="G4813" s="562">
        <f t="shared" si="237"/>
        <v>135770374</v>
      </c>
      <c r="H4813" s="362"/>
      <c r="I4813" s="362"/>
      <c r="J4813" s="362"/>
    </row>
    <row r="4814" spans="1:10" x14ac:dyDescent="0.25">
      <c r="A4814" s="362"/>
      <c r="B4814" s="611">
        <v>44398</v>
      </c>
      <c r="C4814" s="362" t="s">
        <v>80</v>
      </c>
      <c r="D4814" s="562">
        <v>343891586</v>
      </c>
      <c r="E4814" s="562"/>
      <c r="F4814" s="562"/>
      <c r="G4814" s="562">
        <f t="shared" si="237"/>
        <v>343891586</v>
      </c>
      <c r="H4814" s="362"/>
      <c r="I4814" s="362"/>
      <c r="J4814" s="362"/>
    </row>
    <row r="4815" spans="1:10" x14ac:dyDescent="0.25">
      <c r="A4815" s="362"/>
      <c r="B4815" s="611">
        <v>44398</v>
      </c>
      <c r="C4815" s="362" t="s">
        <v>83</v>
      </c>
      <c r="D4815" s="562">
        <v>292644759</v>
      </c>
      <c r="E4815" s="562">
        <v>47974972</v>
      </c>
      <c r="F4815" s="562"/>
      <c r="G4815" s="562">
        <f t="shared" si="237"/>
        <v>340619731</v>
      </c>
      <c r="H4815" s="362"/>
      <c r="I4815" s="362"/>
      <c r="J4815" s="362"/>
    </row>
    <row r="4816" spans="1:10" x14ac:dyDescent="0.25">
      <c r="A4816" s="362"/>
      <c r="B4816" s="611">
        <v>44398</v>
      </c>
      <c r="C4816" s="362" t="s">
        <v>78</v>
      </c>
      <c r="D4816" s="562">
        <v>113942299</v>
      </c>
      <c r="E4816" s="562">
        <v>3798301</v>
      </c>
      <c r="F4816" s="562"/>
      <c r="G4816" s="562">
        <f t="shared" si="237"/>
        <v>117740600</v>
      </c>
      <c r="H4816" s="362"/>
      <c r="I4816" s="362"/>
      <c r="J4816" s="362"/>
    </row>
    <row r="4817" spans="1:10" x14ac:dyDescent="0.25">
      <c r="A4817" s="362"/>
      <c r="B4817" s="611">
        <v>44398</v>
      </c>
      <c r="C4817" s="362" t="s">
        <v>141</v>
      </c>
      <c r="D4817" s="562">
        <v>120124580</v>
      </c>
      <c r="E4817" s="562">
        <v>1107800</v>
      </c>
      <c r="F4817" s="562"/>
      <c r="G4817" s="562">
        <f t="shared" si="237"/>
        <v>121232380</v>
      </c>
      <c r="H4817" s="362"/>
      <c r="I4817" s="362"/>
      <c r="J4817" s="362"/>
    </row>
    <row r="4818" spans="1:10" x14ac:dyDescent="0.25">
      <c r="A4818" s="362"/>
      <c r="B4818" s="611">
        <v>44398</v>
      </c>
      <c r="C4818" s="362" t="s">
        <v>89</v>
      </c>
      <c r="D4818" s="562">
        <v>162374898</v>
      </c>
      <c r="E4818" s="562">
        <v>4569602</v>
      </c>
      <c r="F4818" s="562"/>
      <c r="G4818" s="562">
        <f t="shared" si="237"/>
        <v>166944500</v>
      </c>
      <c r="H4818" s="362"/>
      <c r="I4818" s="362"/>
      <c r="J4818" s="362"/>
    </row>
    <row r="4819" spans="1:10" x14ac:dyDescent="0.25">
      <c r="A4819" s="362"/>
      <c r="B4819" s="611">
        <v>44398</v>
      </c>
      <c r="C4819" s="362" t="s">
        <v>81</v>
      </c>
      <c r="D4819" s="562">
        <v>42189569</v>
      </c>
      <c r="E4819" s="562">
        <v>13440813</v>
      </c>
      <c r="F4819" s="562"/>
      <c r="G4819" s="562">
        <f t="shared" si="237"/>
        <v>55630382</v>
      </c>
      <c r="H4819" s="362"/>
      <c r="I4819" s="362"/>
      <c r="J4819" s="362"/>
    </row>
    <row r="4820" spans="1:10" x14ac:dyDescent="0.25">
      <c r="A4820" s="362"/>
      <c r="B4820" s="611">
        <v>44398</v>
      </c>
      <c r="C4820" s="362" t="s">
        <v>84</v>
      </c>
      <c r="D4820" s="562">
        <v>346906171</v>
      </c>
      <c r="E4820" s="562">
        <v>5821119</v>
      </c>
      <c r="F4820" s="562"/>
      <c r="G4820" s="562">
        <f t="shared" si="237"/>
        <v>352727290</v>
      </c>
      <c r="H4820" s="362"/>
      <c r="I4820" s="362"/>
      <c r="J4820" s="362"/>
    </row>
    <row r="4821" spans="1:10" x14ac:dyDescent="0.25">
      <c r="A4821" s="362"/>
      <c r="B4821" s="611">
        <v>44398</v>
      </c>
      <c r="C4821" s="362" t="s">
        <v>4751</v>
      </c>
      <c r="D4821" s="562">
        <v>223985409</v>
      </c>
      <c r="E4821" s="562">
        <v>6952891</v>
      </c>
      <c r="F4821" s="562"/>
      <c r="G4821" s="562">
        <f t="shared" si="237"/>
        <v>230938300</v>
      </c>
      <c r="H4821" s="362"/>
      <c r="I4821" s="362"/>
      <c r="J4821" s="362"/>
    </row>
    <row r="4822" spans="1:10" x14ac:dyDescent="0.25">
      <c r="A4822" s="362"/>
      <c r="B4822" s="611">
        <v>44398</v>
      </c>
      <c r="C4822" s="362" t="s">
        <v>166</v>
      </c>
      <c r="D4822" s="562">
        <v>62980967</v>
      </c>
      <c r="E4822" s="562"/>
      <c r="F4822" s="562"/>
      <c r="G4822" s="562">
        <f t="shared" si="237"/>
        <v>62980967</v>
      </c>
      <c r="H4822" s="362"/>
      <c r="I4822" s="362"/>
      <c r="J4822" s="362"/>
    </row>
    <row r="4823" spans="1:10" x14ac:dyDescent="0.25">
      <c r="A4823" s="362"/>
      <c r="B4823" s="611">
        <v>44398</v>
      </c>
      <c r="C4823" s="362" t="s">
        <v>3435</v>
      </c>
      <c r="D4823" s="562">
        <v>91909327</v>
      </c>
      <c r="E4823" s="562"/>
      <c r="F4823" s="562"/>
      <c r="G4823" s="562">
        <f t="shared" si="237"/>
        <v>91909327</v>
      </c>
      <c r="H4823" s="362"/>
      <c r="I4823" s="362"/>
      <c r="J4823" s="362"/>
    </row>
    <row r="4824" spans="1:10" x14ac:dyDescent="0.25">
      <c r="A4824" s="362"/>
      <c r="B4824" s="611">
        <v>44398</v>
      </c>
      <c r="C4824" s="370" t="s">
        <v>85</v>
      </c>
      <c r="D4824" s="562">
        <v>37954900</v>
      </c>
      <c r="E4824" s="562"/>
      <c r="F4824" s="562"/>
      <c r="G4824" s="562">
        <f t="shared" si="237"/>
        <v>37954900</v>
      </c>
      <c r="H4824" s="362"/>
      <c r="I4824" s="362"/>
      <c r="J4824" s="362"/>
    </row>
    <row r="4825" spans="1:10" x14ac:dyDescent="0.25">
      <c r="A4825" s="532"/>
      <c r="B4825" s="532"/>
      <c r="C4825" s="532"/>
      <c r="D4825" s="564">
        <f>SUM(D4810:D4824)</f>
        <v>2354047116</v>
      </c>
      <c r="E4825" s="564">
        <f t="shared" ref="E4825:G4825" si="238">SUM(E4810:E4824)</f>
        <v>309829141</v>
      </c>
      <c r="F4825" s="564">
        <f t="shared" si="238"/>
        <v>0</v>
      </c>
      <c r="G4825" s="564">
        <f t="shared" si="238"/>
        <v>2663876257</v>
      </c>
      <c r="H4825" s="532"/>
      <c r="I4825" s="532"/>
      <c r="J4825" s="532"/>
    </row>
    <row r="4826" spans="1:10" x14ac:dyDescent="0.25">
      <c r="A4826" s="362"/>
      <c r="B4826" s="611">
        <v>44399</v>
      </c>
      <c r="C4826" s="362" t="s">
        <v>86</v>
      </c>
      <c r="D4826" s="562">
        <v>37681327</v>
      </c>
      <c r="E4826" s="562">
        <v>141774963</v>
      </c>
      <c r="F4826" s="562"/>
      <c r="G4826" s="562">
        <f t="shared" si="237"/>
        <v>179456290</v>
      </c>
      <c r="H4826" s="362"/>
      <c r="I4826" s="362"/>
      <c r="J4826" s="362"/>
    </row>
    <row r="4827" spans="1:10" x14ac:dyDescent="0.25">
      <c r="A4827" s="362"/>
      <c r="B4827" s="611">
        <v>44399</v>
      </c>
      <c r="C4827" s="362" t="s">
        <v>87</v>
      </c>
      <c r="D4827" s="562">
        <v>73217294</v>
      </c>
      <c r="E4827" s="562">
        <v>89955644</v>
      </c>
      <c r="F4827" s="562"/>
      <c r="G4827" s="562">
        <f t="shared" si="237"/>
        <v>163172938</v>
      </c>
      <c r="H4827" s="362"/>
      <c r="I4827" s="362"/>
      <c r="J4827" s="362"/>
    </row>
    <row r="4828" spans="1:10" x14ac:dyDescent="0.25">
      <c r="A4828" s="362"/>
      <c r="B4828" s="611">
        <v>44399</v>
      </c>
      <c r="C4828" s="362" t="s">
        <v>88</v>
      </c>
      <c r="D4828" s="562">
        <v>215778407</v>
      </c>
      <c r="E4828" s="562">
        <v>6590141</v>
      </c>
      <c r="F4828" s="562"/>
      <c r="G4828" s="562">
        <f t="shared" si="237"/>
        <v>222368548</v>
      </c>
      <c r="H4828" s="362"/>
      <c r="I4828" s="362"/>
      <c r="J4828" s="362"/>
    </row>
    <row r="4829" spans="1:10" x14ac:dyDescent="0.25">
      <c r="A4829" s="362"/>
      <c r="B4829" s="611">
        <v>44399</v>
      </c>
      <c r="C4829" s="362" t="s">
        <v>82</v>
      </c>
      <c r="D4829" s="562">
        <v>207672780</v>
      </c>
      <c r="E4829" s="562">
        <v>1211794</v>
      </c>
      <c r="F4829" s="562"/>
      <c r="G4829" s="562">
        <f t="shared" si="237"/>
        <v>208884574</v>
      </c>
      <c r="H4829" s="362"/>
      <c r="I4829" s="362"/>
      <c r="J4829" s="362"/>
    </row>
    <row r="4830" spans="1:10" x14ac:dyDescent="0.25">
      <c r="A4830" s="362"/>
      <c r="B4830" s="611">
        <v>44399</v>
      </c>
      <c r="C4830" s="362" t="s">
        <v>80</v>
      </c>
      <c r="D4830" s="562">
        <v>294950100</v>
      </c>
      <c r="E4830" s="562"/>
      <c r="F4830" s="562"/>
      <c r="G4830" s="562">
        <f t="shared" si="237"/>
        <v>294950100</v>
      </c>
      <c r="H4830" s="362"/>
      <c r="I4830" s="362"/>
      <c r="J4830" s="362"/>
    </row>
    <row r="4831" spans="1:10" x14ac:dyDescent="0.25">
      <c r="A4831" s="362"/>
      <c r="B4831" s="611">
        <v>44399</v>
      </c>
      <c r="C4831" s="362" t="s">
        <v>83</v>
      </c>
      <c r="D4831" s="562">
        <v>224938331</v>
      </c>
      <c r="E4831" s="562">
        <v>18159505</v>
      </c>
      <c r="F4831" s="562"/>
      <c r="G4831" s="562">
        <f t="shared" si="237"/>
        <v>243097836</v>
      </c>
      <c r="H4831" s="362"/>
      <c r="I4831" s="362"/>
      <c r="J4831" s="362"/>
    </row>
    <row r="4832" spans="1:10" x14ac:dyDescent="0.25">
      <c r="A4832" s="362"/>
      <c r="B4832" s="611">
        <v>44399</v>
      </c>
      <c r="C4832" s="362" t="s">
        <v>78</v>
      </c>
      <c r="D4832" s="562">
        <v>112628882</v>
      </c>
      <c r="E4832" s="562">
        <v>740018</v>
      </c>
      <c r="F4832" s="562"/>
      <c r="G4832" s="562">
        <f t="shared" si="237"/>
        <v>113368900</v>
      </c>
      <c r="H4832" s="362"/>
      <c r="I4832" s="362"/>
      <c r="J4832" s="362"/>
    </row>
    <row r="4833" spans="1:10" x14ac:dyDescent="0.25">
      <c r="A4833" s="362"/>
      <c r="B4833" s="611">
        <v>44399</v>
      </c>
      <c r="C4833" s="362" t="s">
        <v>141</v>
      </c>
      <c r="D4833" s="562">
        <v>59580793</v>
      </c>
      <c r="E4833" s="562">
        <v>1238266</v>
      </c>
      <c r="F4833" s="562"/>
      <c r="G4833" s="562">
        <f t="shared" si="237"/>
        <v>60819059</v>
      </c>
      <c r="H4833" s="362"/>
      <c r="I4833" s="362"/>
      <c r="J4833" s="362"/>
    </row>
    <row r="4834" spans="1:10" x14ac:dyDescent="0.25">
      <c r="A4834" s="362"/>
      <c r="B4834" s="611">
        <v>44399</v>
      </c>
      <c r="C4834" s="362" t="s">
        <v>89</v>
      </c>
      <c r="D4834" s="562">
        <v>169306464</v>
      </c>
      <c r="E4834" s="562">
        <v>9553236</v>
      </c>
      <c r="F4834" s="562"/>
      <c r="G4834" s="562">
        <f t="shared" si="237"/>
        <v>178859700</v>
      </c>
      <c r="H4834" s="362"/>
      <c r="I4834" s="362"/>
      <c r="J4834" s="362"/>
    </row>
    <row r="4835" spans="1:10" x14ac:dyDescent="0.25">
      <c r="A4835" s="362"/>
      <c r="B4835" s="611">
        <v>44399</v>
      </c>
      <c r="C4835" s="362" t="s">
        <v>81</v>
      </c>
      <c r="D4835" s="562">
        <v>93896901</v>
      </c>
      <c r="E4835" s="562">
        <v>14809428</v>
      </c>
      <c r="F4835" s="562"/>
      <c r="G4835" s="562">
        <f t="shared" si="237"/>
        <v>108706329</v>
      </c>
      <c r="H4835" s="362"/>
      <c r="I4835" s="362"/>
      <c r="J4835" s="362"/>
    </row>
    <row r="4836" spans="1:10" x14ac:dyDescent="0.25">
      <c r="A4836" s="362"/>
      <c r="B4836" s="611">
        <v>44399</v>
      </c>
      <c r="C4836" s="362" t="s">
        <v>84</v>
      </c>
      <c r="D4836" s="562">
        <v>162386347</v>
      </c>
      <c r="E4836" s="562">
        <v>22835099</v>
      </c>
      <c r="F4836" s="562"/>
      <c r="G4836" s="562">
        <f t="shared" si="237"/>
        <v>185221446</v>
      </c>
      <c r="H4836" s="362"/>
      <c r="I4836" s="362"/>
      <c r="J4836" s="362"/>
    </row>
    <row r="4837" spans="1:10" x14ac:dyDescent="0.25">
      <c r="A4837" s="362"/>
      <c r="B4837" s="611">
        <v>44399</v>
      </c>
      <c r="C4837" s="362" t="s">
        <v>4751</v>
      </c>
      <c r="D4837" s="562">
        <v>233015574</v>
      </c>
      <c r="E4837" s="562">
        <v>11521826</v>
      </c>
      <c r="F4837" s="562"/>
      <c r="G4837" s="562">
        <f t="shared" si="237"/>
        <v>244537400</v>
      </c>
      <c r="H4837" s="362"/>
      <c r="I4837" s="362"/>
      <c r="J4837" s="362"/>
    </row>
    <row r="4838" spans="1:10" x14ac:dyDescent="0.25">
      <c r="A4838" s="362"/>
      <c r="B4838" s="611">
        <v>44399</v>
      </c>
      <c r="C4838" s="362" t="s">
        <v>166</v>
      </c>
      <c r="D4838" s="562">
        <v>79050551</v>
      </c>
      <c r="E4838" s="562"/>
      <c r="F4838" s="562"/>
      <c r="G4838" s="562">
        <f t="shared" si="237"/>
        <v>79050551</v>
      </c>
      <c r="H4838" s="362"/>
      <c r="I4838" s="362"/>
      <c r="J4838" s="362"/>
    </row>
    <row r="4839" spans="1:10" x14ac:dyDescent="0.25">
      <c r="A4839" s="362"/>
      <c r="B4839" s="611">
        <v>44399</v>
      </c>
      <c r="C4839" s="362" t="s">
        <v>3435</v>
      </c>
      <c r="D4839" s="562">
        <v>93825064</v>
      </c>
      <c r="E4839" s="562"/>
      <c r="F4839" s="562"/>
      <c r="G4839" s="562">
        <f t="shared" si="237"/>
        <v>93825064</v>
      </c>
      <c r="H4839" s="362"/>
      <c r="I4839" s="362"/>
      <c r="J4839" s="362"/>
    </row>
    <row r="4840" spans="1:10" x14ac:dyDescent="0.25">
      <c r="A4840" s="362"/>
      <c r="B4840" s="611">
        <v>44399</v>
      </c>
      <c r="C4840" s="370" t="s">
        <v>85</v>
      </c>
      <c r="D4840" s="562">
        <v>25420300</v>
      </c>
      <c r="E4840" s="562"/>
      <c r="F4840" s="562"/>
      <c r="G4840" s="562">
        <f t="shared" si="237"/>
        <v>25420300</v>
      </c>
      <c r="H4840" s="362"/>
      <c r="I4840" s="362"/>
      <c r="J4840" s="362"/>
    </row>
    <row r="4841" spans="1:10" x14ac:dyDescent="0.25">
      <c r="A4841" s="532"/>
      <c r="B4841" s="532"/>
      <c r="C4841" s="532"/>
      <c r="D4841" s="564">
        <f>SUM(D4826:D4840)</f>
        <v>2083349115</v>
      </c>
      <c r="E4841" s="564">
        <f t="shared" ref="E4841:G4841" si="239">SUM(E4826:E4840)</f>
        <v>318389920</v>
      </c>
      <c r="F4841" s="564">
        <f t="shared" si="239"/>
        <v>0</v>
      </c>
      <c r="G4841" s="564">
        <f t="shared" si="239"/>
        <v>2401739035</v>
      </c>
      <c r="H4841" s="532"/>
      <c r="I4841" s="532"/>
      <c r="J4841" s="532"/>
    </row>
    <row r="4842" spans="1:10" x14ac:dyDescent="0.25">
      <c r="A4842" s="362"/>
      <c r="B4842" s="611">
        <v>44400</v>
      </c>
      <c r="C4842" s="362" t="s">
        <v>86</v>
      </c>
      <c r="D4842" s="562">
        <v>47462994</v>
      </c>
      <c r="E4842" s="562">
        <v>74369239</v>
      </c>
      <c r="F4842" s="562">
        <v>121832200</v>
      </c>
      <c r="G4842" s="562">
        <f t="shared" si="237"/>
        <v>33</v>
      </c>
      <c r="H4842" s="362"/>
      <c r="I4842" s="362"/>
      <c r="J4842" s="362"/>
    </row>
    <row r="4843" spans="1:10" x14ac:dyDescent="0.25">
      <c r="A4843" s="362"/>
      <c r="B4843" s="611">
        <v>44400</v>
      </c>
      <c r="C4843" s="362" t="s">
        <v>87</v>
      </c>
      <c r="D4843" s="562">
        <v>159027012</v>
      </c>
      <c r="E4843" s="562">
        <v>164314786</v>
      </c>
      <c r="F4843" s="562">
        <v>323341800</v>
      </c>
      <c r="G4843" s="562">
        <f t="shared" si="237"/>
        <v>-2</v>
      </c>
      <c r="H4843" s="362"/>
      <c r="I4843" s="362"/>
      <c r="J4843" s="362"/>
    </row>
    <row r="4844" spans="1:10" x14ac:dyDescent="0.25">
      <c r="A4844" s="362"/>
      <c r="B4844" s="611">
        <v>44400</v>
      </c>
      <c r="C4844" s="362" t="s">
        <v>88</v>
      </c>
      <c r="D4844" s="562">
        <v>108246944</v>
      </c>
      <c r="E4844" s="562">
        <v>60596466</v>
      </c>
      <c r="F4844" s="562">
        <v>168843500</v>
      </c>
      <c r="G4844" s="562">
        <f t="shared" si="237"/>
        <v>-90</v>
      </c>
      <c r="H4844" s="362"/>
      <c r="I4844" s="362"/>
      <c r="J4844" s="362"/>
    </row>
    <row r="4845" spans="1:10" x14ac:dyDescent="0.25">
      <c r="A4845" s="362"/>
      <c r="B4845" s="611">
        <v>44400</v>
      </c>
      <c r="C4845" s="362" t="s">
        <v>82</v>
      </c>
      <c r="D4845" s="562">
        <v>82598685</v>
      </c>
      <c r="E4845" s="562">
        <v>1155924</v>
      </c>
      <c r="F4845" s="562">
        <v>83754700</v>
      </c>
      <c r="G4845" s="562">
        <f t="shared" si="237"/>
        <v>-91</v>
      </c>
      <c r="H4845" s="362"/>
      <c r="I4845" s="362"/>
      <c r="J4845" s="362"/>
    </row>
    <row r="4846" spans="1:10" x14ac:dyDescent="0.25">
      <c r="A4846" s="362"/>
      <c r="B4846" s="611">
        <v>44400</v>
      </c>
      <c r="C4846" s="362" t="s">
        <v>80</v>
      </c>
      <c r="D4846" s="562">
        <v>202228292</v>
      </c>
      <c r="E4846" s="562"/>
      <c r="F4846" s="562">
        <v>202228300</v>
      </c>
      <c r="G4846" s="562">
        <f t="shared" si="237"/>
        <v>-8</v>
      </c>
      <c r="H4846" s="362"/>
      <c r="I4846" s="362"/>
      <c r="J4846" s="362"/>
    </row>
    <row r="4847" spans="1:10" x14ac:dyDescent="0.25">
      <c r="A4847" s="362"/>
      <c r="B4847" s="611">
        <v>44400</v>
      </c>
      <c r="C4847" s="362" t="s">
        <v>83</v>
      </c>
      <c r="D4847" s="562">
        <v>151732103</v>
      </c>
      <c r="E4847" s="562">
        <v>11429665</v>
      </c>
      <c r="F4847" s="562">
        <v>163161800</v>
      </c>
      <c r="G4847" s="562">
        <f t="shared" si="237"/>
        <v>-32</v>
      </c>
      <c r="H4847" s="362"/>
      <c r="I4847" s="362"/>
      <c r="J4847" s="362"/>
    </row>
    <row r="4848" spans="1:10" x14ac:dyDescent="0.25">
      <c r="A4848" s="362"/>
      <c r="B4848" s="611">
        <v>44400</v>
      </c>
      <c r="C4848" s="362" t="s">
        <v>78</v>
      </c>
      <c r="D4848" s="562">
        <v>180093286</v>
      </c>
      <c r="E4848" s="562">
        <v>1050414</v>
      </c>
      <c r="F4848" s="562">
        <v>181143700</v>
      </c>
      <c r="G4848" s="562">
        <f t="shared" si="237"/>
        <v>0</v>
      </c>
      <c r="H4848" s="362"/>
      <c r="I4848" s="362"/>
      <c r="J4848" s="362"/>
    </row>
    <row r="4849" spans="1:10" x14ac:dyDescent="0.25">
      <c r="A4849" s="362"/>
      <c r="B4849" s="611">
        <v>44400</v>
      </c>
      <c r="C4849" s="362" t="s">
        <v>141</v>
      </c>
      <c r="D4849" s="562">
        <v>70628573</v>
      </c>
      <c r="E4849" s="562">
        <v>9434990</v>
      </c>
      <c r="F4849" s="562">
        <v>80063600</v>
      </c>
      <c r="G4849" s="562">
        <f t="shared" si="237"/>
        <v>-37</v>
      </c>
      <c r="H4849" s="362"/>
      <c r="I4849" s="362"/>
      <c r="J4849" s="362"/>
    </row>
    <row r="4850" spans="1:10" x14ac:dyDescent="0.25">
      <c r="A4850" s="362"/>
      <c r="B4850" s="611">
        <v>44400</v>
      </c>
      <c r="C4850" s="362" t="s">
        <v>89</v>
      </c>
      <c r="D4850" s="562">
        <v>139447498</v>
      </c>
      <c r="E4850" s="562">
        <v>58946602</v>
      </c>
      <c r="F4850" s="562">
        <v>198394100</v>
      </c>
      <c r="G4850" s="562">
        <f t="shared" si="237"/>
        <v>0</v>
      </c>
      <c r="H4850" s="362"/>
      <c r="I4850" s="362"/>
      <c r="J4850" s="362"/>
    </row>
    <row r="4851" spans="1:10" x14ac:dyDescent="0.25">
      <c r="A4851" s="362"/>
      <c r="B4851" s="611">
        <v>44400</v>
      </c>
      <c r="C4851" s="362" t="s">
        <v>81</v>
      </c>
      <c r="D4851" s="562">
        <v>58318463</v>
      </c>
      <c r="E4851" s="562">
        <v>26116303</v>
      </c>
      <c r="F4851" s="562">
        <v>84434800</v>
      </c>
      <c r="G4851" s="562">
        <f t="shared" si="237"/>
        <v>-34</v>
      </c>
      <c r="H4851" s="362"/>
      <c r="I4851" s="362"/>
      <c r="J4851" s="362"/>
    </row>
    <row r="4852" spans="1:10" x14ac:dyDescent="0.25">
      <c r="A4852" s="362"/>
      <c r="B4852" s="611">
        <v>44400</v>
      </c>
      <c r="C4852" s="362" t="s">
        <v>84</v>
      </c>
      <c r="D4852" s="562">
        <v>240580937</v>
      </c>
      <c r="E4852" s="562">
        <v>7918815</v>
      </c>
      <c r="F4852" s="562">
        <v>248499700</v>
      </c>
      <c r="G4852" s="562">
        <f t="shared" si="237"/>
        <v>52</v>
      </c>
      <c r="H4852" s="362"/>
      <c r="I4852" s="362"/>
      <c r="J4852" s="362"/>
    </row>
    <row r="4853" spans="1:10" x14ac:dyDescent="0.25">
      <c r="A4853" s="362"/>
      <c r="B4853" s="611">
        <v>44400</v>
      </c>
      <c r="C4853" s="362" t="s">
        <v>4751</v>
      </c>
      <c r="D4853" s="562">
        <v>169459999</v>
      </c>
      <c r="E4853" s="562">
        <v>50464301</v>
      </c>
      <c r="F4853" s="562">
        <v>219924300</v>
      </c>
      <c r="G4853" s="562">
        <f t="shared" si="237"/>
        <v>0</v>
      </c>
      <c r="H4853" s="362"/>
      <c r="I4853" s="362"/>
      <c r="J4853" s="362"/>
    </row>
    <row r="4854" spans="1:10" x14ac:dyDescent="0.25">
      <c r="A4854" s="362"/>
      <c r="B4854" s="611">
        <v>44400</v>
      </c>
      <c r="C4854" s="362" t="s">
        <v>166</v>
      </c>
      <c r="D4854" s="562">
        <v>38130535</v>
      </c>
      <c r="E4854" s="562"/>
      <c r="F4854" s="562">
        <v>38130600</v>
      </c>
      <c r="G4854" s="562">
        <f t="shared" si="237"/>
        <v>-65</v>
      </c>
      <c r="H4854" s="362"/>
      <c r="I4854" s="362"/>
      <c r="J4854" s="362"/>
    </row>
    <row r="4855" spans="1:10" x14ac:dyDescent="0.25">
      <c r="A4855" s="362"/>
      <c r="B4855" s="611">
        <v>44400</v>
      </c>
      <c r="C4855" s="362" t="s">
        <v>3435</v>
      </c>
      <c r="D4855" s="562">
        <v>67913487</v>
      </c>
      <c r="E4855" s="562"/>
      <c r="F4855" s="562">
        <v>67913500</v>
      </c>
      <c r="G4855" s="562">
        <f t="shared" si="237"/>
        <v>-13</v>
      </c>
      <c r="H4855" s="362"/>
      <c r="I4855" s="362"/>
      <c r="J4855" s="362"/>
    </row>
    <row r="4856" spans="1:10" x14ac:dyDescent="0.25">
      <c r="A4856" s="362"/>
      <c r="B4856" s="611">
        <v>44400</v>
      </c>
      <c r="C4856" s="370" t="s">
        <v>85</v>
      </c>
      <c r="D4856" s="562">
        <v>37315700</v>
      </c>
      <c r="E4856" s="562"/>
      <c r="F4856" s="562">
        <v>37315700</v>
      </c>
      <c r="G4856" s="562">
        <f t="shared" si="237"/>
        <v>0</v>
      </c>
      <c r="H4856" s="362"/>
      <c r="I4856" s="362"/>
      <c r="J4856" s="362"/>
    </row>
    <row r="4857" spans="1:10" x14ac:dyDescent="0.25">
      <c r="A4857" s="532"/>
      <c r="B4857" s="532"/>
      <c r="C4857" s="532"/>
      <c r="D4857" s="564">
        <f>SUM(D4842:D4856)</f>
        <v>1753184508</v>
      </c>
      <c r="E4857" s="564">
        <f t="shared" ref="E4857:G4857" si="240">SUM(E4842:E4856)</f>
        <v>465797505</v>
      </c>
      <c r="F4857" s="564">
        <f t="shared" si="240"/>
        <v>2218982300</v>
      </c>
      <c r="G4857" s="564">
        <f t="shared" si="240"/>
        <v>-287</v>
      </c>
      <c r="H4857" s="532"/>
      <c r="I4857" s="532"/>
      <c r="J4857" s="532"/>
    </row>
    <row r="4858" spans="1:10" x14ac:dyDescent="0.25">
      <c r="A4858" s="362"/>
      <c r="B4858" s="611">
        <v>44401</v>
      </c>
      <c r="C4858" s="362" t="s">
        <v>86</v>
      </c>
      <c r="D4858" s="562">
        <v>64800872</v>
      </c>
      <c r="E4858" s="562">
        <v>37686734</v>
      </c>
      <c r="F4858" s="562"/>
      <c r="G4858" s="562">
        <f t="shared" si="237"/>
        <v>102487606</v>
      </c>
      <c r="H4858" s="362"/>
      <c r="I4858" s="362"/>
      <c r="J4858" s="362"/>
    </row>
    <row r="4859" spans="1:10" x14ac:dyDescent="0.25">
      <c r="A4859" s="362"/>
      <c r="B4859" s="611">
        <v>44401</v>
      </c>
      <c r="C4859" s="362" t="s">
        <v>87</v>
      </c>
      <c r="D4859" s="562">
        <v>233049431</v>
      </c>
      <c r="E4859" s="562">
        <v>6790617</v>
      </c>
      <c r="F4859" s="562"/>
      <c r="G4859" s="562">
        <f t="shared" si="237"/>
        <v>239840048</v>
      </c>
      <c r="H4859" s="362"/>
      <c r="I4859" s="362"/>
      <c r="J4859" s="362"/>
    </row>
    <row r="4860" spans="1:10" x14ac:dyDescent="0.25">
      <c r="A4860" s="362"/>
      <c r="B4860" s="611">
        <v>44401</v>
      </c>
      <c r="C4860" s="362" t="s">
        <v>88</v>
      </c>
      <c r="D4860" s="562">
        <v>220298716</v>
      </c>
      <c r="E4860" s="562">
        <v>16391506</v>
      </c>
      <c r="F4860" s="562"/>
      <c r="G4860" s="562">
        <f t="shared" si="237"/>
        <v>236690222</v>
      </c>
      <c r="H4860" s="362"/>
      <c r="I4860" s="362"/>
      <c r="J4860" s="362"/>
    </row>
    <row r="4861" spans="1:10" x14ac:dyDescent="0.25">
      <c r="A4861" s="362"/>
      <c r="B4861" s="611">
        <v>44401</v>
      </c>
      <c r="C4861" s="362" t="s">
        <v>82</v>
      </c>
      <c r="D4861" s="562">
        <v>67992917</v>
      </c>
      <c r="E4861" s="562">
        <v>3349360</v>
      </c>
      <c r="F4861" s="562"/>
      <c r="G4861" s="562">
        <f t="shared" si="237"/>
        <v>71342277</v>
      </c>
      <c r="H4861" s="362"/>
      <c r="I4861" s="362"/>
      <c r="J4861" s="362"/>
    </row>
    <row r="4862" spans="1:10" x14ac:dyDescent="0.25">
      <c r="A4862" s="362"/>
      <c r="B4862" s="611">
        <v>44401</v>
      </c>
      <c r="C4862" s="362" t="s">
        <v>80</v>
      </c>
      <c r="D4862" s="562">
        <v>245084650</v>
      </c>
      <c r="E4862" s="562">
        <v>11480050</v>
      </c>
      <c r="F4862" s="562"/>
      <c r="G4862" s="562">
        <f t="shared" si="237"/>
        <v>256564700</v>
      </c>
      <c r="H4862" s="362"/>
      <c r="I4862" s="362"/>
      <c r="J4862" s="362"/>
    </row>
    <row r="4863" spans="1:10" x14ac:dyDescent="0.25">
      <c r="A4863" s="362"/>
      <c r="B4863" s="611">
        <v>44401</v>
      </c>
      <c r="C4863" s="362" t="s">
        <v>83</v>
      </c>
      <c r="D4863" s="562">
        <v>173525501</v>
      </c>
      <c r="E4863" s="562">
        <v>60116747</v>
      </c>
      <c r="F4863" s="562"/>
      <c r="G4863" s="562">
        <f t="shared" si="237"/>
        <v>233642248</v>
      </c>
      <c r="H4863" s="362"/>
      <c r="I4863" s="362"/>
      <c r="J4863" s="362"/>
    </row>
    <row r="4864" spans="1:10" x14ac:dyDescent="0.25">
      <c r="A4864" s="362"/>
      <c r="B4864" s="611">
        <v>44401</v>
      </c>
      <c r="C4864" s="362" t="s">
        <v>78</v>
      </c>
      <c r="D4864" s="562">
        <v>165183830</v>
      </c>
      <c r="E4864" s="562">
        <v>1892070</v>
      </c>
      <c r="F4864" s="562"/>
      <c r="G4864" s="562">
        <f t="shared" si="237"/>
        <v>167075900</v>
      </c>
      <c r="H4864" s="362"/>
      <c r="I4864" s="362"/>
      <c r="J4864" s="362"/>
    </row>
    <row r="4865" spans="1:10" x14ac:dyDescent="0.25">
      <c r="A4865" s="362"/>
      <c r="B4865" s="611">
        <v>44401</v>
      </c>
      <c r="C4865" s="362" t="s">
        <v>141</v>
      </c>
      <c r="D4865" s="562">
        <v>34080060</v>
      </c>
      <c r="E4865" s="562">
        <v>3995300</v>
      </c>
      <c r="F4865" s="562"/>
      <c r="G4865" s="562">
        <f t="shared" si="237"/>
        <v>38075360</v>
      </c>
      <c r="H4865" s="362"/>
      <c r="I4865" s="362"/>
      <c r="J4865" s="362"/>
    </row>
    <row r="4866" spans="1:10" x14ac:dyDescent="0.25">
      <c r="A4866" s="362"/>
      <c r="B4866" s="611">
        <v>44401</v>
      </c>
      <c r="C4866" s="362" t="s">
        <v>89</v>
      </c>
      <c r="D4866" s="562">
        <v>96482291</v>
      </c>
      <c r="E4866" s="562">
        <v>50523209</v>
      </c>
      <c r="F4866" s="562"/>
      <c r="G4866" s="562">
        <f t="shared" si="237"/>
        <v>147005500</v>
      </c>
      <c r="H4866" s="362"/>
      <c r="I4866" s="362"/>
      <c r="J4866" s="362"/>
    </row>
    <row r="4867" spans="1:10" x14ac:dyDescent="0.25">
      <c r="A4867" s="362"/>
      <c r="B4867" s="611">
        <v>44401</v>
      </c>
      <c r="C4867" s="362" t="s">
        <v>81</v>
      </c>
      <c r="D4867" s="562">
        <v>93555747</v>
      </c>
      <c r="E4867" s="562">
        <v>18640860</v>
      </c>
      <c r="F4867" s="562"/>
      <c r="G4867" s="562">
        <f t="shared" si="237"/>
        <v>112196607</v>
      </c>
      <c r="H4867" s="362"/>
      <c r="I4867" s="362"/>
      <c r="J4867" s="362"/>
    </row>
    <row r="4868" spans="1:10" x14ac:dyDescent="0.25">
      <c r="A4868" s="362"/>
      <c r="B4868" s="611">
        <v>44401</v>
      </c>
      <c r="C4868" s="362" t="s">
        <v>84</v>
      </c>
      <c r="D4868" s="562">
        <v>165057619</v>
      </c>
      <c r="E4868" s="562">
        <v>10627177</v>
      </c>
      <c r="F4868" s="562"/>
      <c r="G4868" s="562">
        <f t="shared" si="237"/>
        <v>175684796</v>
      </c>
      <c r="H4868" s="362"/>
      <c r="I4868" s="362"/>
      <c r="J4868" s="362"/>
    </row>
    <row r="4869" spans="1:10" x14ac:dyDescent="0.25">
      <c r="A4869" s="362"/>
      <c r="B4869" s="611">
        <v>44401</v>
      </c>
      <c r="C4869" s="362" t="s">
        <v>4751</v>
      </c>
      <c r="D4869" s="562">
        <v>239196309</v>
      </c>
      <c r="E4869" s="562">
        <v>16769691</v>
      </c>
      <c r="F4869" s="562"/>
      <c r="G4869" s="562">
        <f t="shared" si="237"/>
        <v>255966000</v>
      </c>
      <c r="H4869" s="362"/>
      <c r="I4869" s="362"/>
      <c r="J4869" s="362"/>
    </row>
    <row r="4870" spans="1:10" x14ac:dyDescent="0.25">
      <c r="A4870" s="362"/>
      <c r="B4870" s="611">
        <v>44401</v>
      </c>
      <c r="C4870" s="362" t="s">
        <v>166</v>
      </c>
      <c r="D4870" s="562"/>
      <c r="E4870" s="562"/>
      <c r="F4870" s="562"/>
      <c r="G4870" s="562">
        <f t="shared" si="237"/>
        <v>0</v>
      </c>
      <c r="H4870" s="362"/>
      <c r="I4870" s="362"/>
      <c r="J4870" s="362"/>
    </row>
    <row r="4871" spans="1:10" x14ac:dyDescent="0.25">
      <c r="A4871" s="362"/>
      <c r="B4871" s="611">
        <v>44401</v>
      </c>
      <c r="C4871" s="362" t="s">
        <v>3435</v>
      </c>
      <c r="D4871" s="562"/>
      <c r="E4871" s="562"/>
      <c r="F4871" s="562"/>
      <c r="G4871" s="562">
        <f t="shared" si="237"/>
        <v>0</v>
      </c>
      <c r="H4871" s="362"/>
      <c r="I4871" s="362"/>
      <c r="J4871" s="362"/>
    </row>
    <row r="4872" spans="1:10" x14ac:dyDescent="0.25">
      <c r="A4872" s="362"/>
      <c r="B4872" s="611">
        <v>44401</v>
      </c>
      <c r="C4872" s="370" t="s">
        <v>85</v>
      </c>
      <c r="D4872" s="562">
        <v>20654300</v>
      </c>
      <c r="E4872" s="562"/>
      <c r="F4872" s="562"/>
      <c r="G4872" s="562">
        <f t="shared" si="237"/>
        <v>20654300</v>
      </c>
      <c r="H4872" s="362"/>
      <c r="I4872" s="362"/>
      <c r="J4872" s="362"/>
    </row>
    <row r="4873" spans="1:10" x14ac:dyDescent="0.25">
      <c r="A4873" s="532"/>
      <c r="B4873" s="532"/>
      <c r="C4873" s="532"/>
      <c r="D4873" s="564">
        <f>SUM(D4858:D4872)</f>
        <v>1818962243</v>
      </c>
      <c r="E4873" s="564">
        <f t="shared" ref="E4873:G4873" si="241">SUM(E4858:E4872)</f>
        <v>238263321</v>
      </c>
      <c r="F4873" s="564">
        <f t="shared" si="241"/>
        <v>0</v>
      </c>
      <c r="G4873" s="564">
        <f t="shared" si="241"/>
        <v>2057225564</v>
      </c>
      <c r="H4873" s="532"/>
      <c r="I4873" s="532"/>
      <c r="J4873" s="532"/>
    </row>
    <row r="4874" spans="1:10" x14ac:dyDescent="0.25">
      <c r="A4874" s="362"/>
      <c r="B4874" s="611">
        <v>44403</v>
      </c>
      <c r="C4874" s="362" t="s">
        <v>86</v>
      </c>
      <c r="D4874" s="562">
        <v>34777721</v>
      </c>
      <c r="E4874" s="562">
        <v>191268191</v>
      </c>
      <c r="F4874" s="562"/>
      <c r="G4874" s="562">
        <f t="shared" si="237"/>
        <v>226045912</v>
      </c>
      <c r="H4874" s="362"/>
      <c r="I4874" s="362"/>
      <c r="J4874" s="362"/>
    </row>
    <row r="4875" spans="1:10" x14ac:dyDescent="0.25">
      <c r="A4875" s="362"/>
      <c r="B4875" s="611">
        <v>44403</v>
      </c>
      <c r="C4875" s="362" t="s">
        <v>87</v>
      </c>
      <c r="D4875" s="562">
        <v>119123926</v>
      </c>
      <c r="E4875" s="562">
        <v>49009586</v>
      </c>
      <c r="F4875" s="562"/>
      <c r="G4875" s="562">
        <f t="shared" si="237"/>
        <v>168133512</v>
      </c>
      <c r="H4875" s="362"/>
      <c r="I4875" s="362"/>
      <c r="J4875" s="362"/>
    </row>
    <row r="4876" spans="1:10" x14ac:dyDescent="0.25">
      <c r="A4876" s="362"/>
      <c r="B4876" s="611">
        <v>44403</v>
      </c>
      <c r="C4876" s="362" t="s">
        <v>88</v>
      </c>
      <c r="D4876" s="562">
        <v>190418150</v>
      </c>
      <c r="E4876" s="562">
        <v>7828012</v>
      </c>
      <c r="F4876" s="562"/>
      <c r="G4876" s="562">
        <f t="shared" ref="G4876:G4939" si="242">D4876+E4876-F4876</f>
        <v>198246162</v>
      </c>
      <c r="H4876" s="362"/>
      <c r="I4876" s="362"/>
      <c r="J4876" s="362"/>
    </row>
    <row r="4877" spans="1:10" x14ac:dyDescent="0.25">
      <c r="A4877" s="362"/>
      <c r="B4877" s="611">
        <v>44403</v>
      </c>
      <c r="C4877" s="362" t="s">
        <v>82</v>
      </c>
      <c r="D4877" s="562">
        <v>41738735</v>
      </c>
      <c r="E4877" s="562">
        <v>8880967</v>
      </c>
      <c r="F4877" s="562"/>
      <c r="G4877" s="562">
        <f t="shared" si="242"/>
        <v>50619702</v>
      </c>
      <c r="H4877" s="362"/>
      <c r="I4877" s="362"/>
      <c r="J4877" s="362"/>
    </row>
    <row r="4878" spans="1:10" x14ac:dyDescent="0.25">
      <c r="A4878" s="362"/>
      <c r="B4878" s="611">
        <v>44403</v>
      </c>
      <c r="C4878" s="362" t="s">
        <v>80</v>
      </c>
      <c r="D4878" s="562">
        <v>237713780</v>
      </c>
      <c r="E4878" s="562"/>
      <c r="F4878" s="562"/>
      <c r="G4878" s="562">
        <f t="shared" si="242"/>
        <v>237713780</v>
      </c>
      <c r="H4878" s="362"/>
      <c r="I4878" s="362"/>
      <c r="J4878" s="362"/>
    </row>
    <row r="4879" spans="1:10" x14ac:dyDescent="0.25">
      <c r="A4879" s="362"/>
      <c r="B4879" s="611">
        <v>44403</v>
      </c>
      <c r="C4879" s="362" t="s">
        <v>83</v>
      </c>
      <c r="D4879" s="562">
        <v>194748544</v>
      </c>
      <c r="E4879" s="562">
        <v>140661647</v>
      </c>
      <c r="F4879" s="562"/>
      <c r="G4879" s="562">
        <f t="shared" si="242"/>
        <v>335410191</v>
      </c>
      <c r="H4879" s="362"/>
      <c r="I4879" s="362"/>
      <c r="J4879" s="362"/>
    </row>
    <row r="4880" spans="1:10" x14ac:dyDescent="0.25">
      <c r="A4880" s="362"/>
      <c r="B4880" s="611">
        <v>44403</v>
      </c>
      <c r="C4880" s="362" t="s">
        <v>78</v>
      </c>
      <c r="D4880" s="562">
        <v>73396228</v>
      </c>
      <c r="E4880" s="562">
        <v>1112872</v>
      </c>
      <c r="F4880" s="562"/>
      <c r="G4880" s="562">
        <f t="shared" si="242"/>
        <v>74509100</v>
      </c>
      <c r="H4880" s="362"/>
      <c r="I4880" s="362"/>
      <c r="J4880" s="362"/>
    </row>
    <row r="4881" spans="1:10" x14ac:dyDescent="0.25">
      <c r="A4881" s="362"/>
      <c r="B4881" s="611">
        <v>44403</v>
      </c>
      <c r="C4881" s="362" t="s">
        <v>141</v>
      </c>
      <c r="D4881" s="562">
        <v>36816407</v>
      </c>
      <c r="E4881" s="562">
        <v>13280593</v>
      </c>
      <c r="F4881" s="562"/>
      <c r="G4881" s="562">
        <f t="shared" si="242"/>
        <v>50097000</v>
      </c>
      <c r="H4881" s="362"/>
      <c r="I4881" s="362"/>
      <c r="J4881" s="362"/>
    </row>
    <row r="4882" spans="1:10" x14ac:dyDescent="0.25">
      <c r="A4882" s="362"/>
      <c r="B4882" s="611">
        <v>44403</v>
      </c>
      <c r="C4882" s="362" t="s">
        <v>89</v>
      </c>
      <c r="D4882" s="562">
        <v>114993395</v>
      </c>
      <c r="E4882" s="562">
        <v>24684505</v>
      </c>
      <c r="F4882" s="562"/>
      <c r="G4882" s="562">
        <f t="shared" si="242"/>
        <v>139677900</v>
      </c>
      <c r="H4882" s="362"/>
      <c r="I4882" s="362"/>
      <c r="J4882" s="362"/>
    </row>
    <row r="4883" spans="1:10" x14ac:dyDescent="0.25">
      <c r="A4883" s="362"/>
      <c r="B4883" s="611">
        <v>44403</v>
      </c>
      <c r="C4883" s="362" t="s">
        <v>81</v>
      </c>
      <c r="D4883" s="562">
        <v>134780325</v>
      </c>
      <c r="E4883" s="562">
        <v>128267196</v>
      </c>
      <c r="F4883" s="562"/>
      <c r="G4883" s="562">
        <f t="shared" si="242"/>
        <v>263047521</v>
      </c>
      <c r="H4883" s="362"/>
      <c r="I4883" s="362"/>
      <c r="J4883" s="362"/>
    </row>
    <row r="4884" spans="1:10" x14ac:dyDescent="0.25">
      <c r="A4884" s="362"/>
      <c r="B4884" s="611">
        <v>44403</v>
      </c>
      <c r="C4884" s="362" t="s">
        <v>84</v>
      </c>
      <c r="D4884" s="562">
        <v>224081291</v>
      </c>
      <c r="E4884" s="562">
        <v>5275082</v>
      </c>
      <c r="F4884" s="562"/>
      <c r="G4884" s="562">
        <f t="shared" si="242"/>
        <v>229356373</v>
      </c>
      <c r="H4884" s="362"/>
      <c r="I4884" s="362"/>
      <c r="J4884" s="362"/>
    </row>
    <row r="4885" spans="1:10" x14ac:dyDescent="0.25">
      <c r="A4885" s="362"/>
      <c r="B4885" s="611">
        <v>44403</v>
      </c>
      <c r="C4885" s="362" t="s">
        <v>4751</v>
      </c>
      <c r="D4885" s="562">
        <v>220254884</v>
      </c>
      <c r="E4885" s="562">
        <v>10682416</v>
      </c>
      <c r="F4885" s="562"/>
      <c r="G4885" s="562">
        <f t="shared" si="242"/>
        <v>230937300</v>
      </c>
      <c r="H4885" s="362"/>
      <c r="I4885" s="362"/>
      <c r="J4885" s="362"/>
    </row>
    <row r="4886" spans="1:10" x14ac:dyDescent="0.25">
      <c r="A4886" s="362"/>
      <c r="B4886" s="611">
        <v>44403</v>
      </c>
      <c r="C4886" s="362" t="s">
        <v>166</v>
      </c>
      <c r="D4886" s="562">
        <v>53147136</v>
      </c>
      <c r="E4886" s="562"/>
      <c r="F4886" s="562"/>
      <c r="G4886" s="562">
        <f t="shared" si="242"/>
        <v>53147136</v>
      </c>
      <c r="H4886" s="362"/>
      <c r="I4886" s="362"/>
      <c r="J4886" s="362"/>
    </row>
    <row r="4887" spans="1:10" x14ac:dyDescent="0.25">
      <c r="A4887" s="362"/>
      <c r="B4887" s="611">
        <v>44403</v>
      </c>
      <c r="C4887" s="362" t="s">
        <v>3435</v>
      </c>
      <c r="D4887" s="562">
        <v>56762815</v>
      </c>
      <c r="E4887" s="562"/>
      <c r="F4887" s="562"/>
      <c r="G4887" s="562">
        <f t="shared" si="242"/>
        <v>56762815</v>
      </c>
      <c r="H4887" s="362"/>
      <c r="I4887" s="362"/>
      <c r="J4887" s="362"/>
    </row>
    <row r="4888" spans="1:10" x14ac:dyDescent="0.25">
      <c r="A4888" s="362"/>
      <c r="B4888" s="611">
        <v>44403</v>
      </c>
      <c r="C4888" s="370" t="s">
        <v>85</v>
      </c>
      <c r="D4888" s="562">
        <v>47747000</v>
      </c>
      <c r="E4888" s="562"/>
      <c r="F4888" s="562"/>
      <c r="G4888" s="562">
        <f t="shared" si="242"/>
        <v>47747000</v>
      </c>
      <c r="H4888" s="362"/>
      <c r="I4888" s="362"/>
      <c r="J4888" s="362"/>
    </row>
    <row r="4889" spans="1:10" x14ac:dyDescent="0.25">
      <c r="A4889" s="532"/>
      <c r="B4889" s="532"/>
      <c r="C4889" s="532"/>
      <c r="D4889" s="564">
        <f>SUM(D4874:D4888)</f>
        <v>1780500337</v>
      </c>
      <c r="E4889" s="564">
        <f t="shared" ref="E4889:G4889" si="243">SUM(E4874:E4888)</f>
        <v>580951067</v>
      </c>
      <c r="F4889" s="564">
        <f t="shared" si="243"/>
        <v>0</v>
      </c>
      <c r="G4889" s="564">
        <f t="shared" si="243"/>
        <v>2361451404</v>
      </c>
      <c r="H4889" s="532"/>
      <c r="I4889" s="532"/>
      <c r="J4889" s="532"/>
    </row>
    <row r="4890" spans="1:10" x14ac:dyDescent="0.25">
      <c r="A4890" s="362"/>
      <c r="B4890" s="611">
        <v>44404</v>
      </c>
      <c r="C4890" s="362" t="s">
        <v>86</v>
      </c>
      <c r="D4890" s="562">
        <v>67021041</v>
      </c>
      <c r="E4890" s="562">
        <v>70155219</v>
      </c>
      <c r="F4890" s="562"/>
      <c r="G4890" s="562">
        <f t="shared" si="242"/>
        <v>137176260</v>
      </c>
      <c r="H4890" s="362"/>
      <c r="I4890" s="362"/>
      <c r="J4890" s="362"/>
    </row>
    <row r="4891" spans="1:10" x14ac:dyDescent="0.25">
      <c r="A4891" s="362"/>
      <c r="B4891" s="611">
        <v>44404</v>
      </c>
      <c r="C4891" s="362" t="s">
        <v>87</v>
      </c>
      <c r="D4891" s="562">
        <v>123043603</v>
      </c>
      <c r="E4891" s="562">
        <v>107624803</v>
      </c>
      <c r="F4891" s="562"/>
      <c r="G4891" s="562">
        <f t="shared" si="242"/>
        <v>230668406</v>
      </c>
      <c r="H4891" s="362"/>
      <c r="I4891" s="362"/>
      <c r="J4891" s="362"/>
    </row>
    <row r="4892" spans="1:10" x14ac:dyDescent="0.25">
      <c r="A4892" s="362"/>
      <c r="B4892" s="611">
        <v>44404</v>
      </c>
      <c r="C4892" s="362" t="s">
        <v>88</v>
      </c>
      <c r="D4892" s="562">
        <v>218989781</v>
      </c>
      <c r="E4892" s="562">
        <v>72993331</v>
      </c>
      <c r="F4892" s="562"/>
      <c r="G4892" s="562">
        <f t="shared" si="242"/>
        <v>291983112</v>
      </c>
      <c r="H4892" s="362"/>
      <c r="I4892" s="362"/>
      <c r="J4892" s="362"/>
    </row>
    <row r="4893" spans="1:10" x14ac:dyDescent="0.25">
      <c r="A4893" s="362"/>
      <c r="B4893" s="611">
        <v>44404</v>
      </c>
      <c r="C4893" s="362" t="s">
        <v>82</v>
      </c>
      <c r="D4893" s="562">
        <v>56759913</v>
      </c>
      <c r="E4893" s="562">
        <v>6297636</v>
      </c>
      <c r="F4893" s="562"/>
      <c r="G4893" s="562">
        <f t="shared" si="242"/>
        <v>63057549</v>
      </c>
      <c r="H4893" s="362"/>
      <c r="I4893" s="362"/>
      <c r="J4893" s="362"/>
    </row>
    <row r="4894" spans="1:10" x14ac:dyDescent="0.25">
      <c r="A4894" s="362"/>
      <c r="B4894" s="611">
        <v>44404</v>
      </c>
      <c r="C4894" s="362" t="s">
        <v>80</v>
      </c>
      <c r="D4894" s="562">
        <v>412143850</v>
      </c>
      <c r="E4894" s="562">
        <v>60565000</v>
      </c>
      <c r="F4894" s="562"/>
      <c r="G4894" s="562">
        <f t="shared" si="242"/>
        <v>472708850</v>
      </c>
      <c r="H4894" s="362"/>
      <c r="I4894" s="362"/>
      <c r="J4894" s="362"/>
    </row>
    <row r="4895" spans="1:10" x14ac:dyDescent="0.25">
      <c r="A4895" s="362"/>
      <c r="B4895" s="611">
        <v>44404</v>
      </c>
      <c r="C4895" s="362" t="s">
        <v>83</v>
      </c>
      <c r="D4895" s="562">
        <v>218813396</v>
      </c>
      <c r="E4895" s="562">
        <v>45421404</v>
      </c>
      <c r="F4895" s="562"/>
      <c r="G4895" s="562">
        <f t="shared" si="242"/>
        <v>264234800</v>
      </c>
      <c r="H4895" s="362"/>
      <c r="I4895" s="362"/>
      <c r="J4895" s="362"/>
    </row>
    <row r="4896" spans="1:10" x14ac:dyDescent="0.25">
      <c r="A4896" s="362"/>
      <c r="B4896" s="611">
        <v>44404</v>
      </c>
      <c r="C4896" s="362" t="s">
        <v>78</v>
      </c>
      <c r="D4896" s="562">
        <v>102056056</v>
      </c>
      <c r="E4896" s="562">
        <v>2887144</v>
      </c>
      <c r="F4896" s="562"/>
      <c r="G4896" s="562">
        <f t="shared" si="242"/>
        <v>104943200</v>
      </c>
      <c r="H4896" s="362"/>
      <c r="I4896" s="362"/>
      <c r="J4896" s="362"/>
    </row>
    <row r="4897" spans="1:10" x14ac:dyDescent="0.25">
      <c r="A4897" s="362"/>
      <c r="B4897" s="611">
        <v>44404</v>
      </c>
      <c r="C4897" s="362" t="s">
        <v>141</v>
      </c>
      <c r="D4897" s="562">
        <v>88756999</v>
      </c>
      <c r="E4897" s="562">
        <v>1065216</v>
      </c>
      <c r="F4897" s="562"/>
      <c r="G4897" s="562">
        <f t="shared" si="242"/>
        <v>89822215</v>
      </c>
      <c r="H4897" s="362"/>
      <c r="I4897" s="362"/>
      <c r="J4897" s="362"/>
    </row>
    <row r="4898" spans="1:10" x14ac:dyDescent="0.25">
      <c r="A4898" s="362"/>
      <c r="B4898" s="611">
        <v>44404</v>
      </c>
      <c r="C4898" s="362" t="s">
        <v>89</v>
      </c>
      <c r="D4898" s="562">
        <v>178059228</v>
      </c>
      <c r="E4898" s="562">
        <v>33293628</v>
      </c>
      <c r="F4898" s="562"/>
      <c r="G4898" s="562">
        <f t="shared" si="242"/>
        <v>211352856</v>
      </c>
      <c r="H4898" s="362"/>
      <c r="I4898" s="362"/>
      <c r="J4898" s="362"/>
    </row>
    <row r="4899" spans="1:10" x14ac:dyDescent="0.25">
      <c r="A4899" s="362"/>
      <c r="B4899" s="611">
        <v>44404</v>
      </c>
      <c r="C4899" s="362" t="s">
        <v>81</v>
      </c>
      <c r="D4899" s="562">
        <v>71263672</v>
      </c>
      <c r="E4899" s="562">
        <v>7030300</v>
      </c>
      <c r="F4899" s="562"/>
      <c r="G4899" s="562">
        <f t="shared" si="242"/>
        <v>78293972</v>
      </c>
      <c r="H4899" s="362"/>
      <c r="I4899" s="362"/>
      <c r="J4899" s="362"/>
    </row>
    <row r="4900" spans="1:10" x14ac:dyDescent="0.25">
      <c r="A4900" s="362"/>
      <c r="B4900" s="611">
        <v>44404</v>
      </c>
      <c r="C4900" s="362" t="s">
        <v>84</v>
      </c>
      <c r="D4900" s="562">
        <v>273955833</v>
      </c>
      <c r="E4900" s="562">
        <v>17169693</v>
      </c>
      <c r="F4900" s="562"/>
      <c r="G4900" s="562">
        <f t="shared" si="242"/>
        <v>291125526</v>
      </c>
      <c r="H4900" s="362"/>
      <c r="I4900" s="362"/>
      <c r="J4900" s="362"/>
    </row>
    <row r="4901" spans="1:10" x14ac:dyDescent="0.25">
      <c r="A4901" s="362"/>
      <c r="B4901" s="611">
        <v>44404</v>
      </c>
      <c r="C4901" s="362" t="s">
        <v>4751</v>
      </c>
      <c r="D4901" s="562">
        <v>268777540</v>
      </c>
      <c r="E4901" s="562">
        <v>11939260</v>
      </c>
      <c r="F4901" s="562"/>
      <c r="G4901" s="562">
        <f t="shared" si="242"/>
        <v>280716800</v>
      </c>
      <c r="H4901" s="362"/>
      <c r="I4901" s="362"/>
      <c r="J4901" s="362"/>
    </row>
    <row r="4902" spans="1:10" x14ac:dyDescent="0.25">
      <c r="A4902" s="362"/>
      <c r="B4902" s="611">
        <v>44404</v>
      </c>
      <c r="C4902" s="362" t="s">
        <v>166</v>
      </c>
      <c r="D4902" s="562">
        <v>49871286</v>
      </c>
      <c r="E4902" s="562"/>
      <c r="F4902" s="562"/>
      <c r="G4902" s="562">
        <f t="shared" si="242"/>
        <v>49871286</v>
      </c>
      <c r="H4902" s="362"/>
      <c r="I4902" s="362"/>
      <c r="J4902" s="362"/>
    </row>
    <row r="4903" spans="1:10" x14ac:dyDescent="0.25">
      <c r="A4903" s="362"/>
      <c r="B4903" s="611">
        <v>44404</v>
      </c>
      <c r="C4903" s="362" t="s">
        <v>3435</v>
      </c>
      <c r="D4903" s="562">
        <v>61597048</v>
      </c>
      <c r="E4903" s="562"/>
      <c r="F4903" s="562"/>
      <c r="G4903" s="562">
        <f t="shared" si="242"/>
        <v>61597048</v>
      </c>
      <c r="H4903" s="362"/>
      <c r="I4903" s="362"/>
      <c r="J4903" s="362"/>
    </row>
    <row r="4904" spans="1:10" x14ac:dyDescent="0.25">
      <c r="A4904" s="362"/>
      <c r="B4904" s="611">
        <v>44404</v>
      </c>
      <c r="C4904" s="370" t="s">
        <v>85</v>
      </c>
      <c r="D4904" s="562">
        <v>34319200</v>
      </c>
      <c r="E4904" s="562"/>
      <c r="F4904" s="562"/>
      <c r="G4904" s="562">
        <f t="shared" si="242"/>
        <v>34319200</v>
      </c>
      <c r="H4904" s="362"/>
      <c r="I4904" s="362"/>
      <c r="J4904" s="362"/>
    </row>
    <row r="4905" spans="1:10" x14ac:dyDescent="0.25">
      <c r="A4905" s="532"/>
      <c r="B4905" s="532"/>
      <c r="C4905" s="532"/>
      <c r="D4905" s="564">
        <f>SUM(D4890:D4904)</f>
        <v>2225428446</v>
      </c>
      <c r="E4905" s="564">
        <f t="shared" ref="E4905:G4905" si="244">SUM(E4890:E4904)</f>
        <v>436442634</v>
      </c>
      <c r="F4905" s="564">
        <f t="shared" si="244"/>
        <v>0</v>
      </c>
      <c r="G4905" s="564">
        <f t="shared" si="244"/>
        <v>2661871080</v>
      </c>
      <c r="H4905" s="532"/>
      <c r="I4905" s="532"/>
      <c r="J4905" s="532"/>
    </row>
    <row r="4906" spans="1:10" x14ac:dyDescent="0.25">
      <c r="A4906" s="362"/>
      <c r="B4906" s="611">
        <v>44405</v>
      </c>
      <c r="C4906" s="362" t="s">
        <v>86</v>
      </c>
      <c r="D4906" s="562">
        <v>40529218</v>
      </c>
      <c r="E4906" s="562">
        <v>92634211</v>
      </c>
      <c r="F4906" s="562"/>
      <c r="G4906" s="562">
        <f t="shared" si="242"/>
        <v>133163429</v>
      </c>
      <c r="H4906" s="362"/>
      <c r="I4906" s="362"/>
      <c r="J4906" s="362"/>
    </row>
    <row r="4907" spans="1:10" x14ac:dyDescent="0.25">
      <c r="A4907" s="362"/>
      <c r="B4907" s="611">
        <v>44405</v>
      </c>
      <c r="C4907" s="362" t="s">
        <v>87</v>
      </c>
      <c r="D4907" s="562">
        <v>124810006</v>
      </c>
      <c r="E4907" s="562">
        <v>151372996</v>
      </c>
      <c r="F4907" s="562"/>
      <c r="G4907" s="562">
        <f t="shared" si="242"/>
        <v>276183002</v>
      </c>
      <c r="H4907" s="362"/>
      <c r="I4907" s="362"/>
      <c r="J4907" s="362"/>
    </row>
    <row r="4908" spans="1:10" x14ac:dyDescent="0.25">
      <c r="A4908" s="362"/>
      <c r="B4908" s="611">
        <v>44405</v>
      </c>
      <c r="C4908" s="362" t="s">
        <v>88</v>
      </c>
      <c r="D4908" s="562">
        <v>277476544</v>
      </c>
      <c r="E4908" s="562">
        <v>92891619</v>
      </c>
      <c r="F4908" s="562"/>
      <c r="G4908" s="562">
        <f t="shared" si="242"/>
        <v>370368163</v>
      </c>
      <c r="H4908" s="362"/>
      <c r="I4908" s="362"/>
      <c r="J4908" s="362"/>
    </row>
    <row r="4909" spans="1:10" x14ac:dyDescent="0.25">
      <c r="A4909" s="362"/>
      <c r="B4909" s="611">
        <v>44405</v>
      </c>
      <c r="C4909" s="362" t="s">
        <v>82</v>
      </c>
      <c r="D4909" s="562">
        <v>105266052</v>
      </c>
      <c r="E4909" s="562">
        <v>1421354</v>
      </c>
      <c r="F4909" s="562"/>
      <c r="G4909" s="562">
        <f t="shared" si="242"/>
        <v>106687406</v>
      </c>
      <c r="H4909" s="362"/>
      <c r="I4909" s="362"/>
      <c r="J4909" s="362"/>
    </row>
    <row r="4910" spans="1:10" x14ac:dyDescent="0.25">
      <c r="A4910" s="362"/>
      <c r="B4910" s="611">
        <v>44405</v>
      </c>
      <c r="C4910" s="362" t="s">
        <v>80</v>
      </c>
      <c r="D4910" s="562">
        <v>287277732</v>
      </c>
      <c r="E4910" s="562"/>
      <c r="F4910" s="562"/>
      <c r="G4910" s="562">
        <f t="shared" si="242"/>
        <v>287277732</v>
      </c>
      <c r="H4910" s="362"/>
      <c r="I4910" s="362"/>
      <c r="J4910" s="362"/>
    </row>
    <row r="4911" spans="1:10" x14ac:dyDescent="0.25">
      <c r="A4911" s="362"/>
      <c r="B4911" s="611">
        <v>44405</v>
      </c>
      <c r="C4911" s="362" t="s">
        <v>83</v>
      </c>
      <c r="D4911" s="562">
        <v>234530941</v>
      </c>
      <c r="E4911" s="562">
        <v>38224358</v>
      </c>
      <c r="F4911" s="562"/>
      <c r="G4911" s="562">
        <f t="shared" si="242"/>
        <v>272755299</v>
      </c>
      <c r="H4911" s="362"/>
      <c r="I4911" s="362"/>
      <c r="J4911" s="362"/>
    </row>
    <row r="4912" spans="1:10" x14ac:dyDescent="0.25">
      <c r="A4912" s="362"/>
      <c r="B4912" s="611">
        <v>44405</v>
      </c>
      <c r="C4912" s="362" t="s">
        <v>78</v>
      </c>
      <c r="D4912" s="562">
        <v>129935597</v>
      </c>
      <c r="E4912" s="562">
        <v>2132603</v>
      </c>
      <c r="F4912" s="562"/>
      <c r="G4912" s="562">
        <f t="shared" si="242"/>
        <v>132068200</v>
      </c>
      <c r="H4912" s="362"/>
      <c r="I4912" s="362"/>
      <c r="J4912" s="362"/>
    </row>
    <row r="4913" spans="1:10" x14ac:dyDescent="0.25">
      <c r="A4913" s="362"/>
      <c r="B4913" s="611">
        <v>44405</v>
      </c>
      <c r="C4913" s="362" t="s">
        <v>141</v>
      </c>
      <c r="D4913" s="562">
        <v>84621893</v>
      </c>
      <c r="E4913" s="562">
        <v>914439</v>
      </c>
      <c r="F4913" s="562"/>
      <c r="G4913" s="562">
        <f t="shared" si="242"/>
        <v>85536332</v>
      </c>
      <c r="H4913" s="362"/>
      <c r="I4913" s="362"/>
      <c r="J4913" s="362"/>
    </row>
    <row r="4914" spans="1:10" x14ac:dyDescent="0.25">
      <c r="A4914" s="362"/>
      <c r="B4914" s="611">
        <v>44405</v>
      </c>
      <c r="C4914" s="362" t="s">
        <v>89</v>
      </c>
      <c r="D4914" s="562">
        <v>139925591</v>
      </c>
      <c r="E4914" s="562">
        <v>35765709</v>
      </c>
      <c r="F4914" s="562"/>
      <c r="G4914" s="562">
        <f t="shared" si="242"/>
        <v>175691300</v>
      </c>
      <c r="H4914" s="362"/>
      <c r="I4914" s="362"/>
      <c r="J4914" s="362"/>
    </row>
    <row r="4915" spans="1:10" x14ac:dyDescent="0.25">
      <c r="A4915" s="362"/>
      <c r="B4915" s="611">
        <v>44405</v>
      </c>
      <c r="C4915" s="362" t="s">
        <v>81</v>
      </c>
      <c r="D4915" s="562">
        <v>106004401</v>
      </c>
      <c r="E4915" s="562">
        <v>9448189</v>
      </c>
      <c r="F4915" s="562"/>
      <c r="G4915" s="562">
        <f t="shared" si="242"/>
        <v>115452590</v>
      </c>
      <c r="H4915" s="362"/>
      <c r="I4915" s="362"/>
      <c r="J4915" s="362"/>
    </row>
    <row r="4916" spans="1:10" x14ac:dyDescent="0.25">
      <c r="A4916" s="362"/>
      <c r="B4916" s="611">
        <v>44405</v>
      </c>
      <c r="C4916" s="362" t="s">
        <v>84</v>
      </c>
      <c r="D4916" s="562">
        <v>348995988</v>
      </c>
      <c r="E4916" s="562">
        <v>88575826</v>
      </c>
      <c r="F4916" s="562"/>
      <c r="G4916" s="562">
        <f t="shared" si="242"/>
        <v>437571814</v>
      </c>
      <c r="H4916" s="362"/>
      <c r="I4916" s="362"/>
      <c r="J4916" s="362"/>
    </row>
    <row r="4917" spans="1:10" x14ac:dyDescent="0.25">
      <c r="A4917" s="362"/>
      <c r="B4917" s="611">
        <v>44405</v>
      </c>
      <c r="C4917" s="362" t="s">
        <v>4751</v>
      </c>
      <c r="D4917" s="562">
        <v>187192902</v>
      </c>
      <c r="E4917" s="562">
        <v>14772098</v>
      </c>
      <c r="F4917" s="562"/>
      <c r="G4917" s="562">
        <f t="shared" si="242"/>
        <v>201965000</v>
      </c>
      <c r="H4917" s="362"/>
      <c r="I4917" s="362"/>
      <c r="J4917" s="362"/>
    </row>
    <row r="4918" spans="1:10" x14ac:dyDescent="0.25">
      <c r="A4918" s="362"/>
      <c r="B4918" s="611">
        <v>44405</v>
      </c>
      <c r="C4918" s="362" t="s">
        <v>166</v>
      </c>
      <c r="D4918" s="562">
        <v>62457882</v>
      </c>
      <c r="E4918" s="562"/>
      <c r="F4918" s="562"/>
      <c r="G4918" s="562">
        <f t="shared" si="242"/>
        <v>62457882</v>
      </c>
      <c r="H4918" s="362"/>
      <c r="I4918" s="362"/>
      <c r="J4918" s="362"/>
    </row>
    <row r="4919" spans="1:10" x14ac:dyDescent="0.25">
      <c r="A4919" s="362"/>
      <c r="B4919" s="611">
        <v>44405</v>
      </c>
      <c r="C4919" s="362" t="s">
        <v>3435</v>
      </c>
      <c r="D4919" s="562">
        <v>91031780</v>
      </c>
      <c r="E4919" s="562"/>
      <c r="F4919" s="562"/>
      <c r="G4919" s="562">
        <f t="shared" si="242"/>
        <v>91031780</v>
      </c>
      <c r="H4919" s="362"/>
      <c r="I4919" s="362"/>
      <c r="J4919" s="362"/>
    </row>
    <row r="4920" spans="1:10" x14ac:dyDescent="0.25">
      <c r="A4920" s="362"/>
      <c r="B4920" s="611">
        <v>44405</v>
      </c>
      <c r="C4920" s="370" t="s">
        <v>85</v>
      </c>
      <c r="D4920" s="562">
        <v>42324600</v>
      </c>
      <c r="E4920" s="562"/>
      <c r="F4920" s="562"/>
      <c r="G4920" s="562">
        <f t="shared" si="242"/>
        <v>42324600</v>
      </c>
      <c r="H4920" s="362"/>
      <c r="I4920" s="362"/>
      <c r="J4920" s="362"/>
    </row>
    <row r="4921" spans="1:10" x14ac:dyDescent="0.25">
      <c r="A4921" s="532"/>
      <c r="B4921" s="532"/>
      <c r="C4921" s="532"/>
      <c r="D4921" s="564">
        <f>SUM(D4906:D4920)</f>
        <v>2262381127</v>
      </c>
      <c r="E4921" s="564">
        <f t="shared" ref="E4921:G4921" si="245">SUM(E4906:E4920)</f>
        <v>528153402</v>
      </c>
      <c r="F4921" s="564">
        <f t="shared" si="245"/>
        <v>0</v>
      </c>
      <c r="G4921" s="564">
        <f t="shared" si="245"/>
        <v>2790534529</v>
      </c>
      <c r="H4921" s="532"/>
      <c r="I4921" s="532"/>
      <c r="J4921" s="532"/>
    </row>
    <row r="4922" spans="1:10" x14ac:dyDescent="0.25">
      <c r="A4922" s="362"/>
      <c r="B4922" s="611">
        <v>44406</v>
      </c>
      <c r="C4922" s="362" t="s">
        <v>86</v>
      </c>
      <c r="D4922" s="562">
        <v>38285436</v>
      </c>
      <c r="E4922" s="562">
        <v>193910187</v>
      </c>
      <c r="F4922" s="562"/>
      <c r="G4922" s="562">
        <f t="shared" si="242"/>
        <v>232195623</v>
      </c>
      <c r="H4922" s="362"/>
      <c r="I4922" s="362"/>
      <c r="J4922" s="362"/>
    </row>
    <row r="4923" spans="1:10" x14ac:dyDescent="0.25">
      <c r="A4923" s="362"/>
      <c r="B4923" s="611">
        <v>44406</v>
      </c>
      <c r="C4923" s="362" t="s">
        <v>87</v>
      </c>
      <c r="D4923" s="562">
        <v>100901030</v>
      </c>
      <c r="E4923" s="562">
        <v>50164175</v>
      </c>
      <c r="F4923" s="562"/>
      <c r="G4923" s="562">
        <f t="shared" si="242"/>
        <v>151065205</v>
      </c>
      <c r="H4923" s="362"/>
      <c r="I4923" s="362"/>
      <c r="J4923" s="362"/>
    </row>
    <row r="4924" spans="1:10" x14ac:dyDescent="0.25">
      <c r="A4924" s="362"/>
      <c r="B4924" s="611">
        <v>44406</v>
      </c>
      <c r="C4924" s="362" t="s">
        <v>88</v>
      </c>
      <c r="D4924" s="562">
        <v>175222393</v>
      </c>
      <c r="E4924" s="562">
        <v>78777911</v>
      </c>
      <c r="F4924" s="562"/>
      <c r="G4924" s="562">
        <f t="shared" si="242"/>
        <v>254000304</v>
      </c>
      <c r="H4924" s="362"/>
      <c r="I4924" s="362"/>
      <c r="J4924" s="362"/>
    </row>
    <row r="4925" spans="1:10" x14ac:dyDescent="0.25">
      <c r="A4925" s="362"/>
      <c r="B4925" s="611">
        <v>44406</v>
      </c>
      <c r="C4925" s="362" t="s">
        <v>82</v>
      </c>
      <c r="D4925" s="562">
        <v>144952712</v>
      </c>
      <c r="E4925" s="562">
        <v>1018097</v>
      </c>
      <c r="F4925" s="562"/>
      <c r="G4925" s="562">
        <f t="shared" si="242"/>
        <v>145970809</v>
      </c>
      <c r="H4925" s="362"/>
      <c r="I4925" s="362"/>
      <c r="J4925" s="362"/>
    </row>
    <row r="4926" spans="1:10" x14ac:dyDescent="0.25">
      <c r="A4926" s="362"/>
      <c r="B4926" s="611">
        <v>44406</v>
      </c>
      <c r="C4926" s="362" t="s">
        <v>80</v>
      </c>
      <c r="D4926" s="562">
        <v>153032892</v>
      </c>
      <c r="E4926" s="562">
        <v>11839964</v>
      </c>
      <c r="F4926" s="562"/>
      <c r="G4926" s="562">
        <f t="shared" si="242"/>
        <v>164872856</v>
      </c>
      <c r="H4926" s="362"/>
      <c r="I4926" s="362"/>
      <c r="J4926" s="362"/>
    </row>
    <row r="4927" spans="1:10" x14ac:dyDescent="0.25">
      <c r="A4927" s="362"/>
      <c r="B4927" s="611">
        <v>44406</v>
      </c>
      <c r="C4927" s="362" t="s">
        <v>83</v>
      </c>
      <c r="D4927" s="562">
        <v>289688672</v>
      </c>
      <c r="E4927" s="562">
        <v>37816847</v>
      </c>
      <c r="F4927" s="562"/>
      <c r="G4927" s="562">
        <f t="shared" si="242"/>
        <v>327505519</v>
      </c>
      <c r="H4927" s="362"/>
      <c r="I4927" s="362"/>
      <c r="J4927" s="362"/>
    </row>
    <row r="4928" spans="1:10" x14ac:dyDescent="0.25">
      <c r="A4928" s="362"/>
      <c r="B4928" s="611">
        <v>44406</v>
      </c>
      <c r="C4928" s="362" t="s">
        <v>78</v>
      </c>
      <c r="D4928" s="562">
        <v>107617436</v>
      </c>
      <c r="E4928" s="562">
        <v>1352764</v>
      </c>
      <c r="F4928" s="562"/>
      <c r="G4928" s="562">
        <f t="shared" si="242"/>
        <v>108970200</v>
      </c>
      <c r="H4928" s="362"/>
      <c r="I4928" s="362"/>
      <c r="J4928" s="362"/>
    </row>
    <row r="4929" spans="1:10" x14ac:dyDescent="0.25">
      <c r="A4929" s="362"/>
      <c r="B4929" s="611">
        <v>44406</v>
      </c>
      <c r="C4929" s="362" t="s">
        <v>141</v>
      </c>
      <c r="D4929" s="562">
        <v>83251069</v>
      </c>
      <c r="E4929" s="562">
        <v>2149402</v>
      </c>
      <c r="F4929" s="562"/>
      <c r="G4929" s="562">
        <f t="shared" si="242"/>
        <v>85400471</v>
      </c>
      <c r="H4929" s="362"/>
      <c r="I4929" s="362"/>
      <c r="J4929" s="362"/>
    </row>
    <row r="4930" spans="1:10" x14ac:dyDescent="0.25">
      <c r="A4930" s="362"/>
      <c r="B4930" s="611">
        <v>44406</v>
      </c>
      <c r="C4930" s="362" t="s">
        <v>89</v>
      </c>
      <c r="D4930" s="562">
        <v>216105455</v>
      </c>
      <c r="E4930" s="562">
        <v>28011445</v>
      </c>
      <c r="F4930" s="562"/>
      <c r="G4930" s="562">
        <f t="shared" si="242"/>
        <v>244116900</v>
      </c>
      <c r="H4930" s="362"/>
      <c r="I4930" s="362"/>
      <c r="J4930" s="362"/>
    </row>
    <row r="4931" spans="1:10" x14ac:dyDescent="0.25">
      <c r="A4931" s="362"/>
      <c r="B4931" s="611">
        <v>44406</v>
      </c>
      <c r="C4931" s="362" t="s">
        <v>81</v>
      </c>
      <c r="D4931" s="562">
        <v>50995109</v>
      </c>
      <c r="E4931" s="562">
        <v>13781904</v>
      </c>
      <c r="F4931" s="562"/>
      <c r="G4931" s="562">
        <f t="shared" si="242"/>
        <v>64777013</v>
      </c>
      <c r="H4931" s="362"/>
      <c r="I4931" s="362"/>
      <c r="J4931" s="362"/>
    </row>
    <row r="4932" spans="1:10" x14ac:dyDescent="0.25">
      <c r="A4932" s="362"/>
      <c r="B4932" s="611">
        <v>44406</v>
      </c>
      <c r="C4932" s="362" t="s">
        <v>84</v>
      </c>
      <c r="D4932" s="562">
        <v>188891087</v>
      </c>
      <c r="E4932" s="562">
        <v>10150088</v>
      </c>
      <c r="F4932" s="562"/>
      <c r="G4932" s="562">
        <f t="shared" si="242"/>
        <v>199041175</v>
      </c>
      <c r="H4932" s="362"/>
      <c r="I4932" s="362"/>
      <c r="J4932" s="362"/>
    </row>
    <row r="4933" spans="1:10" x14ac:dyDescent="0.25">
      <c r="A4933" s="362"/>
      <c r="B4933" s="611">
        <v>44406</v>
      </c>
      <c r="C4933" s="362" t="s">
        <v>4751</v>
      </c>
      <c r="D4933" s="562">
        <v>265679839</v>
      </c>
      <c r="E4933" s="562">
        <v>12418161</v>
      </c>
      <c r="F4933" s="562"/>
      <c r="G4933" s="562">
        <f t="shared" si="242"/>
        <v>278098000</v>
      </c>
      <c r="H4933" s="362"/>
      <c r="I4933" s="362"/>
      <c r="J4933" s="362"/>
    </row>
    <row r="4934" spans="1:10" x14ac:dyDescent="0.25">
      <c r="A4934" s="362"/>
      <c r="B4934" s="611">
        <v>44406</v>
      </c>
      <c r="C4934" s="362" t="s">
        <v>166</v>
      </c>
      <c r="D4934" s="562">
        <v>99063385</v>
      </c>
      <c r="E4934" s="562"/>
      <c r="F4934" s="562"/>
      <c r="G4934" s="562">
        <f t="shared" si="242"/>
        <v>99063385</v>
      </c>
      <c r="H4934" s="362"/>
      <c r="I4934" s="362"/>
      <c r="J4934" s="362"/>
    </row>
    <row r="4935" spans="1:10" x14ac:dyDescent="0.25">
      <c r="A4935" s="362"/>
      <c r="B4935" s="611">
        <v>44406</v>
      </c>
      <c r="C4935" s="362" t="s">
        <v>3435</v>
      </c>
      <c r="D4935" s="562">
        <v>84188235</v>
      </c>
      <c r="E4935" s="562"/>
      <c r="F4935" s="562"/>
      <c r="G4935" s="562">
        <f t="shared" si="242"/>
        <v>84188235</v>
      </c>
      <c r="H4935" s="362"/>
      <c r="I4935" s="362"/>
      <c r="J4935" s="362"/>
    </row>
    <row r="4936" spans="1:10" x14ac:dyDescent="0.25">
      <c r="A4936" s="362"/>
      <c r="B4936" s="611">
        <v>44406</v>
      </c>
      <c r="C4936" s="370" t="s">
        <v>85</v>
      </c>
      <c r="D4936" s="562">
        <v>33693200</v>
      </c>
      <c r="E4936" s="562"/>
      <c r="F4936" s="562"/>
      <c r="G4936" s="562">
        <f t="shared" si="242"/>
        <v>33693200</v>
      </c>
      <c r="H4936" s="362"/>
      <c r="I4936" s="362"/>
      <c r="J4936" s="362"/>
    </row>
    <row r="4937" spans="1:10" x14ac:dyDescent="0.25">
      <c r="A4937" s="532"/>
      <c r="B4937" s="532"/>
      <c r="C4937" s="532"/>
      <c r="D4937" s="564">
        <f>SUM(D4922:D4936)</f>
        <v>2031567950</v>
      </c>
      <c r="E4937" s="564">
        <f t="shared" ref="E4937:G4937" si="246">SUM(E4922:E4936)</f>
        <v>441390945</v>
      </c>
      <c r="F4937" s="564">
        <f t="shared" si="246"/>
        <v>0</v>
      </c>
      <c r="G4937" s="564">
        <f t="shared" si="246"/>
        <v>2472958895</v>
      </c>
      <c r="H4937" s="532"/>
      <c r="I4937" s="532"/>
      <c r="J4937" s="532"/>
    </row>
    <row r="4938" spans="1:10" x14ac:dyDescent="0.25">
      <c r="A4938" s="362"/>
      <c r="B4938" s="611">
        <v>44407</v>
      </c>
      <c r="C4938" s="362" t="s">
        <v>86</v>
      </c>
      <c r="D4938" s="562">
        <v>37062373</v>
      </c>
      <c r="E4938" s="562">
        <v>113849422</v>
      </c>
      <c r="F4938" s="562"/>
      <c r="G4938" s="562">
        <f t="shared" si="242"/>
        <v>150911795</v>
      </c>
      <c r="H4938" s="362"/>
      <c r="I4938" s="362"/>
      <c r="J4938" s="362"/>
    </row>
    <row r="4939" spans="1:10" x14ac:dyDescent="0.25">
      <c r="A4939" s="362"/>
      <c r="B4939" s="611">
        <v>44407</v>
      </c>
      <c r="C4939" s="362" t="s">
        <v>87</v>
      </c>
      <c r="D4939" s="562">
        <v>115888216</v>
      </c>
      <c r="E4939" s="562">
        <v>32682645</v>
      </c>
      <c r="F4939" s="562"/>
      <c r="G4939" s="562">
        <f t="shared" si="242"/>
        <v>148570861</v>
      </c>
      <c r="H4939" s="362"/>
      <c r="I4939" s="362"/>
      <c r="J4939" s="362"/>
    </row>
    <row r="4940" spans="1:10" x14ac:dyDescent="0.25">
      <c r="A4940" s="362"/>
      <c r="B4940" s="611">
        <v>44407</v>
      </c>
      <c r="C4940" s="362" t="s">
        <v>88</v>
      </c>
      <c r="D4940" s="562">
        <v>178640482</v>
      </c>
      <c r="E4940" s="562">
        <v>90665369</v>
      </c>
      <c r="F4940" s="562"/>
      <c r="G4940" s="562">
        <f t="shared" ref="G4940:G5003" si="247">D4940+E4940-F4940</f>
        <v>269305851</v>
      </c>
      <c r="H4940" s="362"/>
      <c r="I4940" s="362"/>
      <c r="J4940" s="362"/>
    </row>
    <row r="4941" spans="1:10" x14ac:dyDescent="0.25">
      <c r="A4941" s="362"/>
      <c r="B4941" s="611">
        <v>44407</v>
      </c>
      <c r="C4941" s="362" t="s">
        <v>82</v>
      </c>
      <c r="D4941" s="562">
        <v>69570314</v>
      </c>
      <c r="E4941" s="562">
        <v>4765447</v>
      </c>
      <c r="F4941" s="562"/>
      <c r="G4941" s="562">
        <f t="shared" si="247"/>
        <v>74335761</v>
      </c>
      <c r="H4941" s="362"/>
      <c r="I4941" s="362"/>
      <c r="J4941" s="362"/>
    </row>
    <row r="4942" spans="1:10" x14ac:dyDescent="0.25">
      <c r="A4942" s="362"/>
      <c r="B4942" s="611">
        <v>44407</v>
      </c>
      <c r="C4942" s="362" t="s">
        <v>80</v>
      </c>
      <c r="D4942" s="562">
        <v>209723581</v>
      </c>
      <c r="E4942" s="562">
        <v>4673460</v>
      </c>
      <c r="F4942" s="562"/>
      <c r="G4942" s="562">
        <f t="shared" si="247"/>
        <v>214397041</v>
      </c>
      <c r="H4942" s="362"/>
      <c r="I4942" s="362"/>
      <c r="J4942" s="362"/>
    </row>
    <row r="4943" spans="1:10" x14ac:dyDescent="0.25">
      <c r="A4943" s="362"/>
      <c r="B4943" s="611">
        <v>44407</v>
      </c>
      <c r="C4943" s="362" t="s">
        <v>83</v>
      </c>
      <c r="D4943" s="562">
        <v>163808431</v>
      </c>
      <c r="E4943" s="562">
        <v>420901856</v>
      </c>
      <c r="F4943" s="562"/>
      <c r="G4943" s="562">
        <f t="shared" si="247"/>
        <v>584710287</v>
      </c>
      <c r="H4943" s="362"/>
      <c r="I4943" s="362"/>
      <c r="J4943" s="362"/>
    </row>
    <row r="4944" spans="1:10" x14ac:dyDescent="0.25">
      <c r="A4944" s="362"/>
      <c r="B4944" s="611">
        <v>44407</v>
      </c>
      <c r="C4944" s="362" t="s">
        <v>78</v>
      </c>
      <c r="D4944" s="562">
        <v>99960120</v>
      </c>
      <c r="E4944" s="562">
        <v>5343080</v>
      </c>
      <c r="F4944" s="562"/>
      <c r="G4944" s="562">
        <f t="shared" si="247"/>
        <v>105303200</v>
      </c>
      <c r="H4944" s="362"/>
      <c r="I4944" s="362"/>
      <c r="J4944" s="362"/>
    </row>
    <row r="4945" spans="1:10" x14ac:dyDescent="0.25">
      <c r="A4945" s="362"/>
      <c r="B4945" s="611">
        <v>44407</v>
      </c>
      <c r="C4945" s="362" t="s">
        <v>141</v>
      </c>
      <c r="D4945" s="562">
        <v>57867175</v>
      </c>
      <c r="E4945" s="562"/>
      <c r="F4945" s="562"/>
      <c r="G4945" s="562">
        <f t="shared" si="247"/>
        <v>57867175</v>
      </c>
      <c r="H4945" s="362"/>
      <c r="I4945" s="362"/>
      <c r="J4945" s="362"/>
    </row>
    <row r="4946" spans="1:10" x14ac:dyDescent="0.25">
      <c r="A4946" s="362"/>
      <c r="B4946" s="611">
        <v>44407</v>
      </c>
      <c r="C4946" s="362" t="s">
        <v>89</v>
      </c>
      <c r="D4946" s="562">
        <v>217593364</v>
      </c>
      <c r="E4946" s="562">
        <v>31647236</v>
      </c>
      <c r="F4946" s="562"/>
      <c r="G4946" s="562">
        <f t="shared" si="247"/>
        <v>249240600</v>
      </c>
      <c r="H4946" s="362"/>
      <c r="I4946" s="362"/>
      <c r="J4946" s="362"/>
    </row>
    <row r="4947" spans="1:10" x14ac:dyDescent="0.25">
      <c r="A4947" s="362"/>
      <c r="B4947" s="611">
        <v>44407</v>
      </c>
      <c r="C4947" s="362" t="s">
        <v>81</v>
      </c>
      <c r="D4947" s="562">
        <v>62628224</v>
      </c>
      <c r="E4947" s="562">
        <v>19265371</v>
      </c>
      <c r="F4947" s="562"/>
      <c r="G4947" s="562">
        <f t="shared" si="247"/>
        <v>81893595</v>
      </c>
      <c r="H4947" s="362"/>
      <c r="I4947" s="362"/>
      <c r="J4947" s="362"/>
    </row>
    <row r="4948" spans="1:10" x14ac:dyDescent="0.25">
      <c r="A4948" s="362"/>
      <c r="B4948" s="611">
        <v>44407</v>
      </c>
      <c r="C4948" s="362" t="s">
        <v>84</v>
      </c>
      <c r="D4948" s="562">
        <v>270708952</v>
      </c>
      <c r="E4948" s="562">
        <v>24146358</v>
      </c>
      <c r="F4948" s="562"/>
      <c r="G4948" s="562">
        <f t="shared" si="247"/>
        <v>294855310</v>
      </c>
      <c r="H4948" s="362"/>
      <c r="I4948" s="362"/>
      <c r="J4948" s="362"/>
    </row>
    <row r="4949" spans="1:10" x14ac:dyDescent="0.25">
      <c r="A4949" s="362"/>
      <c r="B4949" s="611">
        <v>44407</v>
      </c>
      <c r="C4949" s="362" t="s">
        <v>4751</v>
      </c>
      <c r="D4949" s="562">
        <v>151133297</v>
      </c>
      <c r="E4949" s="562">
        <v>11495403</v>
      </c>
      <c r="F4949" s="562"/>
      <c r="G4949" s="562">
        <f t="shared" si="247"/>
        <v>162628700</v>
      </c>
      <c r="H4949" s="362"/>
      <c r="I4949" s="362"/>
      <c r="J4949" s="362"/>
    </row>
    <row r="4950" spans="1:10" x14ac:dyDescent="0.25">
      <c r="A4950" s="362"/>
      <c r="B4950" s="611">
        <v>44407</v>
      </c>
      <c r="C4950" s="362" t="s">
        <v>166</v>
      </c>
      <c r="D4950" s="562">
        <v>58877963</v>
      </c>
      <c r="E4950" s="562"/>
      <c r="F4950" s="562"/>
      <c r="G4950" s="562">
        <f t="shared" si="247"/>
        <v>58877963</v>
      </c>
      <c r="H4950" s="362"/>
      <c r="I4950" s="362"/>
      <c r="J4950" s="362"/>
    </row>
    <row r="4951" spans="1:10" x14ac:dyDescent="0.25">
      <c r="A4951" s="362"/>
      <c r="B4951" s="611">
        <v>44407</v>
      </c>
      <c r="C4951" s="362" t="s">
        <v>3435</v>
      </c>
      <c r="D4951" s="562"/>
      <c r="E4951" s="562"/>
      <c r="F4951" s="562"/>
      <c r="G4951" s="562">
        <f t="shared" si="247"/>
        <v>0</v>
      </c>
      <c r="H4951" s="362"/>
      <c r="I4951" s="362"/>
      <c r="J4951" s="362"/>
    </row>
    <row r="4952" spans="1:10" x14ac:dyDescent="0.25">
      <c r="A4952" s="362"/>
      <c r="B4952" s="611">
        <v>44407</v>
      </c>
      <c r="C4952" s="370" t="s">
        <v>85</v>
      </c>
      <c r="D4952" s="562">
        <v>27383600</v>
      </c>
      <c r="E4952" s="562"/>
      <c r="F4952" s="562"/>
      <c r="G4952" s="562">
        <f t="shared" si="247"/>
        <v>27383600</v>
      </c>
      <c r="H4952" s="362"/>
      <c r="I4952" s="362"/>
      <c r="J4952" s="362"/>
    </row>
    <row r="4953" spans="1:10" x14ac:dyDescent="0.25">
      <c r="A4953" s="532"/>
      <c r="B4953" s="532"/>
      <c r="C4953" s="532"/>
      <c r="D4953" s="564">
        <f>SUM(D4938:D4952)</f>
        <v>1720846092</v>
      </c>
      <c r="E4953" s="564">
        <f t="shared" ref="E4953:G4953" si="248">SUM(E4938:E4952)</f>
        <v>759435647</v>
      </c>
      <c r="F4953" s="564">
        <f t="shared" si="248"/>
        <v>0</v>
      </c>
      <c r="G4953" s="564">
        <f t="shared" si="248"/>
        <v>2480281739</v>
      </c>
      <c r="H4953" s="532"/>
      <c r="I4953" s="532"/>
      <c r="J4953" s="532"/>
    </row>
    <row r="4954" spans="1:10" x14ac:dyDescent="0.25">
      <c r="A4954" s="362"/>
      <c r="B4954" s="611">
        <v>44408</v>
      </c>
      <c r="C4954" s="362" t="s">
        <v>86</v>
      </c>
      <c r="D4954" s="562">
        <v>25812451</v>
      </c>
      <c r="E4954" s="562">
        <v>130743901</v>
      </c>
      <c r="F4954" s="562"/>
      <c r="G4954" s="562">
        <f t="shared" si="247"/>
        <v>156556352</v>
      </c>
      <c r="H4954" s="362"/>
      <c r="I4954" s="362"/>
      <c r="J4954" s="362"/>
    </row>
    <row r="4955" spans="1:10" x14ac:dyDescent="0.25">
      <c r="A4955" s="362"/>
      <c r="B4955" s="611">
        <v>44408</v>
      </c>
      <c r="C4955" s="362" t="s">
        <v>87</v>
      </c>
      <c r="D4955" s="562">
        <v>79923739</v>
      </c>
      <c r="E4955" s="562">
        <v>148199392</v>
      </c>
      <c r="F4955" s="562"/>
      <c r="G4955" s="562">
        <f t="shared" si="247"/>
        <v>228123131</v>
      </c>
      <c r="H4955" s="362"/>
      <c r="I4955" s="362"/>
      <c r="J4955" s="362"/>
    </row>
    <row r="4956" spans="1:10" x14ac:dyDescent="0.25">
      <c r="A4956" s="362"/>
      <c r="B4956" s="611">
        <v>44408</v>
      </c>
      <c r="C4956" s="362" t="s">
        <v>88</v>
      </c>
      <c r="D4956" s="562">
        <v>101959335</v>
      </c>
      <c r="E4956" s="562">
        <v>88080944</v>
      </c>
      <c r="F4956" s="562"/>
      <c r="G4956" s="562">
        <f t="shared" si="247"/>
        <v>190040279</v>
      </c>
      <c r="H4956" s="362"/>
      <c r="I4956" s="362"/>
      <c r="J4956" s="362"/>
    </row>
    <row r="4957" spans="1:10" x14ac:dyDescent="0.25">
      <c r="A4957" s="362"/>
      <c r="B4957" s="611">
        <v>44408</v>
      </c>
      <c r="C4957" s="362" t="s">
        <v>82</v>
      </c>
      <c r="D4957" s="562">
        <v>94452217</v>
      </c>
      <c r="E4957" s="562">
        <v>7480020</v>
      </c>
      <c r="F4957" s="562"/>
      <c r="G4957" s="562">
        <f t="shared" si="247"/>
        <v>101932237</v>
      </c>
      <c r="H4957" s="362"/>
      <c r="I4957" s="362"/>
      <c r="J4957" s="362"/>
    </row>
    <row r="4958" spans="1:10" x14ac:dyDescent="0.25">
      <c r="A4958" s="362"/>
      <c r="B4958" s="611">
        <v>44408</v>
      </c>
      <c r="C4958" s="362" t="s">
        <v>80</v>
      </c>
      <c r="D4958" s="562">
        <v>250214915</v>
      </c>
      <c r="E4958" s="562">
        <v>62468085</v>
      </c>
      <c r="F4958" s="562"/>
      <c r="G4958" s="562">
        <f t="shared" si="247"/>
        <v>312683000</v>
      </c>
      <c r="H4958" s="362"/>
      <c r="I4958" s="362"/>
      <c r="J4958" s="362"/>
    </row>
    <row r="4959" spans="1:10" x14ac:dyDescent="0.25">
      <c r="A4959" s="362"/>
      <c r="B4959" s="611">
        <v>44408</v>
      </c>
      <c r="C4959" s="362" t="s">
        <v>83</v>
      </c>
      <c r="D4959" s="562">
        <v>186603927</v>
      </c>
      <c r="E4959" s="562">
        <v>49855073</v>
      </c>
      <c r="F4959" s="562"/>
      <c r="G4959" s="562">
        <f t="shared" si="247"/>
        <v>236459000</v>
      </c>
      <c r="H4959" s="362"/>
      <c r="I4959" s="362"/>
      <c r="J4959" s="362"/>
    </row>
    <row r="4960" spans="1:10" x14ac:dyDescent="0.25">
      <c r="A4960" s="362"/>
      <c r="B4960" s="611">
        <v>44408</v>
      </c>
      <c r="C4960" s="362" t="s">
        <v>78</v>
      </c>
      <c r="D4960" s="562">
        <v>115214733</v>
      </c>
      <c r="E4960" s="562">
        <v>4295467</v>
      </c>
      <c r="F4960" s="562"/>
      <c r="G4960" s="562">
        <f t="shared" si="247"/>
        <v>119510200</v>
      </c>
      <c r="H4960" s="362"/>
      <c r="I4960" s="362"/>
      <c r="J4960" s="362"/>
    </row>
    <row r="4961" spans="1:10" x14ac:dyDescent="0.25">
      <c r="A4961" s="362"/>
      <c r="B4961" s="611">
        <v>44408</v>
      </c>
      <c r="C4961" s="362" t="s">
        <v>141</v>
      </c>
      <c r="D4961" s="562">
        <v>40150073</v>
      </c>
      <c r="E4961" s="562">
        <v>911800</v>
      </c>
      <c r="F4961" s="562"/>
      <c r="G4961" s="562">
        <f t="shared" si="247"/>
        <v>41061873</v>
      </c>
      <c r="H4961" s="362"/>
      <c r="I4961" s="362"/>
      <c r="J4961" s="362"/>
    </row>
    <row r="4962" spans="1:10" x14ac:dyDescent="0.25">
      <c r="A4962" s="362"/>
      <c r="B4962" s="611">
        <v>44408</v>
      </c>
      <c r="C4962" s="362" t="s">
        <v>89</v>
      </c>
      <c r="D4962" s="562">
        <v>136037610</v>
      </c>
      <c r="E4962" s="562">
        <v>36130090</v>
      </c>
      <c r="F4962" s="562"/>
      <c r="G4962" s="562">
        <f t="shared" si="247"/>
        <v>172167700</v>
      </c>
      <c r="H4962" s="362"/>
      <c r="I4962" s="362"/>
      <c r="J4962" s="362"/>
    </row>
    <row r="4963" spans="1:10" x14ac:dyDescent="0.25">
      <c r="A4963" s="362"/>
      <c r="B4963" s="611">
        <v>44408</v>
      </c>
      <c r="C4963" s="362" t="s">
        <v>81</v>
      </c>
      <c r="D4963" s="562">
        <v>132669505</v>
      </c>
      <c r="E4963" s="562">
        <v>8231902</v>
      </c>
      <c r="F4963" s="562"/>
      <c r="G4963" s="562">
        <f t="shared" si="247"/>
        <v>140901407</v>
      </c>
      <c r="H4963" s="362"/>
      <c r="I4963" s="362"/>
      <c r="J4963" s="362"/>
    </row>
    <row r="4964" spans="1:10" x14ac:dyDescent="0.25">
      <c r="A4964" s="362"/>
      <c r="B4964" s="611">
        <v>44408</v>
      </c>
      <c r="C4964" s="362" t="s">
        <v>84</v>
      </c>
      <c r="D4964" s="562">
        <v>195545296</v>
      </c>
      <c r="E4964" s="562">
        <v>35836313</v>
      </c>
      <c r="F4964" s="562"/>
      <c r="G4964" s="562">
        <f t="shared" si="247"/>
        <v>231381609</v>
      </c>
      <c r="H4964" s="362"/>
      <c r="I4964" s="362"/>
      <c r="J4964" s="362"/>
    </row>
    <row r="4965" spans="1:10" x14ac:dyDescent="0.25">
      <c r="A4965" s="362"/>
      <c r="B4965" s="611">
        <v>44408</v>
      </c>
      <c r="C4965" s="362" t="s">
        <v>4751</v>
      </c>
      <c r="D4965" s="562">
        <v>277899953</v>
      </c>
      <c r="E4965" s="562">
        <v>26738247</v>
      </c>
      <c r="F4965" s="562"/>
      <c r="G4965" s="562">
        <f t="shared" si="247"/>
        <v>304638200</v>
      </c>
      <c r="H4965" s="362"/>
      <c r="I4965" s="362"/>
      <c r="J4965" s="362"/>
    </row>
    <row r="4966" spans="1:10" x14ac:dyDescent="0.25">
      <c r="A4966" s="362"/>
      <c r="B4966" s="611">
        <v>44408</v>
      </c>
      <c r="C4966" s="362" t="s">
        <v>166</v>
      </c>
      <c r="D4966" s="562"/>
      <c r="E4966" s="562"/>
      <c r="F4966" s="562"/>
      <c r="G4966" s="562">
        <f t="shared" si="247"/>
        <v>0</v>
      </c>
      <c r="H4966" s="362"/>
      <c r="I4966" s="362"/>
      <c r="J4966" s="362"/>
    </row>
    <row r="4967" spans="1:10" x14ac:dyDescent="0.25">
      <c r="A4967" s="362"/>
      <c r="B4967" s="611">
        <v>44408</v>
      </c>
      <c r="C4967" s="362" t="s">
        <v>3435</v>
      </c>
      <c r="D4967" s="562"/>
      <c r="E4967" s="562"/>
      <c r="F4967" s="562"/>
      <c r="G4967" s="562">
        <f t="shared" si="247"/>
        <v>0</v>
      </c>
      <c r="H4967" s="362"/>
      <c r="I4967" s="362"/>
      <c r="J4967" s="362"/>
    </row>
    <row r="4968" spans="1:10" x14ac:dyDescent="0.25">
      <c r="A4968" s="362"/>
      <c r="B4968" s="611">
        <v>44408</v>
      </c>
      <c r="C4968" s="370" t="s">
        <v>85</v>
      </c>
      <c r="D4968" s="562">
        <v>13952700</v>
      </c>
      <c r="E4968" s="562"/>
      <c r="F4968" s="562"/>
      <c r="G4968" s="562">
        <f t="shared" si="247"/>
        <v>13952700</v>
      </c>
      <c r="H4968" s="362"/>
      <c r="I4968" s="362"/>
      <c r="J4968" s="362"/>
    </row>
    <row r="4969" spans="1:10" x14ac:dyDescent="0.25">
      <c r="A4969" s="532"/>
      <c r="B4969" s="532"/>
      <c r="C4969" s="532"/>
      <c r="D4969" s="564">
        <f>SUM(D4954:D4968)</f>
        <v>1650436454</v>
      </c>
      <c r="E4969" s="564">
        <f t="shared" ref="E4969:G4969" si="249">SUM(E4954:E4968)</f>
        <v>598971234</v>
      </c>
      <c r="F4969" s="564">
        <f t="shared" si="249"/>
        <v>0</v>
      </c>
      <c r="G4969" s="564">
        <f t="shared" si="249"/>
        <v>2249407688</v>
      </c>
      <c r="H4969" s="532"/>
      <c r="I4969" s="532"/>
      <c r="J4969" s="532"/>
    </row>
    <row r="4970" spans="1:10" x14ac:dyDescent="0.25">
      <c r="A4970" s="362"/>
      <c r="B4970" s="611">
        <v>44410</v>
      </c>
      <c r="C4970" s="362" t="s">
        <v>86</v>
      </c>
      <c r="D4970" s="562">
        <v>48347382</v>
      </c>
      <c r="E4970" s="562">
        <v>7732085</v>
      </c>
      <c r="F4970" s="562">
        <v>56079400</v>
      </c>
      <c r="G4970" s="562">
        <f t="shared" si="247"/>
        <v>67</v>
      </c>
      <c r="H4970" s="362"/>
      <c r="I4970" s="362"/>
      <c r="J4970" s="362"/>
    </row>
    <row r="4971" spans="1:10" x14ac:dyDescent="0.25">
      <c r="A4971" s="362"/>
      <c r="B4971" s="611">
        <v>44410</v>
      </c>
      <c r="C4971" s="362" t="s">
        <v>87</v>
      </c>
      <c r="D4971" s="562">
        <v>131161587</v>
      </c>
      <c r="E4971" s="562">
        <v>58338086</v>
      </c>
      <c r="F4971" s="562">
        <v>189499700</v>
      </c>
      <c r="G4971" s="562">
        <f t="shared" si="247"/>
        <v>-27</v>
      </c>
      <c r="H4971" s="362"/>
      <c r="I4971" s="362"/>
      <c r="J4971" s="362"/>
    </row>
    <row r="4972" spans="1:10" x14ac:dyDescent="0.25">
      <c r="A4972" s="362"/>
      <c r="B4972" s="611">
        <v>44410</v>
      </c>
      <c r="C4972" s="362" t="s">
        <v>88</v>
      </c>
      <c r="D4972" s="562">
        <v>212783681</v>
      </c>
      <c r="E4972" s="562">
        <v>4759837</v>
      </c>
      <c r="F4972" s="562">
        <v>217543600</v>
      </c>
      <c r="G4972" s="562">
        <f t="shared" si="247"/>
        <v>-82</v>
      </c>
      <c r="H4972" s="362"/>
      <c r="I4972" s="362"/>
      <c r="J4972" s="362"/>
    </row>
    <row r="4973" spans="1:10" x14ac:dyDescent="0.25">
      <c r="A4973" s="362"/>
      <c r="B4973" s="611">
        <v>44410</v>
      </c>
      <c r="C4973" s="362" t="s">
        <v>82</v>
      </c>
      <c r="D4973" s="562">
        <v>61464363</v>
      </c>
      <c r="E4973" s="562">
        <v>2302120</v>
      </c>
      <c r="F4973" s="562">
        <v>63766500</v>
      </c>
      <c r="G4973" s="562">
        <f t="shared" si="247"/>
        <v>-17</v>
      </c>
      <c r="H4973" s="362"/>
      <c r="I4973" s="362"/>
      <c r="J4973" s="362"/>
    </row>
    <row r="4974" spans="1:10" x14ac:dyDescent="0.25">
      <c r="A4974" s="362"/>
      <c r="B4974" s="611">
        <v>44410</v>
      </c>
      <c r="C4974" s="362" t="s">
        <v>80</v>
      </c>
      <c r="D4974" s="562">
        <v>259548076</v>
      </c>
      <c r="E4974" s="562">
        <v>41395324</v>
      </c>
      <c r="F4974" s="562">
        <v>300943400</v>
      </c>
      <c r="G4974" s="562">
        <f t="shared" si="247"/>
        <v>0</v>
      </c>
      <c r="H4974" s="362"/>
      <c r="I4974" s="362"/>
      <c r="J4974" s="362"/>
    </row>
    <row r="4975" spans="1:10" x14ac:dyDescent="0.25">
      <c r="A4975" s="362"/>
      <c r="B4975" s="611">
        <v>44410</v>
      </c>
      <c r="C4975" s="362" t="s">
        <v>83</v>
      </c>
      <c r="D4975" s="562">
        <v>321213258</v>
      </c>
      <c r="E4975" s="562">
        <v>56320849</v>
      </c>
      <c r="F4975" s="562">
        <v>377534100</v>
      </c>
      <c r="G4975" s="562">
        <f t="shared" si="247"/>
        <v>7</v>
      </c>
      <c r="H4975" s="362"/>
      <c r="I4975" s="362"/>
      <c r="J4975" s="362"/>
    </row>
    <row r="4976" spans="1:10" x14ac:dyDescent="0.25">
      <c r="A4976" s="362"/>
      <c r="B4976" s="611">
        <v>44410</v>
      </c>
      <c r="C4976" s="362" t="s">
        <v>78</v>
      </c>
      <c r="D4976" s="562">
        <v>195141023</v>
      </c>
      <c r="E4976" s="562">
        <v>1627277</v>
      </c>
      <c r="F4976" s="562">
        <v>196768300</v>
      </c>
      <c r="G4976" s="562">
        <f t="shared" si="247"/>
        <v>0</v>
      </c>
      <c r="H4976" s="362"/>
      <c r="I4976" s="362"/>
      <c r="J4976" s="362"/>
    </row>
    <row r="4977" spans="1:10" x14ac:dyDescent="0.25">
      <c r="A4977" s="362"/>
      <c r="B4977" s="611">
        <v>44410</v>
      </c>
      <c r="C4977" s="362" t="s">
        <v>141</v>
      </c>
      <c r="D4977" s="562">
        <v>111811980</v>
      </c>
      <c r="E4977" s="562"/>
      <c r="F4977" s="562">
        <v>111812000</v>
      </c>
      <c r="G4977" s="562">
        <f t="shared" si="247"/>
        <v>-20</v>
      </c>
      <c r="H4977" s="362"/>
      <c r="I4977" s="362"/>
      <c r="J4977" s="362"/>
    </row>
    <row r="4978" spans="1:10" x14ac:dyDescent="0.25">
      <c r="A4978" s="362"/>
      <c r="B4978" s="611">
        <v>44410</v>
      </c>
      <c r="C4978" s="362" t="s">
        <v>89</v>
      </c>
      <c r="D4978" s="562">
        <v>195131753</v>
      </c>
      <c r="E4978" s="562">
        <v>55174847</v>
      </c>
      <c r="F4978" s="562">
        <v>250306500</v>
      </c>
      <c r="G4978" s="562">
        <f t="shared" si="247"/>
        <v>100</v>
      </c>
      <c r="H4978" s="362"/>
      <c r="I4978" s="362"/>
      <c r="J4978" s="362"/>
    </row>
    <row r="4979" spans="1:10" x14ac:dyDescent="0.25">
      <c r="A4979" s="362"/>
      <c r="B4979" s="611">
        <v>44410</v>
      </c>
      <c r="C4979" s="362" t="s">
        <v>81</v>
      </c>
      <c r="D4979" s="562">
        <v>81597522</v>
      </c>
      <c r="E4979" s="562">
        <v>8858259</v>
      </c>
      <c r="F4979" s="562">
        <v>90455800</v>
      </c>
      <c r="G4979" s="562">
        <f t="shared" si="247"/>
        <v>-19</v>
      </c>
      <c r="H4979" s="362"/>
      <c r="I4979" s="362"/>
      <c r="J4979" s="362"/>
    </row>
    <row r="4980" spans="1:10" x14ac:dyDescent="0.25">
      <c r="A4980" s="362"/>
      <c r="B4980" s="611">
        <v>44410</v>
      </c>
      <c r="C4980" s="362" t="s">
        <v>84</v>
      </c>
      <c r="D4980" s="562">
        <v>202235373</v>
      </c>
      <c r="E4980" s="562">
        <v>9756432</v>
      </c>
      <c r="F4980" s="562">
        <v>211992100</v>
      </c>
      <c r="G4980" s="562">
        <f t="shared" si="247"/>
        <v>-295</v>
      </c>
      <c r="H4980" s="362"/>
      <c r="I4980" s="362"/>
      <c r="J4980" s="362"/>
    </row>
    <row r="4981" spans="1:10" x14ac:dyDescent="0.25">
      <c r="A4981" s="362"/>
      <c r="B4981" s="611">
        <v>44410</v>
      </c>
      <c r="C4981" s="362" t="s">
        <v>4751</v>
      </c>
      <c r="D4981" s="562">
        <v>208158941</v>
      </c>
      <c r="E4981" s="562">
        <v>6094659</v>
      </c>
      <c r="F4981" s="562">
        <v>214253600</v>
      </c>
      <c r="G4981" s="562">
        <f t="shared" si="247"/>
        <v>0</v>
      </c>
      <c r="H4981" s="362"/>
      <c r="I4981" s="362"/>
      <c r="J4981" s="362"/>
    </row>
    <row r="4982" spans="1:10" x14ac:dyDescent="0.25">
      <c r="A4982" s="362"/>
      <c r="B4982" s="611">
        <v>44410</v>
      </c>
      <c r="C4982" s="362" t="s">
        <v>166</v>
      </c>
      <c r="D4982" s="562">
        <v>79444657</v>
      </c>
      <c r="E4982" s="562"/>
      <c r="F4982" s="562">
        <v>79445000</v>
      </c>
      <c r="G4982" s="562">
        <f t="shared" si="247"/>
        <v>-343</v>
      </c>
      <c r="H4982" s="362"/>
      <c r="I4982" s="362"/>
      <c r="J4982" s="362"/>
    </row>
    <row r="4983" spans="1:10" x14ac:dyDescent="0.25">
      <c r="A4983" s="362"/>
      <c r="B4983" s="611">
        <v>44410</v>
      </c>
      <c r="C4983" s="362" t="s">
        <v>3435</v>
      </c>
      <c r="D4983" s="562">
        <v>38172516</v>
      </c>
      <c r="E4983" s="562"/>
      <c r="F4983" s="562">
        <v>38172600</v>
      </c>
      <c r="G4983" s="562">
        <f t="shared" si="247"/>
        <v>-84</v>
      </c>
      <c r="H4983" s="362"/>
      <c r="I4983" s="362"/>
      <c r="J4983" s="362"/>
    </row>
    <row r="4984" spans="1:10" x14ac:dyDescent="0.25">
      <c r="A4984" s="362"/>
      <c r="B4984" s="611">
        <v>44410</v>
      </c>
      <c r="C4984" s="370" t="s">
        <v>85</v>
      </c>
      <c r="D4984" s="562">
        <v>45927000</v>
      </c>
      <c r="E4984" s="562"/>
      <c r="F4984" s="562">
        <v>45297000</v>
      </c>
      <c r="G4984" s="562">
        <f t="shared" si="247"/>
        <v>630000</v>
      </c>
      <c r="H4984" s="362"/>
      <c r="I4984" s="362"/>
      <c r="J4984" s="362"/>
    </row>
    <row r="4985" spans="1:10" x14ac:dyDescent="0.25">
      <c r="A4985" s="532"/>
      <c r="B4985" s="532"/>
      <c r="C4985" s="532"/>
      <c r="D4985" s="564">
        <f>SUM(D4970:D4984)</f>
        <v>2192139112</v>
      </c>
      <c r="E4985" s="564">
        <f t="shared" ref="E4985:G4985" si="250">SUM(E4970:E4984)</f>
        <v>252359775</v>
      </c>
      <c r="F4985" s="564">
        <f t="shared" si="250"/>
        <v>2443869600</v>
      </c>
      <c r="G4985" s="564">
        <f t="shared" si="250"/>
        <v>629287</v>
      </c>
      <c r="H4985" s="532"/>
      <c r="I4985" s="532"/>
      <c r="J4985" s="532"/>
    </row>
    <row r="4986" spans="1:10" x14ac:dyDescent="0.25">
      <c r="A4986" s="362"/>
      <c r="B4986" s="611">
        <v>44411</v>
      </c>
      <c r="C4986" s="362" t="s">
        <v>86</v>
      </c>
      <c r="D4986" s="562">
        <v>80023720</v>
      </c>
      <c r="E4986" s="562">
        <v>35791504</v>
      </c>
      <c r="F4986" s="562">
        <v>115815100</v>
      </c>
      <c r="G4986" s="562">
        <f t="shared" si="247"/>
        <v>124</v>
      </c>
      <c r="H4986" s="362"/>
      <c r="I4986" s="362"/>
      <c r="J4986" s="362"/>
    </row>
    <row r="4987" spans="1:10" x14ac:dyDescent="0.25">
      <c r="A4987" s="362"/>
      <c r="B4987" s="611">
        <v>44411</v>
      </c>
      <c r="C4987" s="362" t="s">
        <v>87</v>
      </c>
      <c r="D4987" s="562">
        <v>78155619</v>
      </c>
      <c r="E4987" s="562">
        <v>90246782</v>
      </c>
      <c r="F4987" s="562">
        <v>168402500</v>
      </c>
      <c r="G4987" s="562">
        <f t="shared" si="247"/>
        <v>-99</v>
      </c>
      <c r="H4987" s="362"/>
      <c r="I4987" s="362"/>
      <c r="J4987" s="362"/>
    </row>
    <row r="4988" spans="1:10" x14ac:dyDescent="0.25">
      <c r="A4988" s="362"/>
      <c r="B4988" s="611">
        <v>44411</v>
      </c>
      <c r="C4988" s="362" t="s">
        <v>88</v>
      </c>
      <c r="D4988" s="562">
        <v>187978831</v>
      </c>
      <c r="E4988" s="562">
        <v>10874811</v>
      </c>
      <c r="F4988" s="562">
        <v>198853700</v>
      </c>
      <c r="G4988" s="562">
        <f t="shared" si="247"/>
        <v>-58</v>
      </c>
      <c r="H4988" s="362"/>
      <c r="I4988" s="362"/>
      <c r="J4988" s="362"/>
    </row>
    <row r="4989" spans="1:10" x14ac:dyDescent="0.25">
      <c r="A4989" s="362"/>
      <c r="B4989" s="611">
        <v>44411</v>
      </c>
      <c r="C4989" s="362" t="s">
        <v>82</v>
      </c>
      <c r="D4989" s="562">
        <v>62782242</v>
      </c>
      <c r="E4989" s="562">
        <v>4282387</v>
      </c>
      <c r="F4989" s="562">
        <v>67064600</v>
      </c>
      <c r="G4989" s="562">
        <f t="shared" si="247"/>
        <v>29</v>
      </c>
      <c r="H4989" s="362"/>
      <c r="I4989" s="362"/>
      <c r="J4989" s="362"/>
    </row>
    <row r="4990" spans="1:10" x14ac:dyDescent="0.25">
      <c r="A4990" s="362"/>
      <c r="B4990" s="611">
        <v>44411</v>
      </c>
      <c r="C4990" s="362" t="s">
        <v>80</v>
      </c>
      <c r="D4990" s="562">
        <v>219831036</v>
      </c>
      <c r="E4990" s="562"/>
      <c r="F4990" s="562">
        <v>219831100</v>
      </c>
      <c r="G4990" s="562">
        <f t="shared" si="247"/>
        <v>-64</v>
      </c>
      <c r="H4990" s="362"/>
      <c r="I4990" s="362"/>
      <c r="J4990" s="362"/>
    </row>
    <row r="4991" spans="1:10" x14ac:dyDescent="0.25">
      <c r="A4991" s="362"/>
      <c r="B4991" s="611">
        <v>44411</v>
      </c>
      <c r="C4991" s="362" t="s">
        <v>83</v>
      </c>
      <c r="D4991" s="562">
        <v>150043114</v>
      </c>
      <c r="E4991" s="562">
        <v>10124664</v>
      </c>
      <c r="F4991" s="562">
        <v>160167700</v>
      </c>
      <c r="G4991" s="562">
        <f t="shared" si="247"/>
        <v>78</v>
      </c>
      <c r="H4991" s="362"/>
      <c r="I4991" s="362"/>
      <c r="J4991" s="362"/>
    </row>
    <row r="4992" spans="1:10" x14ac:dyDescent="0.25">
      <c r="A4992" s="362"/>
      <c r="B4992" s="611">
        <v>44411</v>
      </c>
      <c r="C4992" s="362" t="s">
        <v>78</v>
      </c>
      <c r="D4992" s="562">
        <v>74779757</v>
      </c>
      <c r="E4992" s="562">
        <v>4791443</v>
      </c>
      <c r="F4992" s="562">
        <v>79571200</v>
      </c>
      <c r="G4992" s="562">
        <f t="shared" si="247"/>
        <v>0</v>
      </c>
      <c r="H4992" s="362"/>
      <c r="I4992" s="362"/>
      <c r="J4992" s="362"/>
    </row>
    <row r="4993" spans="1:10" x14ac:dyDescent="0.25">
      <c r="A4993" s="362"/>
      <c r="B4993" s="611">
        <v>44411</v>
      </c>
      <c r="C4993" s="362" t="s">
        <v>141</v>
      </c>
      <c r="D4993" s="562">
        <v>33555775</v>
      </c>
      <c r="E4993" s="562">
        <v>780426</v>
      </c>
      <c r="F4993" s="562">
        <v>34336300</v>
      </c>
      <c r="G4993" s="562">
        <f t="shared" si="247"/>
        <v>-99</v>
      </c>
      <c r="H4993" s="362"/>
      <c r="I4993" s="362"/>
      <c r="J4993" s="362"/>
    </row>
    <row r="4994" spans="1:10" x14ac:dyDescent="0.25">
      <c r="A4994" s="362"/>
      <c r="B4994" s="611">
        <v>44411</v>
      </c>
      <c r="C4994" s="362" t="s">
        <v>89</v>
      </c>
      <c r="D4994" s="562">
        <v>51149886</v>
      </c>
      <c r="E4994" s="562">
        <v>4977414</v>
      </c>
      <c r="F4994" s="562">
        <v>56127300</v>
      </c>
      <c r="G4994" s="562">
        <f t="shared" si="247"/>
        <v>0</v>
      </c>
      <c r="H4994" s="362"/>
      <c r="I4994" s="362"/>
      <c r="J4994" s="362"/>
    </row>
    <row r="4995" spans="1:10" x14ac:dyDescent="0.25">
      <c r="A4995" s="362"/>
      <c r="B4995" s="611">
        <v>44411</v>
      </c>
      <c r="C4995" s="362" t="s">
        <v>81</v>
      </c>
      <c r="D4995" s="562">
        <v>41729209</v>
      </c>
      <c r="E4995" s="562">
        <v>6364983</v>
      </c>
      <c r="F4995" s="562">
        <v>48094200</v>
      </c>
      <c r="G4995" s="562">
        <f t="shared" si="247"/>
        <v>-8</v>
      </c>
      <c r="H4995" s="362"/>
      <c r="I4995" s="362"/>
      <c r="J4995" s="362"/>
    </row>
    <row r="4996" spans="1:10" x14ac:dyDescent="0.25">
      <c r="A4996" s="362"/>
      <c r="B4996" s="611">
        <v>44411</v>
      </c>
      <c r="C4996" s="362" t="s">
        <v>84</v>
      </c>
      <c r="D4996" s="562">
        <v>109032135</v>
      </c>
      <c r="E4996" s="562">
        <v>23459090</v>
      </c>
      <c r="F4996" s="562">
        <v>132491300</v>
      </c>
      <c r="G4996" s="562">
        <f t="shared" si="247"/>
        <v>-75</v>
      </c>
      <c r="H4996" s="362"/>
      <c r="I4996" s="362"/>
      <c r="J4996" s="362"/>
    </row>
    <row r="4997" spans="1:10" x14ac:dyDescent="0.25">
      <c r="A4997" s="362"/>
      <c r="B4997" s="611">
        <v>44411</v>
      </c>
      <c r="C4997" s="362" t="s">
        <v>4751</v>
      </c>
      <c r="D4997" s="562">
        <v>157860309</v>
      </c>
      <c r="E4997" s="562">
        <v>11145791</v>
      </c>
      <c r="F4997" s="562">
        <v>169006100</v>
      </c>
      <c r="G4997" s="562">
        <f t="shared" si="247"/>
        <v>0</v>
      </c>
      <c r="H4997" s="362"/>
      <c r="I4997" s="362"/>
      <c r="J4997" s="362"/>
    </row>
    <row r="4998" spans="1:10" x14ac:dyDescent="0.25">
      <c r="A4998" s="362"/>
      <c r="B4998" s="611">
        <v>44411</v>
      </c>
      <c r="C4998" s="362" t="s">
        <v>166</v>
      </c>
      <c r="D4998" s="562">
        <v>68976770</v>
      </c>
      <c r="E4998" s="562"/>
      <c r="F4998" s="562">
        <v>68977000</v>
      </c>
      <c r="G4998" s="562">
        <f t="shared" si="247"/>
        <v>-230</v>
      </c>
      <c r="H4998" s="362"/>
      <c r="I4998" s="362"/>
      <c r="J4998" s="362"/>
    </row>
    <row r="4999" spans="1:10" x14ac:dyDescent="0.25">
      <c r="A4999" s="362"/>
      <c r="B4999" s="611">
        <v>44411</v>
      </c>
      <c r="C4999" s="362" t="s">
        <v>3435</v>
      </c>
      <c r="D4999" s="562">
        <v>21904335</v>
      </c>
      <c r="E4999" s="562"/>
      <c r="F4999" s="562">
        <v>21904400</v>
      </c>
      <c r="G4999" s="562">
        <f t="shared" si="247"/>
        <v>-65</v>
      </c>
      <c r="H4999" s="362"/>
      <c r="I4999" s="362"/>
      <c r="J4999" s="362"/>
    </row>
    <row r="5000" spans="1:10" x14ac:dyDescent="0.25">
      <c r="A5000" s="362"/>
      <c r="B5000" s="611">
        <v>44411</v>
      </c>
      <c r="C5000" s="370" t="s">
        <v>85</v>
      </c>
      <c r="D5000" s="562">
        <v>21289600</v>
      </c>
      <c r="E5000" s="562"/>
      <c r="F5000" s="562">
        <v>21289600</v>
      </c>
      <c r="G5000" s="562">
        <f t="shared" si="247"/>
        <v>0</v>
      </c>
      <c r="H5000" s="362"/>
      <c r="I5000" s="362"/>
      <c r="J5000" s="362"/>
    </row>
    <row r="5001" spans="1:10" x14ac:dyDescent="0.25">
      <c r="A5001" s="532"/>
      <c r="B5001" s="532"/>
      <c r="C5001" s="532"/>
      <c r="D5001" s="564">
        <f>SUM(D4986:D5000)</f>
        <v>1359092338</v>
      </c>
      <c r="E5001" s="564">
        <f t="shared" ref="E5001:G5001" si="251">SUM(E4986:E5000)</f>
        <v>202839295</v>
      </c>
      <c r="F5001" s="564">
        <f t="shared" si="251"/>
        <v>1561932100</v>
      </c>
      <c r="G5001" s="632">
        <f t="shared" si="251"/>
        <v>-467</v>
      </c>
      <c r="H5001" s="532"/>
      <c r="I5001" s="532"/>
      <c r="J5001" s="532"/>
    </row>
    <row r="5002" spans="1:10" x14ac:dyDescent="0.25">
      <c r="A5002" s="362"/>
      <c r="B5002" s="611">
        <v>44412</v>
      </c>
      <c r="C5002" s="362" t="s">
        <v>86</v>
      </c>
      <c r="D5002" s="562">
        <v>61648814</v>
      </c>
      <c r="E5002" s="562">
        <v>98954769</v>
      </c>
      <c r="F5002" s="562">
        <v>160603500</v>
      </c>
      <c r="G5002" s="562">
        <f t="shared" si="247"/>
        <v>83</v>
      </c>
      <c r="H5002" s="362"/>
      <c r="I5002" s="362"/>
      <c r="J5002" s="362"/>
    </row>
    <row r="5003" spans="1:10" x14ac:dyDescent="0.25">
      <c r="A5003" s="362"/>
      <c r="B5003" s="611">
        <v>44412</v>
      </c>
      <c r="C5003" s="362" t="s">
        <v>87</v>
      </c>
      <c r="D5003" s="562">
        <v>144832281</v>
      </c>
      <c r="E5003" s="562">
        <v>53703857</v>
      </c>
      <c r="F5003" s="562">
        <v>198536600</v>
      </c>
      <c r="G5003" s="562">
        <f t="shared" si="247"/>
        <v>-462</v>
      </c>
      <c r="H5003" s="362"/>
      <c r="I5003" s="362"/>
      <c r="J5003" s="362"/>
    </row>
    <row r="5004" spans="1:10" x14ac:dyDescent="0.25">
      <c r="A5004" s="362"/>
      <c r="B5004" s="611">
        <v>44412</v>
      </c>
      <c r="C5004" s="362" t="s">
        <v>88</v>
      </c>
      <c r="D5004" s="562">
        <v>115293256</v>
      </c>
      <c r="E5004" s="562">
        <v>70870090</v>
      </c>
      <c r="F5004" s="562">
        <v>186163400</v>
      </c>
      <c r="G5004" s="562">
        <f t="shared" ref="G5004:G5067" si="252">D5004+E5004-F5004</f>
        <v>-54</v>
      </c>
      <c r="H5004" s="362"/>
      <c r="I5004" s="362"/>
      <c r="J5004" s="362"/>
    </row>
    <row r="5005" spans="1:10" x14ac:dyDescent="0.25">
      <c r="A5005" s="362"/>
      <c r="B5005" s="611">
        <v>44412</v>
      </c>
      <c r="C5005" s="362" t="s">
        <v>82</v>
      </c>
      <c r="D5005" s="562">
        <v>89289356</v>
      </c>
      <c r="E5005" s="562">
        <v>8097006</v>
      </c>
      <c r="F5005" s="562">
        <v>97386400</v>
      </c>
      <c r="G5005" s="562">
        <f t="shared" si="252"/>
        <v>-38</v>
      </c>
      <c r="H5005" s="362"/>
      <c r="I5005" s="362"/>
      <c r="J5005" s="362"/>
    </row>
    <row r="5006" spans="1:10" x14ac:dyDescent="0.25">
      <c r="A5006" s="362"/>
      <c r="B5006" s="611">
        <v>44412</v>
      </c>
      <c r="C5006" s="362" t="s">
        <v>80</v>
      </c>
      <c r="D5006" s="562">
        <v>345724234</v>
      </c>
      <c r="E5006" s="562">
        <v>20166300</v>
      </c>
      <c r="F5006" s="562">
        <v>365906000</v>
      </c>
      <c r="G5006" s="562">
        <f t="shared" si="252"/>
        <v>-15466</v>
      </c>
      <c r="H5006" s="362"/>
      <c r="I5006" s="362"/>
      <c r="J5006" s="362"/>
    </row>
    <row r="5007" spans="1:10" x14ac:dyDescent="0.25">
      <c r="A5007" s="362"/>
      <c r="B5007" s="611">
        <v>44412</v>
      </c>
      <c r="C5007" s="362" t="s">
        <v>83</v>
      </c>
      <c r="D5007" s="562">
        <v>199322964</v>
      </c>
      <c r="E5007" s="562">
        <v>38096623</v>
      </c>
      <c r="F5007" s="562">
        <v>237419600</v>
      </c>
      <c r="G5007" s="562">
        <f t="shared" si="252"/>
        <v>-13</v>
      </c>
      <c r="H5007" s="362"/>
      <c r="I5007" s="362"/>
      <c r="J5007" s="362"/>
    </row>
    <row r="5008" spans="1:10" x14ac:dyDescent="0.25">
      <c r="A5008" s="362"/>
      <c r="B5008" s="611">
        <v>44412</v>
      </c>
      <c r="C5008" s="362" t="s">
        <v>78</v>
      </c>
      <c r="D5008" s="562">
        <v>161722135</v>
      </c>
      <c r="E5008" s="562">
        <v>3615265</v>
      </c>
      <c r="F5008" s="562">
        <v>165337400</v>
      </c>
      <c r="G5008" s="562">
        <f t="shared" si="252"/>
        <v>0</v>
      </c>
      <c r="H5008" s="362"/>
      <c r="I5008" s="362"/>
      <c r="J5008" s="362"/>
    </row>
    <row r="5009" spans="1:10" x14ac:dyDescent="0.25">
      <c r="A5009" s="362"/>
      <c r="B5009" s="611">
        <v>44412</v>
      </c>
      <c r="C5009" s="362" t="s">
        <v>141</v>
      </c>
      <c r="D5009" s="562">
        <v>109988525</v>
      </c>
      <c r="E5009" s="562"/>
      <c r="F5009" s="562">
        <v>109988700</v>
      </c>
      <c r="G5009" s="562">
        <f t="shared" si="252"/>
        <v>-175</v>
      </c>
      <c r="H5009" s="362"/>
      <c r="I5009" s="362"/>
      <c r="J5009" s="362"/>
    </row>
    <row r="5010" spans="1:10" x14ac:dyDescent="0.25">
      <c r="A5010" s="362"/>
      <c r="B5010" s="611">
        <v>44412</v>
      </c>
      <c r="C5010" s="362" t="s">
        <v>89</v>
      </c>
      <c r="D5010" s="562">
        <v>156914811</v>
      </c>
      <c r="E5010" s="562">
        <v>18505889</v>
      </c>
      <c r="F5010" s="562">
        <v>175420700</v>
      </c>
      <c r="G5010" s="562">
        <f t="shared" si="252"/>
        <v>0</v>
      </c>
      <c r="H5010" s="362"/>
      <c r="I5010" s="362"/>
      <c r="J5010" s="362"/>
    </row>
    <row r="5011" spans="1:10" x14ac:dyDescent="0.25">
      <c r="A5011" s="362"/>
      <c r="B5011" s="611">
        <v>44412</v>
      </c>
      <c r="C5011" s="362" t="s">
        <v>81</v>
      </c>
      <c r="D5011" s="562">
        <v>92451385</v>
      </c>
      <c r="E5011" s="562">
        <v>13502610</v>
      </c>
      <c r="F5011" s="562">
        <v>105954000</v>
      </c>
      <c r="G5011" s="562">
        <f t="shared" si="252"/>
        <v>-5</v>
      </c>
      <c r="H5011" s="362"/>
      <c r="I5011" s="362"/>
      <c r="J5011" s="362"/>
    </row>
    <row r="5012" spans="1:10" x14ac:dyDescent="0.25">
      <c r="A5012" s="362"/>
      <c r="B5012" s="611">
        <v>44412</v>
      </c>
      <c r="C5012" s="362" t="s">
        <v>84</v>
      </c>
      <c r="D5012" s="562">
        <v>264303945</v>
      </c>
      <c r="E5012" s="562">
        <v>14060247</v>
      </c>
      <c r="F5012" s="562">
        <v>278364200</v>
      </c>
      <c r="G5012" s="562">
        <f t="shared" si="252"/>
        <v>-8</v>
      </c>
      <c r="H5012" s="362"/>
      <c r="I5012" s="362"/>
      <c r="J5012" s="362"/>
    </row>
    <row r="5013" spans="1:10" x14ac:dyDescent="0.25">
      <c r="A5013" s="362"/>
      <c r="B5013" s="611">
        <v>44412</v>
      </c>
      <c r="C5013" s="362" t="s">
        <v>4751</v>
      </c>
      <c r="D5013" s="562">
        <v>147966479</v>
      </c>
      <c r="E5013" s="562">
        <v>20277421</v>
      </c>
      <c r="F5013" s="562">
        <v>168243900</v>
      </c>
      <c r="G5013" s="562">
        <f t="shared" si="252"/>
        <v>0</v>
      </c>
      <c r="H5013" s="362"/>
      <c r="I5013" s="362"/>
      <c r="J5013" s="362"/>
    </row>
    <row r="5014" spans="1:10" x14ac:dyDescent="0.25">
      <c r="A5014" s="362"/>
      <c r="B5014" s="611">
        <v>44412</v>
      </c>
      <c r="C5014" s="362" t="s">
        <v>166</v>
      </c>
      <c r="D5014" s="562">
        <v>67859721</v>
      </c>
      <c r="E5014" s="562"/>
      <c r="F5014" s="562">
        <v>67859800</v>
      </c>
      <c r="G5014" s="562">
        <f t="shared" si="252"/>
        <v>-79</v>
      </c>
      <c r="H5014" s="362"/>
      <c r="I5014" s="362"/>
      <c r="J5014" s="362"/>
    </row>
    <row r="5015" spans="1:10" x14ac:dyDescent="0.25">
      <c r="A5015" s="362"/>
      <c r="B5015" s="611">
        <v>44412</v>
      </c>
      <c r="C5015" s="362" t="s">
        <v>3435</v>
      </c>
      <c r="D5015" s="562">
        <v>66053325</v>
      </c>
      <c r="E5015" s="562"/>
      <c r="F5015" s="562">
        <v>66053400</v>
      </c>
      <c r="G5015" s="562">
        <f t="shared" si="252"/>
        <v>-75</v>
      </c>
      <c r="H5015" s="362"/>
      <c r="I5015" s="362"/>
      <c r="J5015" s="362"/>
    </row>
    <row r="5016" spans="1:10" x14ac:dyDescent="0.25">
      <c r="A5016" s="362"/>
      <c r="B5016" s="611">
        <v>44412</v>
      </c>
      <c r="C5016" s="370" t="s">
        <v>85</v>
      </c>
      <c r="D5016" s="562">
        <v>37278800</v>
      </c>
      <c r="E5016" s="562"/>
      <c r="F5016" s="562">
        <v>37278800</v>
      </c>
      <c r="G5016" s="562">
        <f t="shared" si="252"/>
        <v>0</v>
      </c>
      <c r="H5016" s="362"/>
      <c r="I5016" s="362"/>
      <c r="J5016" s="362"/>
    </row>
    <row r="5017" spans="1:10" x14ac:dyDescent="0.25">
      <c r="A5017" s="532"/>
      <c r="B5017" s="532"/>
      <c r="C5017" s="532"/>
      <c r="D5017" s="564">
        <f>SUM(D5002:D5016)</f>
        <v>2060650031</v>
      </c>
      <c r="E5017" s="564">
        <f t="shared" ref="E5017:G5017" si="253">SUM(E5002:E5016)</f>
        <v>359850077</v>
      </c>
      <c r="F5017" s="564">
        <f t="shared" si="253"/>
        <v>2420516400</v>
      </c>
      <c r="G5017" s="564">
        <f t="shared" si="253"/>
        <v>-16292</v>
      </c>
      <c r="H5017" s="532"/>
      <c r="I5017" s="532"/>
      <c r="J5017" s="532"/>
    </row>
    <row r="5018" spans="1:10" x14ac:dyDescent="0.25">
      <c r="A5018" s="362"/>
      <c r="B5018" s="611">
        <v>44413</v>
      </c>
      <c r="C5018" s="362" t="s">
        <v>86</v>
      </c>
      <c r="D5018" s="562">
        <v>55779559</v>
      </c>
      <c r="E5018" s="562">
        <v>158465797</v>
      </c>
      <c r="F5018" s="562">
        <v>214245200</v>
      </c>
      <c r="G5018" s="562">
        <f t="shared" si="252"/>
        <v>156</v>
      </c>
      <c r="H5018" s="362"/>
      <c r="I5018" s="362"/>
      <c r="J5018" s="362"/>
    </row>
    <row r="5019" spans="1:10" x14ac:dyDescent="0.25">
      <c r="A5019" s="362"/>
      <c r="B5019" s="611">
        <v>44413</v>
      </c>
      <c r="C5019" s="362" t="s">
        <v>87</v>
      </c>
      <c r="D5019" s="562">
        <v>53939191</v>
      </c>
      <c r="E5019" s="562">
        <v>110826881</v>
      </c>
      <c r="F5019" s="562">
        <v>164766300</v>
      </c>
      <c r="G5019" s="562">
        <f t="shared" si="252"/>
        <v>-228</v>
      </c>
      <c r="H5019" s="362"/>
      <c r="I5019" s="362"/>
      <c r="J5019" s="362"/>
    </row>
    <row r="5020" spans="1:10" x14ac:dyDescent="0.25">
      <c r="A5020" s="362"/>
      <c r="B5020" s="611">
        <v>44413</v>
      </c>
      <c r="C5020" s="362" t="s">
        <v>88</v>
      </c>
      <c r="D5020" s="562">
        <v>242916179</v>
      </c>
      <c r="E5020" s="562">
        <v>26007614</v>
      </c>
      <c r="F5020" s="562">
        <v>268923800</v>
      </c>
      <c r="G5020" s="562">
        <f t="shared" si="252"/>
        <v>-7</v>
      </c>
      <c r="H5020" s="362"/>
      <c r="I5020" s="362"/>
      <c r="J5020" s="362"/>
    </row>
    <row r="5021" spans="1:10" x14ac:dyDescent="0.25">
      <c r="A5021" s="362"/>
      <c r="B5021" s="611">
        <v>44413</v>
      </c>
      <c r="C5021" s="362" t="s">
        <v>82</v>
      </c>
      <c r="D5021" s="562">
        <v>80998840</v>
      </c>
      <c r="E5021" s="562">
        <v>3574280</v>
      </c>
      <c r="F5021" s="562">
        <v>84573200</v>
      </c>
      <c r="G5021" s="562">
        <f t="shared" si="252"/>
        <v>-80</v>
      </c>
      <c r="H5021" s="362"/>
      <c r="I5021" s="362"/>
      <c r="J5021" s="362"/>
    </row>
    <row r="5022" spans="1:10" x14ac:dyDescent="0.25">
      <c r="A5022" s="362"/>
      <c r="B5022" s="611">
        <v>44413</v>
      </c>
      <c r="C5022" s="362" t="s">
        <v>80</v>
      </c>
      <c r="D5022" s="562">
        <v>301035707</v>
      </c>
      <c r="E5022" s="562"/>
      <c r="F5022" s="562">
        <v>301048900</v>
      </c>
      <c r="G5022" s="562">
        <f t="shared" si="252"/>
        <v>-13193</v>
      </c>
      <c r="H5022" s="362"/>
      <c r="I5022" s="362"/>
      <c r="J5022" s="362"/>
    </row>
    <row r="5023" spans="1:10" x14ac:dyDescent="0.25">
      <c r="A5023" s="362"/>
      <c r="B5023" s="611">
        <v>44413</v>
      </c>
      <c r="C5023" s="362" t="s">
        <v>83</v>
      </c>
      <c r="D5023" s="562">
        <v>181408703</v>
      </c>
      <c r="E5023" s="562">
        <v>117981756</v>
      </c>
      <c r="F5023" s="562">
        <v>299390500</v>
      </c>
      <c r="G5023" s="562">
        <f t="shared" si="252"/>
        <v>-41</v>
      </c>
      <c r="H5023" s="362"/>
      <c r="I5023" s="362"/>
      <c r="J5023" s="362"/>
    </row>
    <row r="5024" spans="1:10" x14ac:dyDescent="0.25">
      <c r="A5024" s="362"/>
      <c r="B5024" s="611">
        <v>44413</v>
      </c>
      <c r="C5024" s="362" t="s">
        <v>78</v>
      </c>
      <c r="D5024" s="562">
        <v>83875716</v>
      </c>
      <c r="E5024" s="562">
        <v>608784</v>
      </c>
      <c r="F5024" s="562">
        <v>84484500</v>
      </c>
      <c r="G5024" s="562">
        <f t="shared" si="252"/>
        <v>0</v>
      </c>
      <c r="H5024" s="362"/>
      <c r="I5024" s="362"/>
      <c r="J5024" s="362"/>
    </row>
    <row r="5025" spans="1:10" x14ac:dyDescent="0.25">
      <c r="A5025" s="362"/>
      <c r="B5025" s="611">
        <v>44413</v>
      </c>
      <c r="C5025" s="362" t="s">
        <v>141</v>
      </c>
      <c r="D5025" s="562">
        <v>79933447</v>
      </c>
      <c r="E5025" s="562">
        <v>1632183</v>
      </c>
      <c r="F5025" s="562">
        <v>81565700</v>
      </c>
      <c r="G5025" s="562">
        <f t="shared" si="252"/>
        <v>-70</v>
      </c>
      <c r="H5025" s="362"/>
      <c r="I5025" s="362"/>
      <c r="J5025" s="362"/>
    </row>
    <row r="5026" spans="1:10" x14ac:dyDescent="0.25">
      <c r="A5026" s="362"/>
      <c r="B5026" s="611">
        <v>44413</v>
      </c>
      <c r="C5026" s="362" t="s">
        <v>89</v>
      </c>
      <c r="D5026" s="562">
        <v>167768726</v>
      </c>
      <c r="E5026" s="562">
        <v>6540074</v>
      </c>
      <c r="F5026" s="562">
        <v>174308800</v>
      </c>
      <c r="G5026" s="562">
        <f t="shared" si="252"/>
        <v>0</v>
      </c>
      <c r="H5026" s="362"/>
      <c r="I5026" s="362"/>
      <c r="J5026" s="362"/>
    </row>
    <row r="5027" spans="1:10" x14ac:dyDescent="0.25">
      <c r="A5027" s="362"/>
      <c r="B5027" s="611">
        <v>44413</v>
      </c>
      <c r="C5027" s="362" t="s">
        <v>81</v>
      </c>
      <c r="D5027" s="562">
        <v>152489418</v>
      </c>
      <c r="E5027" s="562">
        <v>14729556</v>
      </c>
      <c r="F5027" s="562">
        <v>167219000</v>
      </c>
      <c r="G5027" s="562">
        <f t="shared" si="252"/>
        <v>-26</v>
      </c>
      <c r="H5027" s="362"/>
      <c r="I5027" s="362"/>
      <c r="J5027" s="362"/>
    </row>
    <row r="5028" spans="1:10" x14ac:dyDescent="0.25">
      <c r="A5028" s="362"/>
      <c r="B5028" s="611">
        <v>44413</v>
      </c>
      <c r="C5028" s="362" t="s">
        <v>84</v>
      </c>
      <c r="D5028" s="562">
        <v>240403706</v>
      </c>
      <c r="E5028" s="562">
        <v>12123156</v>
      </c>
      <c r="F5028" s="562">
        <v>252526800</v>
      </c>
      <c r="G5028" s="562">
        <f t="shared" si="252"/>
        <v>62</v>
      </c>
      <c r="H5028" s="362"/>
      <c r="I5028" s="362"/>
      <c r="J5028" s="362"/>
    </row>
    <row r="5029" spans="1:10" x14ac:dyDescent="0.25">
      <c r="A5029" s="362"/>
      <c r="B5029" s="611">
        <v>44413</v>
      </c>
      <c r="C5029" s="362" t="s">
        <v>4751</v>
      </c>
      <c r="D5029" s="562">
        <v>209823426</v>
      </c>
      <c r="E5029" s="562">
        <v>7017974</v>
      </c>
      <c r="F5029" s="562">
        <v>216841400</v>
      </c>
      <c r="G5029" s="562">
        <f t="shared" si="252"/>
        <v>0</v>
      </c>
      <c r="H5029" s="362"/>
      <c r="I5029" s="362"/>
      <c r="J5029" s="362"/>
    </row>
    <row r="5030" spans="1:10" x14ac:dyDescent="0.25">
      <c r="A5030" s="362"/>
      <c r="B5030" s="611">
        <v>44413</v>
      </c>
      <c r="C5030" s="362" t="s">
        <v>166</v>
      </c>
      <c r="D5030" s="562">
        <v>99782936</v>
      </c>
      <c r="E5030" s="562"/>
      <c r="F5030" s="562">
        <v>99782900</v>
      </c>
      <c r="G5030" s="562">
        <f t="shared" si="252"/>
        <v>36</v>
      </c>
      <c r="H5030" s="362"/>
      <c r="I5030" s="362"/>
      <c r="J5030" s="362"/>
    </row>
    <row r="5031" spans="1:10" x14ac:dyDescent="0.25">
      <c r="A5031" s="362"/>
      <c r="B5031" s="611">
        <v>44413</v>
      </c>
      <c r="C5031" s="362" t="s">
        <v>3435</v>
      </c>
      <c r="D5031" s="562">
        <v>96489415</v>
      </c>
      <c r="E5031" s="562"/>
      <c r="F5031" s="562">
        <v>96489500</v>
      </c>
      <c r="G5031" s="562">
        <f t="shared" si="252"/>
        <v>-85</v>
      </c>
      <c r="H5031" s="362"/>
      <c r="I5031" s="362"/>
      <c r="J5031" s="362"/>
    </row>
    <row r="5032" spans="1:10" x14ac:dyDescent="0.25">
      <c r="A5032" s="362"/>
      <c r="B5032" s="611">
        <v>44413</v>
      </c>
      <c r="C5032" s="370" t="s">
        <v>85</v>
      </c>
      <c r="D5032" s="562">
        <v>19427100</v>
      </c>
      <c r="E5032" s="562"/>
      <c r="F5032" s="562">
        <v>19427100</v>
      </c>
      <c r="G5032" s="562">
        <f t="shared" si="252"/>
        <v>0</v>
      </c>
      <c r="H5032" s="362"/>
      <c r="I5032" s="362"/>
      <c r="J5032" s="362"/>
    </row>
    <row r="5033" spans="1:10" x14ac:dyDescent="0.25">
      <c r="A5033" s="532"/>
      <c r="B5033" s="532"/>
      <c r="C5033" s="532"/>
      <c r="D5033" s="564">
        <f>SUM(D5018:D5032)</f>
        <v>2066072069</v>
      </c>
      <c r="E5033" s="564">
        <f t="shared" ref="E5033:G5033" si="254">SUM(E5018:E5032)</f>
        <v>459508055</v>
      </c>
      <c r="F5033" s="564">
        <f t="shared" si="254"/>
        <v>2525593600</v>
      </c>
      <c r="G5033" s="564">
        <f t="shared" si="254"/>
        <v>-13476</v>
      </c>
      <c r="H5033" s="532"/>
      <c r="I5033" s="532"/>
      <c r="J5033" s="532"/>
    </row>
    <row r="5034" spans="1:10" x14ac:dyDescent="0.25">
      <c r="A5034" s="362"/>
      <c r="B5034" s="611">
        <v>44414</v>
      </c>
      <c r="C5034" s="362" t="s">
        <v>86</v>
      </c>
      <c r="D5034" s="562">
        <v>114459712</v>
      </c>
      <c r="E5034" s="562">
        <v>27325849</v>
      </c>
      <c r="F5034" s="562">
        <v>141900000</v>
      </c>
      <c r="G5034" s="562">
        <f t="shared" si="252"/>
        <v>-114439</v>
      </c>
      <c r="H5034" s="362"/>
      <c r="I5034" s="362"/>
      <c r="J5034" s="362"/>
    </row>
    <row r="5035" spans="1:10" x14ac:dyDescent="0.25">
      <c r="A5035" s="362"/>
      <c r="B5035" s="611">
        <v>44414</v>
      </c>
      <c r="C5035" s="362" t="s">
        <v>87</v>
      </c>
      <c r="D5035" s="562">
        <v>133755318</v>
      </c>
      <c r="E5035" s="562">
        <v>18608323</v>
      </c>
      <c r="F5035" s="562">
        <v>152363700</v>
      </c>
      <c r="G5035" s="562">
        <f t="shared" si="252"/>
        <v>-59</v>
      </c>
      <c r="H5035" s="362"/>
      <c r="I5035" s="362"/>
      <c r="J5035" s="362"/>
    </row>
    <row r="5036" spans="1:10" x14ac:dyDescent="0.25">
      <c r="A5036" s="362"/>
      <c r="B5036" s="611">
        <v>44414</v>
      </c>
      <c r="C5036" s="362" t="s">
        <v>88</v>
      </c>
      <c r="D5036" s="562">
        <v>172755771</v>
      </c>
      <c r="E5036" s="562">
        <v>19075183</v>
      </c>
      <c r="F5036" s="562">
        <v>191831000</v>
      </c>
      <c r="G5036" s="562">
        <f t="shared" si="252"/>
        <v>-46</v>
      </c>
      <c r="H5036" s="362"/>
      <c r="I5036" s="362"/>
      <c r="J5036" s="362"/>
    </row>
    <row r="5037" spans="1:10" x14ac:dyDescent="0.25">
      <c r="A5037" s="362"/>
      <c r="B5037" s="611">
        <v>44414</v>
      </c>
      <c r="C5037" s="362" t="s">
        <v>82</v>
      </c>
      <c r="D5037" s="562">
        <v>81757500</v>
      </c>
      <c r="E5037" s="562">
        <v>2224560</v>
      </c>
      <c r="F5037" s="562">
        <v>83990100</v>
      </c>
      <c r="G5037" s="562">
        <f t="shared" si="252"/>
        <v>-8040</v>
      </c>
      <c r="H5037" s="362"/>
      <c r="I5037" s="362"/>
      <c r="J5037" s="362"/>
    </row>
    <row r="5038" spans="1:10" x14ac:dyDescent="0.25">
      <c r="A5038" s="362"/>
      <c r="B5038" s="611">
        <v>44414</v>
      </c>
      <c r="C5038" s="362" t="s">
        <v>80</v>
      </c>
      <c r="D5038" s="562">
        <v>217905819</v>
      </c>
      <c r="E5038" s="562">
        <v>68639046</v>
      </c>
      <c r="F5038" s="562">
        <v>286281100</v>
      </c>
      <c r="G5038" s="562">
        <f t="shared" si="252"/>
        <v>263765</v>
      </c>
      <c r="H5038" s="362"/>
      <c r="I5038" s="362"/>
      <c r="J5038" s="362"/>
    </row>
    <row r="5039" spans="1:10" x14ac:dyDescent="0.25">
      <c r="A5039" s="362"/>
      <c r="B5039" s="611">
        <v>44414</v>
      </c>
      <c r="C5039" s="362" t="s">
        <v>83</v>
      </c>
      <c r="D5039" s="562">
        <v>231591727</v>
      </c>
      <c r="E5039" s="562">
        <v>24711684</v>
      </c>
      <c r="F5039" s="562">
        <v>256303500</v>
      </c>
      <c r="G5039" s="562">
        <f t="shared" si="252"/>
        <v>-89</v>
      </c>
      <c r="H5039" s="362"/>
      <c r="I5039" s="362"/>
      <c r="J5039" s="362"/>
    </row>
    <row r="5040" spans="1:10" x14ac:dyDescent="0.25">
      <c r="A5040" s="362"/>
      <c r="B5040" s="611">
        <v>44414</v>
      </c>
      <c r="C5040" s="362" t="s">
        <v>78</v>
      </c>
      <c r="D5040" s="562">
        <v>96931585</v>
      </c>
      <c r="E5040" s="562">
        <v>956615</v>
      </c>
      <c r="F5040" s="562">
        <v>97888200</v>
      </c>
      <c r="G5040" s="562">
        <f t="shared" si="252"/>
        <v>0</v>
      </c>
      <c r="H5040" s="362"/>
      <c r="I5040" s="362"/>
      <c r="J5040" s="362"/>
    </row>
    <row r="5041" spans="1:10" x14ac:dyDescent="0.25">
      <c r="A5041" s="362"/>
      <c r="B5041" s="611">
        <v>44414</v>
      </c>
      <c r="C5041" s="362" t="s">
        <v>141</v>
      </c>
      <c r="D5041" s="562">
        <v>88743704</v>
      </c>
      <c r="E5041" s="562">
        <v>27772</v>
      </c>
      <c r="F5041" s="562">
        <v>88771500</v>
      </c>
      <c r="G5041" s="562">
        <f t="shared" si="252"/>
        <v>-24</v>
      </c>
      <c r="H5041" s="362"/>
      <c r="I5041" s="362"/>
      <c r="J5041" s="362"/>
    </row>
    <row r="5042" spans="1:10" x14ac:dyDescent="0.25">
      <c r="A5042" s="362"/>
      <c r="B5042" s="611">
        <v>44414</v>
      </c>
      <c r="C5042" s="362" t="s">
        <v>89</v>
      </c>
      <c r="D5042" s="562">
        <v>162573026</v>
      </c>
      <c r="E5042" s="562">
        <v>69920374</v>
      </c>
      <c r="F5042" s="562">
        <v>232493400</v>
      </c>
      <c r="G5042" s="562">
        <f t="shared" si="252"/>
        <v>0</v>
      </c>
      <c r="H5042" s="362"/>
      <c r="I5042" s="362"/>
      <c r="J5042" s="362"/>
    </row>
    <row r="5043" spans="1:10" x14ac:dyDescent="0.25">
      <c r="A5043" s="362"/>
      <c r="B5043" s="611">
        <v>44414</v>
      </c>
      <c r="C5043" s="362" t="s">
        <v>81</v>
      </c>
      <c r="D5043" s="562">
        <v>78715949</v>
      </c>
      <c r="E5043" s="562">
        <v>7067280</v>
      </c>
      <c r="F5043" s="562">
        <v>85783300</v>
      </c>
      <c r="G5043" s="562">
        <f t="shared" si="252"/>
        <v>-71</v>
      </c>
      <c r="H5043" s="362"/>
      <c r="I5043" s="362"/>
      <c r="J5043" s="362"/>
    </row>
    <row r="5044" spans="1:10" x14ac:dyDescent="0.25">
      <c r="A5044" s="362"/>
      <c r="B5044" s="611">
        <v>44414</v>
      </c>
      <c r="C5044" s="362" t="s">
        <v>84</v>
      </c>
      <c r="D5044" s="562">
        <v>207445715</v>
      </c>
      <c r="E5044" s="562">
        <v>7215325</v>
      </c>
      <c r="F5044" s="562">
        <v>214661100</v>
      </c>
      <c r="G5044" s="562">
        <f t="shared" si="252"/>
        <v>-60</v>
      </c>
      <c r="H5044" s="362"/>
      <c r="I5044" s="362"/>
      <c r="J5044" s="362"/>
    </row>
    <row r="5045" spans="1:10" x14ac:dyDescent="0.25">
      <c r="A5045" s="362"/>
      <c r="B5045" s="611">
        <v>44414</v>
      </c>
      <c r="C5045" s="362" t="s">
        <v>4751</v>
      </c>
      <c r="D5045" s="562">
        <v>240327920</v>
      </c>
      <c r="E5045" s="562">
        <v>13805380</v>
      </c>
      <c r="F5045" s="562">
        <v>254133300</v>
      </c>
      <c r="G5045" s="562">
        <f t="shared" si="252"/>
        <v>0</v>
      </c>
      <c r="H5045" s="362"/>
      <c r="I5045" s="362"/>
      <c r="J5045" s="362"/>
    </row>
    <row r="5046" spans="1:10" x14ac:dyDescent="0.25">
      <c r="A5046" s="362"/>
      <c r="B5046" s="611">
        <v>44414</v>
      </c>
      <c r="C5046" s="362" t="s">
        <v>166</v>
      </c>
      <c r="D5046" s="562">
        <v>54859009</v>
      </c>
      <c r="E5046" s="562"/>
      <c r="F5046" s="562">
        <v>54859000</v>
      </c>
      <c r="G5046" s="562">
        <f t="shared" si="252"/>
        <v>9</v>
      </c>
      <c r="H5046" s="362"/>
      <c r="I5046" s="362"/>
      <c r="J5046" s="362"/>
    </row>
    <row r="5047" spans="1:10" x14ac:dyDescent="0.25">
      <c r="A5047" s="362"/>
      <c r="B5047" s="611">
        <v>44414</v>
      </c>
      <c r="C5047" s="362" t="s">
        <v>3435</v>
      </c>
      <c r="D5047" s="562">
        <v>244169585</v>
      </c>
      <c r="E5047" s="562"/>
      <c r="F5047" s="562">
        <v>244169600</v>
      </c>
      <c r="G5047" s="562">
        <f t="shared" si="252"/>
        <v>-15</v>
      </c>
      <c r="H5047" s="362"/>
      <c r="I5047" s="362"/>
      <c r="J5047" s="362"/>
    </row>
    <row r="5048" spans="1:10" x14ac:dyDescent="0.25">
      <c r="A5048" s="362"/>
      <c r="B5048" s="611">
        <v>44414</v>
      </c>
      <c r="C5048" s="370" t="s">
        <v>85</v>
      </c>
      <c r="D5048" s="562">
        <v>18334100</v>
      </c>
      <c r="E5048" s="562"/>
      <c r="F5048" s="562">
        <v>18334100</v>
      </c>
      <c r="G5048" s="562">
        <f t="shared" si="252"/>
        <v>0</v>
      </c>
      <c r="H5048" s="362"/>
      <c r="I5048" s="362"/>
      <c r="J5048" s="362"/>
    </row>
    <row r="5049" spans="1:10" x14ac:dyDescent="0.25">
      <c r="A5049" s="532"/>
      <c r="B5049" s="532"/>
      <c r="C5049" s="532"/>
      <c r="D5049" s="564">
        <f>SUM(D5034:D5048)</f>
        <v>2144326440</v>
      </c>
      <c r="E5049" s="564">
        <f t="shared" ref="E5049:G5049" si="255">SUM(E5034:E5048)</f>
        <v>259577391</v>
      </c>
      <c r="F5049" s="564">
        <f t="shared" si="255"/>
        <v>2403762900</v>
      </c>
      <c r="G5049" s="564">
        <f t="shared" si="255"/>
        <v>140931</v>
      </c>
      <c r="H5049" s="532"/>
      <c r="I5049" s="532"/>
      <c r="J5049" s="532"/>
    </row>
    <row r="5050" spans="1:10" x14ac:dyDescent="0.25">
      <c r="A5050" s="362"/>
      <c r="B5050" s="611">
        <v>44415</v>
      </c>
      <c r="C5050" s="362" t="s">
        <v>86</v>
      </c>
      <c r="D5050" s="562">
        <v>74202771</v>
      </c>
      <c r="E5050" s="562">
        <v>11161560</v>
      </c>
      <c r="F5050" s="562">
        <v>85420500</v>
      </c>
      <c r="G5050" s="562">
        <f t="shared" si="252"/>
        <v>-56169</v>
      </c>
      <c r="H5050" s="362"/>
      <c r="I5050" s="362"/>
      <c r="J5050" s="362"/>
    </row>
    <row r="5051" spans="1:10" x14ac:dyDescent="0.25">
      <c r="A5051" s="362"/>
      <c r="B5051" s="611">
        <v>44415</v>
      </c>
      <c r="C5051" s="362" t="s">
        <v>87</v>
      </c>
      <c r="D5051" s="562">
        <v>73821219</v>
      </c>
      <c r="E5051" s="562">
        <v>59194196</v>
      </c>
      <c r="F5051" s="562">
        <f>105640300+27375200</f>
        <v>133015500</v>
      </c>
      <c r="G5051" s="562">
        <f t="shared" si="252"/>
        <v>-85</v>
      </c>
      <c r="H5051" s="362"/>
      <c r="I5051" s="362"/>
      <c r="J5051" s="362"/>
    </row>
    <row r="5052" spans="1:10" x14ac:dyDescent="0.25">
      <c r="A5052" s="362"/>
      <c r="B5052" s="611">
        <v>44415</v>
      </c>
      <c r="C5052" s="362" t="s">
        <v>88</v>
      </c>
      <c r="D5052" s="562">
        <v>283930044</v>
      </c>
      <c r="E5052" s="562">
        <v>19990496</v>
      </c>
      <c r="F5052" s="562">
        <v>303920600</v>
      </c>
      <c r="G5052" s="562">
        <f t="shared" si="252"/>
        <v>-60</v>
      </c>
      <c r="H5052" s="362"/>
      <c r="I5052" s="362"/>
      <c r="J5052" s="362"/>
    </row>
    <row r="5053" spans="1:10" x14ac:dyDescent="0.25">
      <c r="A5053" s="362"/>
      <c r="B5053" s="611">
        <v>44415</v>
      </c>
      <c r="C5053" s="362" t="s">
        <v>82</v>
      </c>
      <c r="D5053" s="562">
        <v>86636617</v>
      </c>
      <c r="E5053" s="562">
        <v>10853225</v>
      </c>
      <c r="F5053" s="562">
        <v>97489900</v>
      </c>
      <c r="G5053" s="562">
        <f t="shared" si="252"/>
        <v>-58</v>
      </c>
      <c r="H5053" s="362"/>
      <c r="I5053" s="362"/>
      <c r="J5053" s="362"/>
    </row>
    <row r="5054" spans="1:10" x14ac:dyDescent="0.25">
      <c r="A5054" s="362"/>
      <c r="B5054" s="611">
        <v>44415</v>
      </c>
      <c r="C5054" s="362" t="s">
        <v>80</v>
      </c>
      <c r="D5054" s="562">
        <v>245427214</v>
      </c>
      <c r="E5054" s="562">
        <v>46512000</v>
      </c>
      <c r="F5054" s="562">
        <v>291929400</v>
      </c>
      <c r="G5054" s="562">
        <f t="shared" si="252"/>
        <v>9814</v>
      </c>
      <c r="H5054" s="362"/>
      <c r="I5054" s="362"/>
      <c r="J5054" s="362"/>
    </row>
    <row r="5055" spans="1:10" x14ac:dyDescent="0.25">
      <c r="A5055" s="362"/>
      <c r="B5055" s="611">
        <v>44415</v>
      </c>
      <c r="C5055" s="362" t="s">
        <v>83</v>
      </c>
      <c r="D5055" s="562">
        <v>247409016</v>
      </c>
      <c r="E5055" s="562">
        <v>128197986</v>
      </c>
      <c r="F5055" s="562">
        <v>375607000</v>
      </c>
      <c r="G5055" s="562">
        <f t="shared" si="252"/>
        <v>2</v>
      </c>
      <c r="H5055" s="362"/>
      <c r="I5055" s="362"/>
      <c r="J5055" s="362"/>
    </row>
    <row r="5056" spans="1:10" x14ac:dyDescent="0.25">
      <c r="A5056" s="362"/>
      <c r="B5056" s="611">
        <v>44415</v>
      </c>
      <c r="C5056" s="362" t="s">
        <v>78</v>
      </c>
      <c r="D5056" s="562">
        <v>152417400</v>
      </c>
      <c r="E5056" s="562">
        <v>17569200</v>
      </c>
      <c r="F5056" s="562">
        <v>169986600</v>
      </c>
      <c r="G5056" s="562">
        <f t="shared" si="252"/>
        <v>0</v>
      </c>
      <c r="H5056" s="362"/>
      <c r="I5056" s="362"/>
      <c r="J5056" s="362"/>
    </row>
    <row r="5057" spans="1:10" x14ac:dyDescent="0.25">
      <c r="A5057" s="362"/>
      <c r="B5057" s="611">
        <v>44415</v>
      </c>
      <c r="C5057" s="362" t="s">
        <v>141</v>
      </c>
      <c r="D5057" s="562">
        <v>43174443</v>
      </c>
      <c r="E5057" s="562">
        <v>2720811</v>
      </c>
      <c r="F5057" s="562">
        <v>45895300</v>
      </c>
      <c r="G5057" s="562">
        <f t="shared" si="252"/>
        <v>-46</v>
      </c>
      <c r="H5057" s="362"/>
      <c r="I5057" s="362"/>
      <c r="J5057" s="362"/>
    </row>
    <row r="5058" spans="1:10" x14ac:dyDescent="0.25">
      <c r="A5058" s="362"/>
      <c r="B5058" s="611">
        <v>44415</v>
      </c>
      <c r="C5058" s="362" t="s">
        <v>89</v>
      </c>
      <c r="D5058" s="562">
        <v>71730460</v>
      </c>
      <c r="E5058" s="562">
        <v>24201540</v>
      </c>
      <c r="F5058" s="562">
        <v>95932000</v>
      </c>
      <c r="G5058" s="562">
        <f t="shared" si="252"/>
        <v>0</v>
      </c>
      <c r="H5058" s="362"/>
      <c r="I5058" s="362"/>
      <c r="J5058" s="362"/>
    </row>
    <row r="5059" spans="1:10" x14ac:dyDescent="0.25">
      <c r="A5059" s="362"/>
      <c r="B5059" s="611">
        <v>44415</v>
      </c>
      <c r="C5059" s="362" t="s">
        <v>81</v>
      </c>
      <c r="D5059" s="562">
        <v>104494470</v>
      </c>
      <c r="E5059" s="562">
        <v>20289195</v>
      </c>
      <c r="F5059" s="362">
        <f>53641400+71142300</f>
        <v>124783700</v>
      </c>
      <c r="G5059" s="562">
        <f t="shared" si="252"/>
        <v>-35</v>
      </c>
      <c r="H5059" s="362"/>
      <c r="I5059" s="362"/>
      <c r="J5059" s="362"/>
    </row>
    <row r="5060" spans="1:10" x14ac:dyDescent="0.25">
      <c r="A5060" s="362"/>
      <c r="B5060" s="611">
        <v>44415</v>
      </c>
      <c r="C5060" s="362" t="s">
        <v>84</v>
      </c>
      <c r="D5060" s="562">
        <v>193997521</v>
      </c>
      <c r="E5060" s="562">
        <v>36377107</v>
      </c>
      <c r="F5060" s="562">
        <v>230374600</v>
      </c>
      <c r="G5060" s="562">
        <f t="shared" si="252"/>
        <v>28</v>
      </c>
      <c r="H5060" s="362"/>
      <c r="I5060" s="362"/>
      <c r="J5060" s="362"/>
    </row>
    <row r="5061" spans="1:10" x14ac:dyDescent="0.25">
      <c r="A5061" s="362"/>
      <c r="B5061" s="611">
        <v>44415</v>
      </c>
      <c r="C5061" s="362" t="s">
        <v>4751</v>
      </c>
      <c r="D5061" s="562">
        <v>215416333</v>
      </c>
      <c r="E5061" s="562">
        <v>7065267</v>
      </c>
      <c r="F5061" s="562">
        <v>222481600</v>
      </c>
      <c r="G5061" s="562">
        <f t="shared" si="252"/>
        <v>0</v>
      </c>
      <c r="H5061" s="362"/>
      <c r="I5061" s="362"/>
      <c r="J5061" s="362"/>
    </row>
    <row r="5062" spans="1:10" x14ac:dyDescent="0.25">
      <c r="A5062" s="362"/>
      <c r="B5062" s="611">
        <v>44415</v>
      </c>
      <c r="C5062" s="362" t="s">
        <v>166</v>
      </c>
      <c r="D5062" s="562"/>
      <c r="E5062" s="562"/>
      <c r="F5062" s="562"/>
      <c r="G5062" s="562">
        <f t="shared" si="252"/>
        <v>0</v>
      </c>
      <c r="H5062" s="362"/>
      <c r="I5062" s="362"/>
      <c r="J5062" s="362"/>
    </row>
    <row r="5063" spans="1:10" x14ac:dyDescent="0.25">
      <c r="A5063" s="362"/>
      <c r="B5063" s="611">
        <v>44415</v>
      </c>
      <c r="C5063" s="362" t="s">
        <v>3435</v>
      </c>
      <c r="D5063" s="562"/>
      <c r="E5063" s="562"/>
      <c r="F5063" s="562"/>
      <c r="G5063" s="562">
        <f t="shared" si="252"/>
        <v>0</v>
      </c>
      <c r="H5063" s="362"/>
      <c r="I5063" s="362"/>
      <c r="J5063" s="362"/>
    </row>
    <row r="5064" spans="1:10" x14ac:dyDescent="0.25">
      <c r="A5064" s="362"/>
      <c r="B5064" s="611">
        <v>44415</v>
      </c>
      <c r="C5064" s="370" t="s">
        <v>85</v>
      </c>
      <c r="D5064" s="562">
        <v>28515700</v>
      </c>
      <c r="E5064" s="562"/>
      <c r="F5064" s="562">
        <v>28717200</v>
      </c>
      <c r="G5064" s="562">
        <f t="shared" si="252"/>
        <v>-201500</v>
      </c>
      <c r="H5064" s="362"/>
      <c r="I5064" s="362"/>
      <c r="J5064" s="362"/>
    </row>
    <row r="5065" spans="1:10" x14ac:dyDescent="0.25">
      <c r="A5065" s="532"/>
      <c r="B5065" s="532"/>
      <c r="C5065" s="532"/>
      <c r="D5065" s="564">
        <f>SUM(D5050:D5064)</f>
        <v>1821173208</v>
      </c>
      <c r="E5065" s="564">
        <f t="shared" ref="E5065:G5065" si="256">SUM(E5050:E5064)</f>
        <v>384132583</v>
      </c>
      <c r="F5065" s="564">
        <f t="shared" si="256"/>
        <v>2205553900</v>
      </c>
      <c r="G5065" s="564">
        <f t="shared" si="256"/>
        <v>-248109</v>
      </c>
      <c r="H5065" s="532"/>
      <c r="I5065" s="532"/>
      <c r="J5065" s="532"/>
    </row>
    <row r="5066" spans="1:10" x14ac:dyDescent="0.25">
      <c r="A5066" s="362"/>
      <c r="B5066" s="611">
        <v>44417</v>
      </c>
      <c r="C5066" s="362" t="s">
        <v>86</v>
      </c>
      <c r="D5066" s="562">
        <v>34139846</v>
      </c>
      <c r="E5066" s="562">
        <v>59923982</v>
      </c>
      <c r="F5066" s="562">
        <v>94063700</v>
      </c>
      <c r="G5066" s="562">
        <f t="shared" si="252"/>
        <v>128</v>
      </c>
      <c r="H5066" s="362"/>
      <c r="I5066" s="362"/>
      <c r="J5066" s="362"/>
    </row>
    <row r="5067" spans="1:10" x14ac:dyDescent="0.25">
      <c r="A5067" s="362"/>
      <c r="B5067" s="611">
        <v>44417</v>
      </c>
      <c r="C5067" s="362" t="s">
        <v>87</v>
      </c>
      <c r="D5067" s="562">
        <v>146762116</v>
      </c>
      <c r="E5067" s="562">
        <v>135112882</v>
      </c>
      <c r="F5067" s="562">
        <v>281875000</v>
      </c>
      <c r="G5067" s="562">
        <f t="shared" si="252"/>
        <v>-2</v>
      </c>
      <c r="H5067" s="362"/>
      <c r="I5067" s="362"/>
      <c r="J5067" s="362"/>
    </row>
    <row r="5068" spans="1:10" x14ac:dyDescent="0.25">
      <c r="A5068" s="362"/>
      <c r="B5068" s="611">
        <v>44417</v>
      </c>
      <c r="C5068" s="362" t="s">
        <v>88</v>
      </c>
      <c r="D5068" s="562">
        <v>196236691</v>
      </c>
      <c r="E5068" s="562">
        <v>126978044</v>
      </c>
      <c r="F5068" s="562">
        <v>323214800</v>
      </c>
      <c r="G5068" s="562">
        <f t="shared" ref="G5068:G5131" si="257">D5068+E5068-F5068</f>
        <v>-65</v>
      </c>
      <c r="H5068" s="362"/>
      <c r="I5068" s="362"/>
      <c r="J5068" s="362"/>
    </row>
    <row r="5069" spans="1:10" x14ac:dyDescent="0.25">
      <c r="A5069" s="362"/>
      <c r="B5069" s="611">
        <v>44417</v>
      </c>
      <c r="C5069" s="362" t="s">
        <v>82</v>
      </c>
      <c r="D5069" s="562">
        <v>42231372</v>
      </c>
      <c r="E5069" s="562">
        <v>3330832</v>
      </c>
      <c r="F5069" s="562">
        <v>45562300</v>
      </c>
      <c r="G5069" s="562">
        <f t="shared" si="257"/>
        <v>-96</v>
      </c>
      <c r="H5069" s="362"/>
      <c r="I5069" s="362"/>
      <c r="J5069" s="362"/>
    </row>
    <row r="5070" spans="1:10" x14ac:dyDescent="0.25">
      <c r="A5070" s="362"/>
      <c r="B5070" s="611">
        <v>44417</v>
      </c>
      <c r="C5070" s="362" t="s">
        <v>80</v>
      </c>
      <c r="D5070" s="562">
        <v>301021836</v>
      </c>
      <c r="E5070" s="562">
        <v>3725964</v>
      </c>
      <c r="F5070" s="562">
        <v>304747800</v>
      </c>
      <c r="G5070" s="562">
        <f t="shared" si="257"/>
        <v>0</v>
      </c>
      <c r="H5070" s="362"/>
      <c r="I5070" s="362"/>
      <c r="J5070" s="362"/>
    </row>
    <row r="5071" spans="1:10" x14ac:dyDescent="0.25">
      <c r="A5071" s="362"/>
      <c r="B5071" s="611">
        <v>44417</v>
      </c>
      <c r="C5071" s="362" t="s">
        <v>83</v>
      </c>
      <c r="D5071" s="562">
        <v>256539444</v>
      </c>
      <c r="E5071" s="562">
        <v>445679756</v>
      </c>
      <c r="F5071" s="562">
        <v>702219200</v>
      </c>
      <c r="G5071" s="562">
        <f t="shared" si="257"/>
        <v>0</v>
      </c>
      <c r="H5071" s="362"/>
      <c r="I5071" s="362"/>
      <c r="J5071" s="362"/>
    </row>
    <row r="5072" spans="1:10" x14ac:dyDescent="0.25">
      <c r="A5072" s="362"/>
      <c r="B5072" s="611">
        <v>44417</v>
      </c>
      <c r="C5072" s="362" t="s">
        <v>78</v>
      </c>
      <c r="D5072" s="562">
        <v>75039563</v>
      </c>
      <c r="E5072" s="562">
        <v>2063737</v>
      </c>
      <c r="F5072" s="562">
        <v>77103300</v>
      </c>
      <c r="G5072" s="562">
        <f t="shared" si="257"/>
        <v>0</v>
      </c>
      <c r="H5072" s="362"/>
      <c r="I5072" s="362"/>
      <c r="J5072" s="362"/>
    </row>
    <row r="5073" spans="1:10" x14ac:dyDescent="0.25">
      <c r="A5073" s="362"/>
      <c r="B5073" s="611">
        <v>44417</v>
      </c>
      <c r="C5073" s="362" t="s">
        <v>141</v>
      </c>
      <c r="D5073" s="562">
        <v>43148810</v>
      </c>
      <c r="E5073" s="562">
        <v>483615</v>
      </c>
      <c r="F5073" s="562">
        <v>43632300</v>
      </c>
      <c r="G5073" s="562">
        <f t="shared" si="257"/>
        <v>125</v>
      </c>
      <c r="H5073" s="362"/>
      <c r="I5073" s="362"/>
      <c r="J5073" s="362"/>
    </row>
    <row r="5074" spans="1:10" x14ac:dyDescent="0.25">
      <c r="A5074" s="362"/>
      <c r="B5074" s="611">
        <v>44417</v>
      </c>
      <c r="C5074" s="362" t="s">
        <v>89</v>
      </c>
      <c r="D5074" s="562">
        <v>133030099</v>
      </c>
      <c r="E5074" s="562">
        <v>64856001</v>
      </c>
      <c r="F5074" s="562">
        <v>197886100</v>
      </c>
      <c r="G5074" s="562">
        <f t="shared" si="257"/>
        <v>0</v>
      </c>
      <c r="H5074" s="362"/>
      <c r="I5074" s="362"/>
      <c r="J5074" s="362"/>
    </row>
    <row r="5075" spans="1:10" x14ac:dyDescent="0.25">
      <c r="A5075" s="362"/>
      <c r="B5075" s="611">
        <v>44417</v>
      </c>
      <c r="C5075" s="362" t="s">
        <v>81</v>
      </c>
      <c r="D5075" s="562">
        <v>132168833</v>
      </c>
      <c r="E5075" s="562">
        <v>32973966</v>
      </c>
      <c r="F5075" s="562">
        <v>165142800</v>
      </c>
      <c r="G5075" s="562">
        <f t="shared" si="257"/>
        <v>-1</v>
      </c>
      <c r="H5075" s="362"/>
      <c r="I5075" s="362"/>
      <c r="J5075" s="362"/>
    </row>
    <row r="5076" spans="1:10" x14ac:dyDescent="0.25">
      <c r="A5076" s="362"/>
      <c r="B5076" s="611">
        <v>44417</v>
      </c>
      <c r="C5076" s="362" t="s">
        <v>84</v>
      </c>
      <c r="D5076" s="562">
        <v>189593945</v>
      </c>
      <c r="E5076" s="562">
        <v>9368474</v>
      </c>
      <c r="F5076" s="562">
        <v>198962500</v>
      </c>
      <c r="G5076" s="562">
        <f t="shared" si="257"/>
        <v>-81</v>
      </c>
      <c r="H5076" s="362"/>
      <c r="I5076" s="362"/>
      <c r="J5076" s="362"/>
    </row>
    <row r="5077" spans="1:10" x14ac:dyDescent="0.25">
      <c r="A5077" s="362"/>
      <c r="B5077" s="611">
        <v>44417</v>
      </c>
      <c r="C5077" s="362" t="s">
        <v>4751</v>
      </c>
      <c r="D5077" s="562">
        <v>246938252</v>
      </c>
      <c r="E5077" s="562">
        <v>7578748</v>
      </c>
      <c r="F5077" s="562">
        <v>254517000</v>
      </c>
      <c r="G5077" s="562">
        <f t="shared" si="257"/>
        <v>0</v>
      </c>
      <c r="H5077" s="362"/>
      <c r="I5077" s="362"/>
      <c r="J5077" s="362"/>
    </row>
    <row r="5078" spans="1:10" x14ac:dyDescent="0.25">
      <c r="A5078" s="362"/>
      <c r="B5078" s="611">
        <v>44417</v>
      </c>
      <c r="C5078" s="362" t="s">
        <v>166</v>
      </c>
      <c r="D5078" s="562">
        <v>70476788</v>
      </c>
      <c r="E5078" s="562"/>
      <c r="F5078" s="562">
        <v>70476900</v>
      </c>
      <c r="G5078" s="562">
        <f t="shared" si="257"/>
        <v>-112</v>
      </c>
      <c r="H5078" s="362"/>
      <c r="I5078" s="362"/>
      <c r="J5078" s="362"/>
    </row>
    <row r="5079" spans="1:10" x14ac:dyDescent="0.25">
      <c r="A5079" s="362"/>
      <c r="B5079" s="611">
        <v>44417</v>
      </c>
      <c r="C5079" s="362" t="s">
        <v>3435</v>
      </c>
      <c r="D5079" s="562">
        <v>54346692</v>
      </c>
      <c r="E5079" s="562"/>
      <c r="F5079" s="562">
        <v>54346700</v>
      </c>
      <c r="G5079" s="562">
        <f t="shared" si="257"/>
        <v>-8</v>
      </c>
      <c r="H5079" s="362"/>
      <c r="I5079" s="362"/>
      <c r="J5079" s="362"/>
    </row>
    <row r="5080" spans="1:10" x14ac:dyDescent="0.25">
      <c r="A5080" s="362"/>
      <c r="B5080" s="611">
        <v>44417</v>
      </c>
      <c r="C5080" s="370" t="s">
        <v>85</v>
      </c>
      <c r="D5080" s="562">
        <v>43512300</v>
      </c>
      <c r="E5080" s="562"/>
      <c r="F5080" s="562">
        <v>43512300</v>
      </c>
      <c r="G5080" s="562">
        <f t="shared" si="257"/>
        <v>0</v>
      </c>
      <c r="H5080" s="362"/>
      <c r="I5080" s="362"/>
      <c r="J5080" s="362"/>
    </row>
    <row r="5081" spans="1:10" x14ac:dyDescent="0.25">
      <c r="A5081" s="532"/>
      <c r="B5081" s="532"/>
      <c r="C5081" s="532"/>
      <c r="D5081" s="564">
        <f>SUM(D5066:D5080)</f>
        <v>1965186587</v>
      </c>
      <c r="E5081" s="564">
        <f t="shared" ref="E5081:G5081" si="258">SUM(E5066:E5080)</f>
        <v>892076001</v>
      </c>
      <c r="F5081" s="564">
        <f t="shared" si="258"/>
        <v>2857262700</v>
      </c>
      <c r="G5081" s="564">
        <f t="shared" si="258"/>
        <v>-112</v>
      </c>
      <c r="H5081" s="532"/>
      <c r="I5081" s="532"/>
      <c r="J5081" s="532"/>
    </row>
    <row r="5082" spans="1:10" x14ac:dyDescent="0.25">
      <c r="A5082" s="362"/>
      <c r="B5082" s="611">
        <v>44418</v>
      </c>
      <c r="C5082" s="362" t="s">
        <v>86</v>
      </c>
      <c r="D5082" s="562">
        <v>79258861</v>
      </c>
      <c r="E5082" s="562">
        <v>132116804</v>
      </c>
      <c r="F5082" s="562">
        <v>211375700</v>
      </c>
      <c r="G5082" s="562">
        <f t="shared" si="257"/>
        <v>-35</v>
      </c>
      <c r="H5082" s="362"/>
      <c r="I5082" s="362"/>
      <c r="J5082" s="362"/>
    </row>
    <row r="5083" spans="1:10" x14ac:dyDescent="0.25">
      <c r="A5083" s="362"/>
      <c r="B5083" s="611">
        <v>44418</v>
      </c>
      <c r="C5083" s="362" t="s">
        <v>87</v>
      </c>
      <c r="D5083" s="562">
        <v>64851263</v>
      </c>
      <c r="E5083" s="562">
        <v>57943676</v>
      </c>
      <c r="F5083" s="562">
        <v>122795000</v>
      </c>
      <c r="G5083" s="562">
        <f t="shared" si="257"/>
        <v>-61</v>
      </c>
      <c r="H5083" s="362"/>
      <c r="I5083" s="362"/>
      <c r="J5083" s="362"/>
    </row>
    <row r="5084" spans="1:10" x14ac:dyDescent="0.25">
      <c r="A5084" s="362"/>
      <c r="B5084" s="611">
        <v>44418</v>
      </c>
      <c r="C5084" s="362" t="s">
        <v>88</v>
      </c>
      <c r="D5084" s="562">
        <v>178046963</v>
      </c>
      <c r="E5084" s="562">
        <v>38945850</v>
      </c>
      <c r="F5084" s="562">
        <v>216992900</v>
      </c>
      <c r="G5084" s="562">
        <f t="shared" si="257"/>
        <v>-87</v>
      </c>
      <c r="H5084" s="362"/>
      <c r="I5084" s="362"/>
      <c r="J5084" s="362"/>
    </row>
    <row r="5085" spans="1:10" x14ac:dyDescent="0.25">
      <c r="A5085" s="362"/>
      <c r="B5085" s="611">
        <v>44418</v>
      </c>
      <c r="C5085" s="362" t="s">
        <v>82</v>
      </c>
      <c r="D5085" s="562">
        <v>71296771</v>
      </c>
      <c r="E5085" s="562">
        <v>9122572</v>
      </c>
      <c r="F5085" s="562">
        <v>80419400</v>
      </c>
      <c r="G5085" s="562">
        <f t="shared" si="257"/>
        <v>-57</v>
      </c>
      <c r="H5085" s="362"/>
      <c r="I5085" s="362"/>
      <c r="J5085" s="362"/>
    </row>
    <row r="5086" spans="1:10" x14ac:dyDescent="0.25">
      <c r="A5086" s="362"/>
      <c r="B5086" s="611">
        <v>44418</v>
      </c>
      <c r="C5086" s="362" t="s">
        <v>80</v>
      </c>
      <c r="D5086" s="562">
        <v>289348930</v>
      </c>
      <c r="E5086" s="562"/>
      <c r="F5086" s="562">
        <v>289349000</v>
      </c>
      <c r="G5086" s="562">
        <f t="shared" si="257"/>
        <v>-70</v>
      </c>
      <c r="H5086" s="362"/>
      <c r="I5086" s="362"/>
      <c r="J5086" s="362"/>
    </row>
    <row r="5087" spans="1:10" x14ac:dyDescent="0.25">
      <c r="A5087" s="362"/>
      <c r="B5087" s="611">
        <v>44418</v>
      </c>
      <c r="C5087" s="362" t="s">
        <v>83</v>
      </c>
      <c r="D5087" s="562">
        <v>330573497</v>
      </c>
      <c r="E5087" s="562">
        <v>14186240</v>
      </c>
      <c r="F5087" s="562">
        <v>344759800</v>
      </c>
      <c r="G5087" s="562">
        <f t="shared" si="257"/>
        <v>-63</v>
      </c>
      <c r="H5087" s="362"/>
      <c r="I5087" s="362"/>
      <c r="J5087" s="362"/>
    </row>
    <row r="5088" spans="1:10" x14ac:dyDescent="0.25">
      <c r="A5088" s="362"/>
      <c r="B5088" s="611">
        <v>44418</v>
      </c>
      <c r="C5088" s="362" t="s">
        <v>78</v>
      </c>
      <c r="D5088" s="562">
        <v>76913706</v>
      </c>
      <c r="E5088" s="562">
        <v>463694</v>
      </c>
      <c r="F5088" s="562">
        <v>77377400</v>
      </c>
      <c r="G5088" s="562">
        <f t="shared" si="257"/>
        <v>0</v>
      </c>
      <c r="H5088" s="362"/>
      <c r="I5088" s="362"/>
      <c r="J5088" s="362"/>
    </row>
    <row r="5089" spans="1:10" x14ac:dyDescent="0.25">
      <c r="A5089" s="362"/>
      <c r="B5089" s="611">
        <v>44418</v>
      </c>
      <c r="C5089" s="362" t="s">
        <v>141</v>
      </c>
      <c r="D5089" s="562">
        <v>91690801</v>
      </c>
      <c r="E5089" s="562">
        <v>6968519</v>
      </c>
      <c r="F5089" s="562">
        <v>98659400</v>
      </c>
      <c r="G5089" s="562">
        <f t="shared" si="257"/>
        <v>-80</v>
      </c>
      <c r="H5089" s="362"/>
      <c r="I5089" s="362"/>
      <c r="J5089" s="362"/>
    </row>
    <row r="5090" spans="1:10" x14ac:dyDescent="0.25">
      <c r="A5090" s="362"/>
      <c r="B5090" s="611">
        <v>44418</v>
      </c>
      <c r="C5090" s="362" t="s">
        <v>89</v>
      </c>
      <c r="D5090" s="562">
        <v>165721627</v>
      </c>
      <c r="E5090" s="562">
        <v>12036773</v>
      </c>
      <c r="F5090" s="562">
        <v>177758400</v>
      </c>
      <c r="G5090" s="562">
        <f t="shared" si="257"/>
        <v>0</v>
      </c>
      <c r="H5090" s="362"/>
      <c r="I5090" s="362"/>
      <c r="J5090" s="362"/>
    </row>
    <row r="5091" spans="1:10" x14ac:dyDescent="0.25">
      <c r="A5091" s="362"/>
      <c r="B5091" s="611">
        <v>44418</v>
      </c>
      <c r="C5091" s="362" t="s">
        <v>81</v>
      </c>
      <c r="D5091" s="562">
        <v>105353645</v>
      </c>
      <c r="E5091" s="562">
        <v>50354233</v>
      </c>
      <c r="F5091" s="562">
        <v>155707900</v>
      </c>
      <c r="G5091" s="562">
        <f t="shared" si="257"/>
        <v>-22</v>
      </c>
      <c r="H5091" s="362"/>
      <c r="I5091" s="362"/>
      <c r="J5091" s="362"/>
    </row>
    <row r="5092" spans="1:10" x14ac:dyDescent="0.25">
      <c r="A5092" s="362"/>
      <c r="B5092" s="611">
        <v>44418</v>
      </c>
      <c r="C5092" s="362" t="s">
        <v>84</v>
      </c>
      <c r="D5092" s="562">
        <v>243785526</v>
      </c>
      <c r="E5092" s="562">
        <v>64201581</v>
      </c>
      <c r="F5092" s="562">
        <v>307987100</v>
      </c>
      <c r="G5092" s="562">
        <f t="shared" si="257"/>
        <v>7</v>
      </c>
      <c r="H5092" s="362"/>
      <c r="I5092" s="362"/>
      <c r="J5092" s="362"/>
    </row>
    <row r="5093" spans="1:10" x14ac:dyDescent="0.25">
      <c r="A5093" s="362"/>
      <c r="B5093" s="611">
        <v>44418</v>
      </c>
      <c r="C5093" s="362" t="s">
        <v>4751</v>
      </c>
      <c r="D5093" s="562">
        <v>225057449</v>
      </c>
      <c r="E5093" s="562">
        <v>6040951</v>
      </c>
      <c r="F5093" s="562">
        <v>231098400</v>
      </c>
      <c r="G5093" s="562">
        <f t="shared" si="257"/>
        <v>0</v>
      </c>
      <c r="H5093" s="362"/>
      <c r="I5093" s="362"/>
      <c r="J5093" s="362"/>
    </row>
    <row r="5094" spans="1:10" x14ac:dyDescent="0.25">
      <c r="A5094" s="362"/>
      <c r="B5094" s="611">
        <v>44418</v>
      </c>
      <c r="C5094" s="362" t="s">
        <v>166</v>
      </c>
      <c r="D5094" s="562">
        <v>74761636</v>
      </c>
      <c r="E5094" s="562"/>
      <c r="F5094" s="562">
        <v>74762000</v>
      </c>
      <c r="G5094" s="562">
        <f t="shared" si="257"/>
        <v>-364</v>
      </c>
      <c r="H5094" s="362"/>
      <c r="I5094" s="362"/>
      <c r="J5094" s="362"/>
    </row>
    <row r="5095" spans="1:10" x14ac:dyDescent="0.25">
      <c r="A5095" s="362"/>
      <c r="B5095" s="611">
        <v>44418</v>
      </c>
      <c r="C5095" s="362" t="s">
        <v>3435</v>
      </c>
      <c r="D5095" s="562">
        <v>31989286</v>
      </c>
      <c r="E5095" s="562"/>
      <c r="F5095" s="562">
        <v>31989300</v>
      </c>
      <c r="G5095" s="562">
        <f t="shared" si="257"/>
        <v>-14</v>
      </c>
      <c r="H5095" s="362"/>
      <c r="I5095" s="362"/>
      <c r="J5095" s="362"/>
    </row>
    <row r="5096" spans="1:10" x14ac:dyDescent="0.25">
      <c r="A5096" s="362"/>
      <c r="B5096" s="611">
        <v>44418</v>
      </c>
      <c r="C5096" s="370" t="s">
        <v>85</v>
      </c>
      <c r="D5096" s="562">
        <v>33084700</v>
      </c>
      <c r="E5096" s="562"/>
      <c r="F5096" s="562">
        <v>33084700</v>
      </c>
      <c r="G5096" s="562">
        <f t="shared" si="257"/>
        <v>0</v>
      </c>
      <c r="H5096" s="362"/>
      <c r="I5096" s="362"/>
      <c r="J5096" s="362"/>
    </row>
    <row r="5097" spans="1:10" x14ac:dyDescent="0.25">
      <c r="A5097" s="532"/>
      <c r="B5097" s="532"/>
      <c r="C5097" s="532"/>
      <c r="D5097" s="564">
        <f>SUM(D5082:D5096)</f>
        <v>2061734661</v>
      </c>
      <c r="E5097" s="564">
        <f t="shared" ref="E5097:G5097" si="259">SUM(E5082:E5096)</f>
        <v>392380893</v>
      </c>
      <c r="F5097" s="564">
        <f t="shared" si="259"/>
        <v>2454116400</v>
      </c>
      <c r="G5097" s="564">
        <f t="shared" si="259"/>
        <v>-846</v>
      </c>
      <c r="H5097" s="532"/>
      <c r="I5097" s="532"/>
      <c r="J5097" s="532"/>
    </row>
    <row r="5098" spans="1:10" x14ac:dyDescent="0.25">
      <c r="A5098" s="362"/>
      <c r="B5098" s="611">
        <v>44419</v>
      </c>
      <c r="C5098" s="362" t="s">
        <v>86</v>
      </c>
      <c r="D5098" s="562">
        <v>81197068</v>
      </c>
      <c r="E5098" s="562">
        <v>16758388</v>
      </c>
      <c r="F5098" s="562">
        <v>97955400</v>
      </c>
      <c r="G5098" s="562">
        <f t="shared" si="257"/>
        <v>56</v>
      </c>
      <c r="H5098" s="362"/>
      <c r="I5098" s="362"/>
      <c r="J5098" s="362"/>
    </row>
    <row r="5099" spans="1:10" x14ac:dyDescent="0.25">
      <c r="A5099" s="362"/>
      <c r="B5099" s="611">
        <v>44419</v>
      </c>
      <c r="C5099" s="362" t="s">
        <v>87</v>
      </c>
      <c r="D5099" s="562">
        <v>199594904</v>
      </c>
      <c r="E5099" s="562">
        <v>109281838</v>
      </c>
      <c r="F5099" s="562">
        <v>308876600</v>
      </c>
      <c r="G5099" s="562">
        <f t="shared" si="257"/>
        <v>142</v>
      </c>
      <c r="H5099" s="362"/>
      <c r="I5099" s="362"/>
      <c r="J5099" s="362"/>
    </row>
    <row r="5100" spans="1:10" x14ac:dyDescent="0.25">
      <c r="A5100" s="362"/>
      <c r="B5100" s="611">
        <v>44419</v>
      </c>
      <c r="C5100" s="362" t="s">
        <v>88</v>
      </c>
      <c r="D5100" s="562">
        <v>333412976</v>
      </c>
      <c r="E5100" s="562">
        <v>2298937</v>
      </c>
      <c r="F5100" s="562">
        <v>335712000</v>
      </c>
      <c r="G5100" s="562">
        <f t="shared" si="257"/>
        <v>-87</v>
      </c>
      <c r="H5100" s="362"/>
      <c r="I5100" s="362"/>
      <c r="J5100" s="362"/>
    </row>
    <row r="5101" spans="1:10" x14ac:dyDescent="0.25">
      <c r="A5101" s="362"/>
      <c r="B5101" s="611">
        <v>44419</v>
      </c>
      <c r="C5101" s="362" t="s">
        <v>82</v>
      </c>
      <c r="D5101" s="562">
        <v>97967770</v>
      </c>
      <c r="E5101" s="562">
        <v>460698</v>
      </c>
      <c r="F5101" s="562">
        <v>98428500</v>
      </c>
      <c r="G5101" s="562">
        <f t="shared" si="257"/>
        <v>-32</v>
      </c>
      <c r="H5101" s="362"/>
      <c r="I5101" s="362"/>
      <c r="J5101" s="362"/>
    </row>
    <row r="5102" spans="1:10" x14ac:dyDescent="0.25">
      <c r="A5102" s="362"/>
      <c r="B5102" s="611">
        <v>44419</v>
      </c>
      <c r="C5102" s="362" t="s">
        <v>80</v>
      </c>
      <c r="D5102" s="562">
        <v>291356287</v>
      </c>
      <c r="E5102" s="562"/>
      <c r="F5102" s="562">
        <v>291351300</v>
      </c>
      <c r="G5102" s="562">
        <f t="shared" si="257"/>
        <v>4987</v>
      </c>
      <c r="H5102" s="362"/>
      <c r="I5102" s="362"/>
      <c r="J5102" s="362"/>
    </row>
    <row r="5103" spans="1:10" x14ac:dyDescent="0.25">
      <c r="A5103" s="362"/>
      <c r="B5103" s="611">
        <v>44419</v>
      </c>
      <c r="C5103" s="362" t="s">
        <v>83</v>
      </c>
      <c r="D5103" s="562">
        <v>195926181</v>
      </c>
      <c r="E5103" s="562">
        <v>10754773</v>
      </c>
      <c r="F5103" s="562">
        <v>206681000</v>
      </c>
      <c r="G5103" s="562">
        <f t="shared" si="257"/>
        <v>-46</v>
      </c>
      <c r="H5103" s="362"/>
      <c r="I5103" s="362"/>
      <c r="J5103" s="362"/>
    </row>
    <row r="5104" spans="1:10" x14ac:dyDescent="0.25">
      <c r="A5104" s="362"/>
      <c r="B5104" s="611">
        <v>44419</v>
      </c>
      <c r="C5104" s="362" t="s">
        <v>78</v>
      </c>
      <c r="D5104" s="562">
        <v>115795196</v>
      </c>
      <c r="E5104" s="562">
        <v>2182604</v>
      </c>
      <c r="F5104" s="562">
        <v>117977800</v>
      </c>
      <c r="G5104" s="562">
        <f t="shared" si="257"/>
        <v>0</v>
      </c>
      <c r="H5104" s="362"/>
      <c r="I5104" s="362"/>
      <c r="J5104" s="362"/>
    </row>
    <row r="5105" spans="1:10" x14ac:dyDescent="0.25">
      <c r="A5105" s="362"/>
      <c r="B5105" s="611">
        <v>44419</v>
      </c>
      <c r="C5105" s="362" t="s">
        <v>141</v>
      </c>
      <c r="D5105" s="562">
        <v>85580800</v>
      </c>
      <c r="E5105" s="562"/>
      <c r="F5105" s="562">
        <v>85580800</v>
      </c>
      <c r="G5105" s="562">
        <f t="shared" si="257"/>
        <v>0</v>
      </c>
      <c r="H5105" s="362"/>
      <c r="I5105" s="362"/>
      <c r="J5105" s="362"/>
    </row>
    <row r="5106" spans="1:10" x14ac:dyDescent="0.25">
      <c r="A5106" s="362"/>
      <c r="B5106" s="611">
        <v>44419</v>
      </c>
      <c r="C5106" s="362" t="s">
        <v>89</v>
      </c>
      <c r="D5106" s="562">
        <v>143880979</v>
      </c>
      <c r="E5106" s="562">
        <v>49599621</v>
      </c>
      <c r="F5106" s="562">
        <v>193480600</v>
      </c>
      <c r="G5106" s="562">
        <f t="shared" si="257"/>
        <v>0</v>
      </c>
      <c r="H5106" s="362"/>
      <c r="I5106" s="362"/>
      <c r="J5106" s="362"/>
    </row>
    <row r="5107" spans="1:10" x14ac:dyDescent="0.25">
      <c r="A5107" s="362"/>
      <c r="B5107" s="611">
        <v>44419</v>
      </c>
      <c r="C5107" s="362" t="s">
        <v>81</v>
      </c>
      <c r="D5107" s="562">
        <v>129238329</v>
      </c>
      <c r="E5107" s="562">
        <v>40151814</v>
      </c>
      <c r="F5107" s="562">
        <v>169390200</v>
      </c>
      <c r="G5107" s="562">
        <f t="shared" si="257"/>
        <v>-57</v>
      </c>
      <c r="H5107" s="362"/>
      <c r="I5107" s="362"/>
      <c r="J5107" s="362"/>
    </row>
    <row r="5108" spans="1:10" x14ac:dyDescent="0.25">
      <c r="A5108" s="362"/>
      <c r="B5108" s="611">
        <v>44419</v>
      </c>
      <c r="C5108" s="362" t="s">
        <v>84</v>
      </c>
      <c r="D5108" s="562">
        <v>332128825</v>
      </c>
      <c r="E5108" s="562">
        <v>7248202</v>
      </c>
      <c r="F5108" s="562">
        <v>339377000</v>
      </c>
      <c r="G5108" s="562">
        <f t="shared" si="257"/>
        <v>27</v>
      </c>
      <c r="H5108" s="362"/>
      <c r="I5108" s="362"/>
      <c r="J5108" s="362"/>
    </row>
    <row r="5109" spans="1:10" x14ac:dyDescent="0.25">
      <c r="A5109" s="362"/>
      <c r="B5109" s="611">
        <v>44419</v>
      </c>
      <c r="C5109" s="362" t="s">
        <v>4751</v>
      </c>
      <c r="D5109" s="562">
        <v>203901655</v>
      </c>
      <c r="E5109" s="562">
        <v>5947245</v>
      </c>
      <c r="F5109" s="562">
        <v>209848900</v>
      </c>
      <c r="G5109" s="562">
        <f t="shared" si="257"/>
        <v>0</v>
      </c>
      <c r="H5109" s="362"/>
      <c r="I5109" s="362"/>
      <c r="J5109" s="362"/>
    </row>
    <row r="5110" spans="1:10" x14ac:dyDescent="0.25">
      <c r="A5110" s="362"/>
      <c r="B5110" s="611">
        <v>44419</v>
      </c>
      <c r="C5110" s="362" t="s">
        <v>166</v>
      </c>
      <c r="D5110" s="562">
        <v>66221974</v>
      </c>
      <c r="E5110" s="562"/>
      <c r="F5110" s="562">
        <v>66222000</v>
      </c>
      <c r="G5110" s="562">
        <f t="shared" si="257"/>
        <v>-26</v>
      </c>
      <c r="H5110" s="362"/>
      <c r="I5110" s="362"/>
      <c r="J5110" s="362"/>
    </row>
    <row r="5111" spans="1:10" x14ac:dyDescent="0.25">
      <c r="A5111" s="362"/>
      <c r="B5111" s="611">
        <v>44419</v>
      </c>
      <c r="C5111" s="362" t="s">
        <v>3435</v>
      </c>
      <c r="D5111" s="562">
        <v>249031265</v>
      </c>
      <c r="E5111" s="562"/>
      <c r="F5111" s="562">
        <v>249031300</v>
      </c>
      <c r="G5111" s="562">
        <f t="shared" si="257"/>
        <v>-35</v>
      </c>
      <c r="H5111" s="362"/>
      <c r="I5111" s="362"/>
      <c r="J5111" s="362"/>
    </row>
    <row r="5112" spans="1:10" x14ac:dyDescent="0.25">
      <c r="A5112" s="362"/>
      <c r="B5112" s="611">
        <v>44419</v>
      </c>
      <c r="C5112" s="370" t="s">
        <v>85</v>
      </c>
      <c r="D5112" s="562">
        <v>43260300</v>
      </c>
      <c r="E5112" s="562"/>
      <c r="F5112" s="562">
        <v>43260300</v>
      </c>
      <c r="G5112" s="562">
        <f t="shared" si="257"/>
        <v>0</v>
      </c>
      <c r="H5112" s="362"/>
      <c r="I5112" s="362"/>
      <c r="J5112" s="362"/>
    </row>
    <row r="5113" spans="1:10" x14ac:dyDescent="0.25">
      <c r="A5113" s="532"/>
      <c r="B5113" s="532"/>
      <c r="C5113" s="532"/>
      <c r="D5113" s="564">
        <f>SUM(D5098:D5112)</f>
        <v>2568494509</v>
      </c>
      <c r="E5113" s="564">
        <f t="shared" ref="E5113:G5113" si="260">SUM(E5098:E5112)</f>
        <v>244684120</v>
      </c>
      <c r="F5113" s="564">
        <f t="shared" si="260"/>
        <v>2813173700</v>
      </c>
      <c r="G5113" s="564">
        <f t="shared" si="260"/>
        <v>4929</v>
      </c>
      <c r="H5113" s="532"/>
      <c r="I5113" s="532"/>
      <c r="J5113" s="532"/>
    </row>
    <row r="5114" spans="1:10" x14ac:dyDescent="0.25">
      <c r="A5114" s="362"/>
      <c r="B5114" s="611">
        <v>44420</v>
      </c>
      <c r="C5114" s="362" t="s">
        <v>86</v>
      </c>
      <c r="D5114" s="562">
        <v>72776856</v>
      </c>
      <c r="E5114" s="562">
        <v>71114830</v>
      </c>
      <c r="F5114" s="562">
        <v>143891500</v>
      </c>
      <c r="G5114" s="562">
        <f t="shared" si="257"/>
        <v>186</v>
      </c>
      <c r="H5114" s="362"/>
      <c r="I5114" s="362"/>
      <c r="J5114" s="362"/>
    </row>
    <row r="5115" spans="1:10" x14ac:dyDescent="0.25">
      <c r="A5115" s="362"/>
      <c r="B5115" s="611">
        <v>44420</v>
      </c>
      <c r="C5115" s="362" t="s">
        <v>87</v>
      </c>
      <c r="D5115" s="562">
        <v>78136931</v>
      </c>
      <c r="E5115" s="562">
        <v>141882696</v>
      </c>
      <c r="F5115" s="562">
        <v>220019700</v>
      </c>
      <c r="G5115" s="562">
        <f t="shared" si="257"/>
        <v>-73</v>
      </c>
      <c r="H5115" s="362"/>
      <c r="I5115" s="362"/>
      <c r="J5115" s="362"/>
    </row>
    <row r="5116" spans="1:10" x14ac:dyDescent="0.25">
      <c r="A5116" s="362"/>
      <c r="B5116" s="611">
        <v>44420</v>
      </c>
      <c r="C5116" s="362" t="s">
        <v>88</v>
      </c>
      <c r="D5116" s="562">
        <v>195146095</v>
      </c>
      <c r="E5116" s="562">
        <v>2480811</v>
      </c>
      <c r="F5116" s="562">
        <v>197627000</v>
      </c>
      <c r="G5116" s="562">
        <f t="shared" si="257"/>
        <v>-94</v>
      </c>
      <c r="H5116" s="362"/>
      <c r="I5116" s="362"/>
      <c r="J5116" s="362"/>
    </row>
    <row r="5117" spans="1:10" x14ac:dyDescent="0.25">
      <c r="A5117" s="362"/>
      <c r="B5117" s="611">
        <v>44420</v>
      </c>
      <c r="C5117" s="362" t="s">
        <v>82</v>
      </c>
      <c r="D5117" s="562">
        <v>249973805</v>
      </c>
      <c r="E5117" s="562">
        <v>10640600</v>
      </c>
      <c r="F5117" s="562">
        <v>260614500</v>
      </c>
      <c r="G5117" s="562">
        <f t="shared" si="257"/>
        <v>-95</v>
      </c>
      <c r="H5117" s="362"/>
      <c r="I5117" s="362"/>
      <c r="J5117" s="362"/>
    </row>
    <row r="5118" spans="1:10" x14ac:dyDescent="0.25">
      <c r="A5118" s="362"/>
      <c r="B5118" s="611">
        <v>44420</v>
      </c>
      <c r="C5118" s="362" t="s">
        <v>80</v>
      </c>
      <c r="D5118" s="562">
        <v>328437500</v>
      </c>
      <c r="E5118" s="562"/>
      <c r="F5118" s="562">
        <v>328437500</v>
      </c>
      <c r="G5118" s="562">
        <f t="shared" si="257"/>
        <v>0</v>
      </c>
      <c r="H5118" s="362"/>
      <c r="I5118" s="362"/>
      <c r="J5118" s="362"/>
    </row>
    <row r="5119" spans="1:10" x14ac:dyDescent="0.25">
      <c r="A5119" s="362"/>
      <c r="B5119" s="611">
        <v>44420</v>
      </c>
      <c r="C5119" s="362" t="s">
        <v>83</v>
      </c>
      <c r="D5119" s="562">
        <v>300831363</v>
      </c>
      <c r="E5119" s="562">
        <v>14631245</v>
      </c>
      <c r="F5119" s="562">
        <v>315462600</v>
      </c>
      <c r="G5119" s="562">
        <f t="shared" si="257"/>
        <v>8</v>
      </c>
      <c r="H5119" s="362"/>
      <c r="I5119" s="362"/>
      <c r="J5119" s="362"/>
    </row>
    <row r="5120" spans="1:10" x14ac:dyDescent="0.25">
      <c r="A5120" s="362"/>
      <c r="B5120" s="611">
        <v>44420</v>
      </c>
      <c r="C5120" s="362" t="s">
        <v>78</v>
      </c>
      <c r="D5120" s="562">
        <v>240720822</v>
      </c>
      <c r="E5120" s="562">
        <v>3033678</v>
      </c>
      <c r="F5120" s="562">
        <v>243754500</v>
      </c>
      <c r="G5120" s="562">
        <f t="shared" si="257"/>
        <v>0</v>
      </c>
      <c r="H5120" s="362"/>
      <c r="I5120" s="362"/>
      <c r="J5120" s="362"/>
    </row>
    <row r="5121" spans="1:10" x14ac:dyDescent="0.25">
      <c r="A5121" s="362"/>
      <c r="B5121" s="611">
        <v>44420</v>
      </c>
      <c r="C5121" s="362" t="s">
        <v>141</v>
      </c>
      <c r="D5121" s="562">
        <v>78549772</v>
      </c>
      <c r="E5121" s="562">
        <v>2411184</v>
      </c>
      <c r="F5121" s="562">
        <v>80961000</v>
      </c>
      <c r="G5121" s="562">
        <f t="shared" si="257"/>
        <v>-44</v>
      </c>
      <c r="H5121" s="362"/>
      <c r="I5121" s="362"/>
      <c r="J5121" s="362"/>
    </row>
    <row r="5122" spans="1:10" x14ac:dyDescent="0.25">
      <c r="A5122" s="362"/>
      <c r="B5122" s="611">
        <v>44420</v>
      </c>
      <c r="C5122" s="362" t="s">
        <v>89</v>
      </c>
      <c r="D5122" s="562">
        <v>199555276</v>
      </c>
      <c r="E5122" s="562">
        <v>16310924</v>
      </c>
      <c r="F5122" s="562">
        <v>215866200</v>
      </c>
      <c r="G5122" s="562">
        <f t="shared" si="257"/>
        <v>0</v>
      </c>
      <c r="H5122" s="362"/>
      <c r="I5122" s="362"/>
      <c r="J5122" s="362"/>
    </row>
    <row r="5123" spans="1:10" x14ac:dyDescent="0.25">
      <c r="A5123" s="362"/>
      <c r="B5123" s="611">
        <v>44420</v>
      </c>
      <c r="C5123" s="362" t="s">
        <v>81</v>
      </c>
      <c r="D5123" s="562">
        <v>85831005</v>
      </c>
      <c r="E5123" s="562">
        <v>26911046</v>
      </c>
      <c r="F5123" s="562">
        <v>112742100</v>
      </c>
      <c r="G5123" s="562">
        <f t="shared" si="257"/>
        <v>-49</v>
      </c>
      <c r="H5123" s="362"/>
      <c r="I5123" s="362"/>
      <c r="J5123" s="362"/>
    </row>
    <row r="5124" spans="1:10" x14ac:dyDescent="0.25">
      <c r="A5124" s="362"/>
      <c r="B5124" s="611">
        <v>44420</v>
      </c>
      <c r="C5124" s="362" t="s">
        <v>84</v>
      </c>
      <c r="D5124" s="562">
        <v>264750118</v>
      </c>
      <c r="E5124" s="562">
        <v>10982738</v>
      </c>
      <c r="F5124" s="562">
        <v>275733000</v>
      </c>
      <c r="G5124" s="562">
        <f t="shared" si="257"/>
        <v>-144</v>
      </c>
      <c r="H5124" s="362"/>
      <c r="I5124" s="362"/>
      <c r="J5124" s="362"/>
    </row>
    <row r="5125" spans="1:10" x14ac:dyDescent="0.25">
      <c r="A5125" s="362"/>
      <c r="B5125" s="611">
        <v>44420</v>
      </c>
      <c r="C5125" s="362" t="s">
        <v>4751</v>
      </c>
      <c r="D5125" s="562">
        <v>283277316</v>
      </c>
      <c r="E5125" s="562">
        <v>18257784</v>
      </c>
      <c r="F5125" s="562">
        <v>301535100</v>
      </c>
      <c r="G5125" s="562">
        <f t="shared" si="257"/>
        <v>0</v>
      </c>
      <c r="H5125" s="362"/>
      <c r="I5125" s="362"/>
      <c r="J5125" s="362"/>
    </row>
    <row r="5126" spans="1:10" x14ac:dyDescent="0.25">
      <c r="A5126" s="362"/>
      <c r="B5126" s="611">
        <v>44420</v>
      </c>
      <c r="C5126" s="362" t="s">
        <v>166</v>
      </c>
      <c r="D5126" s="562">
        <v>76900886</v>
      </c>
      <c r="E5126" s="562"/>
      <c r="F5126" s="562">
        <v>76900900</v>
      </c>
      <c r="G5126" s="562">
        <f t="shared" si="257"/>
        <v>-14</v>
      </c>
      <c r="H5126" s="362"/>
      <c r="I5126" s="362"/>
      <c r="J5126" s="362"/>
    </row>
    <row r="5127" spans="1:10" x14ac:dyDescent="0.25">
      <c r="A5127" s="362"/>
      <c r="B5127" s="611">
        <v>44420</v>
      </c>
      <c r="C5127" s="362" t="s">
        <v>3435</v>
      </c>
      <c r="D5127" s="562">
        <v>90637145</v>
      </c>
      <c r="E5127" s="562"/>
      <c r="F5127" s="562">
        <v>90637200</v>
      </c>
      <c r="G5127" s="562">
        <f t="shared" si="257"/>
        <v>-55</v>
      </c>
      <c r="H5127" s="362"/>
      <c r="I5127" s="362"/>
      <c r="J5127" s="362"/>
    </row>
    <row r="5128" spans="1:10" x14ac:dyDescent="0.25">
      <c r="A5128" s="362"/>
      <c r="B5128" s="611">
        <v>44420</v>
      </c>
      <c r="C5128" s="370" t="s">
        <v>85</v>
      </c>
      <c r="D5128" s="562">
        <v>30290500</v>
      </c>
      <c r="E5128" s="562"/>
      <c r="F5128" s="562">
        <v>30290500</v>
      </c>
      <c r="G5128" s="562">
        <f t="shared" si="257"/>
        <v>0</v>
      </c>
      <c r="H5128" s="362"/>
      <c r="I5128" s="362"/>
      <c r="J5128" s="362"/>
    </row>
    <row r="5129" spans="1:10" x14ac:dyDescent="0.25">
      <c r="A5129" s="532"/>
      <c r="B5129" s="532"/>
      <c r="C5129" s="532"/>
      <c r="D5129" s="564">
        <f>SUM(D5114:D5128)</f>
        <v>2575815390</v>
      </c>
      <c r="E5129" s="564">
        <f t="shared" ref="E5129:G5129" si="261">SUM(E5114:E5128)</f>
        <v>318657536</v>
      </c>
      <c r="F5129" s="564">
        <f t="shared" si="261"/>
        <v>2894473300</v>
      </c>
      <c r="G5129" s="564">
        <f t="shared" si="261"/>
        <v>-374</v>
      </c>
      <c r="H5129" s="532"/>
      <c r="I5129" s="532"/>
      <c r="J5129" s="532"/>
    </row>
    <row r="5130" spans="1:10" x14ac:dyDescent="0.25">
      <c r="A5130" s="362"/>
      <c r="B5130" s="611">
        <v>44421</v>
      </c>
      <c r="C5130" s="362" t="s">
        <v>86</v>
      </c>
      <c r="D5130" s="562">
        <v>49371536</v>
      </c>
      <c r="E5130" s="562">
        <v>51122274</v>
      </c>
      <c r="F5130" s="562">
        <v>100493800</v>
      </c>
      <c r="G5130" s="562">
        <f t="shared" si="257"/>
        <v>10</v>
      </c>
      <c r="H5130" s="362"/>
      <c r="I5130" s="362"/>
      <c r="J5130" s="362"/>
    </row>
    <row r="5131" spans="1:10" x14ac:dyDescent="0.25">
      <c r="A5131" s="362"/>
      <c r="B5131" s="611">
        <v>44421</v>
      </c>
      <c r="C5131" s="362" t="s">
        <v>87</v>
      </c>
      <c r="D5131" s="562">
        <v>130049847</v>
      </c>
      <c r="E5131" s="562">
        <v>177864377</v>
      </c>
      <c r="F5131" s="562">
        <v>307914300</v>
      </c>
      <c r="G5131" s="562">
        <f t="shared" si="257"/>
        <v>-76</v>
      </c>
      <c r="H5131" s="362"/>
      <c r="I5131" s="362"/>
      <c r="J5131" s="362"/>
    </row>
    <row r="5132" spans="1:10" x14ac:dyDescent="0.25">
      <c r="A5132" s="362"/>
      <c r="B5132" s="611">
        <v>44421</v>
      </c>
      <c r="C5132" s="362" t="s">
        <v>88</v>
      </c>
      <c r="D5132" s="562">
        <v>201188986</v>
      </c>
      <c r="E5132" s="562">
        <v>94318586</v>
      </c>
      <c r="F5132" s="562">
        <v>295507600</v>
      </c>
      <c r="G5132" s="562">
        <f t="shared" ref="G5132:G5194" si="262">D5132+E5132-F5132</f>
        <v>-28</v>
      </c>
      <c r="H5132" s="362"/>
      <c r="I5132" s="362"/>
      <c r="J5132" s="362"/>
    </row>
    <row r="5133" spans="1:10" x14ac:dyDescent="0.25">
      <c r="A5133" s="362"/>
      <c r="B5133" s="611">
        <v>44421</v>
      </c>
      <c r="C5133" s="362" t="s">
        <v>82</v>
      </c>
      <c r="D5133" s="562">
        <v>79088161</v>
      </c>
      <c r="E5133" s="562">
        <v>6783020</v>
      </c>
      <c r="F5133" s="562">
        <v>85871200</v>
      </c>
      <c r="G5133" s="562">
        <f t="shared" si="262"/>
        <v>-19</v>
      </c>
      <c r="H5133" s="362"/>
      <c r="I5133" s="362"/>
      <c r="J5133" s="362"/>
    </row>
    <row r="5134" spans="1:10" x14ac:dyDescent="0.25">
      <c r="A5134" s="362"/>
      <c r="B5134" s="611">
        <v>44421</v>
      </c>
      <c r="C5134" s="362" t="s">
        <v>80</v>
      </c>
      <c r="D5134" s="562">
        <v>266963338</v>
      </c>
      <c r="E5134" s="562"/>
      <c r="F5134" s="562">
        <v>266958200</v>
      </c>
      <c r="G5134" s="562">
        <f t="shared" si="262"/>
        <v>5138</v>
      </c>
      <c r="H5134" s="362"/>
      <c r="I5134" s="362"/>
      <c r="J5134" s="362"/>
    </row>
    <row r="5135" spans="1:10" x14ac:dyDescent="0.25">
      <c r="A5135" s="362"/>
      <c r="B5135" s="611">
        <v>44421</v>
      </c>
      <c r="C5135" s="362" t="s">
        <v>83</v>
      </c>
      <c r="D5135" s="562">
        <v>221960149</v>
      </c>
      <c r="E5135" s="562">
        <v>38186418</v>
      </c>
      <c r="F5135" s="562">
        <v>260146600</v>
      </c>
      <c r="G5135" s="562">
        <f t="shared" si="262"/>
        <v>-33</v>
      </c>
      <c r="H5135" s="362"/>
      <c r="I5135" s="362"/>
      <c r="J5135" s="362"/>
    </row>
    <row r="5136" spans="1:10" x14ac:dyDescent="0.25">
      <c r="A5136" s="362"/>
      <c r="B5136" s="611">
        <v>44421</v>
      </c>
      <c r="C5136" s="362" t="s">
        <v>78</v>
      </c>
      <c r="D5136" s="562">
        <v>80890742</v>
      </c>
      <c r="E5136" s="562">
        <v>5493458</v>
      </c>
      <c r="F5136" s="562">
        <v>86384200</v>
      </c>
      <c r="G5136" s="562">
        <f t="shared" si="262"/>
        <v>0</v>
      </c>
      <c r="H5136" s="362"/>
      <c r="I5136" s="362"/>
      <c r="J5136" s="362"/>
    </row>
    <row r="5137" spans="1:10" x14ac:dyDescent="0.25">
      <c r="A5137" s="362"/>
      <c r="B5137" s="611">
        <v>44421</v>
      </c>
      <c r="C5137" s="362" t="s">
        <v>141</v>
      </c>
      <c r="D5137" s="562">
        <v>43557272</v>
      </c>
      <c r="E5137" s="562">
        <v>12297444</v>
      </c>
      <c r="F5137" s="562">
        <v>55854800</v>
      </c>
      <c r="G5137" s="562">
        <f t="shared" si="262"/>
        <v>-84</v>
      </c>
      <c r="H5137" s="362"/>
      <c r="I5137" s="362"/>
      <c r="J5137" s="362"/>
    </row>
    <row r="5138" spans="1:10" x14ac:dyDescent="0.25">
      <c r="A5138" s="362"/>
      <c r="B5138" s="611">
        <v>44421</v>
      </c>
      <c r="C5138" s="362" t="s">
        <v>89</v>
      </c>
      <c r="D5138" s="562">
        <v>168964578</v>
      </c>
      <c r="E5138" s="562">
        <v>25091122</v>
      </c>
      <c r="F5138" s="562">
        <v>194055500</v>
      </c>
      <c r="G5138" s="562">
        <f t="shared" si="262"/>
        <v>200</v>
      </c>
      <c r="H5138" s="362"/>
      <c r="I5138" s="362"/>
      <c r="J5138" s="362"/>
    </row>
    <row r="5139" spans="1:10" x14ac:dyDescent="0.25">
      <c r="A5139" s="362"/>
      <c r="B5139" s="611">
        <v>44421</v>
      </c>
      <c r="C5139" s="362" t="s">
        <v>81</v>
      </c>
      <c r="D5139" s="562">
        <v>47808255</v>
      </c>
      <c r="E5139" s="562">
        <v>61003591</v>
      </c>
      <c r="F5139" s="562">
        <v>108811900</v>
      </c>
      <c r="G5139" s="562">
        <f t="shared" si="262"/>
        <v>-54</v>
      </c>
      <c r="H5139" s="362"/>
      <c r="I5139" s="362"/>
      <c r="J5139" s="362"/>
    </row>
    <row r="5140" spans="1:10" x14ac:dyDescent="0.25">
      <c r="A5140" s="362"/>
      <c r="B5140" s="611">
        <v>44421</v>
      </c>
      <c r="C5140" s="362" t="s">
        <v>84</v>
      </c>
      <c r="D5140" s="562">
        <v>289551777</v>
      </c>
      <c r="E5140" s="562">
        <v>11053533</v>
      </c>
      <c r="F5140" s="562">
        <v>300605400</v>
      </c>
      <c r="G5140" s="562">
        <f t="shared" si="262"/>
        <v>-90</v>
      </c>
      <c r="H5140" s="362"/>
      <c r="I5140" s="362"/>
      <c r="J5140" s="362"/>
    </row>
    <row r="5141" spans="1:10" x14ac:dyDescent="0.25">
      <c r="A5141" s="362"/>
      <c r="B5141" s="611">
        <v>44421</v>
      </c>
      <c r="C5141" s="362" t="s">
        <v>4751</v>
      </c>
      <c r="D5141" s="562">
        <v>129369623</v>
      </c>
      <c r="E5141" s="562">
        <v>13148577</v>
      </c>
      <c r="F5141" s="562">
        <v>142518200</v>
      </c>
      <c r="G5141" s="562">
        <f t="shared" si="262"/>
        <v>0</v>
      </c>
      <c r="H5141" s="362"/>
      <c r="I5141" s="362"/>
      <c r="J5141" s="362"/>
    </row>
    <row r="5142" spans="1:10" x14ac:dyDescent="0.25">
      <c r="A5142" s="362"/>
      <c r="B5142" s="611">
        <v>44421</v>
      </c>
      <c r="C5142" s="362" t="s">
        <v>166</v>
      </c>
      <c r="D5142" s="562">
        <v>94697972</v>
      </c>
      <c r="E5142" s="562"/>
      <c r="F5142" s="562">
        <v>94697900</v>
      </c>
      <c r="G5142" s="562">
        <f t="shared" si="262"/>
        <v>72</v>
      </c>
      <c r="H5142" s="362"/>
      <c r="I5142" s="362"/>
      <c r="J5142" s="362"/>
    </row>
    <row r="5143" spans="1:10" x14ac:dyDescent="0.25">
      <c r="A5143" s="362"/>
      <c r="B5143" s="611">
        <v>44421</v>
      </c>
      <c r="C5143" s="362" t="s">
        <v>3435</v>
      </c>
      <c r="D5143" s="562">
        <v>38873135</v>
      </c>
      <c r="E5143" s="562"/>
      <c r="F5143" s="562">
        <v>38873200</v>
      </c>
      <c r="G5143" s="562">
        <f t="shared" si="262"/>
        <v>-65</v>
      </c>
      <c r="H5143" s="362"/>
      <c r="I5143" s="362"/>
      <c r="J5143" s="362"/>
    </row>
    <row r="5144" spans="1:10" x14ac:dyDescent="0.25">
      <c r="A5144" s="362"/>
      <c r="B5144" s="611">
        <v>44421</v>
      </c>
      <c r="C5144" s="370" t="s">
        <v>85</v>
      </c>
      <c r="D5144" s="562">
        <v>26589800</v>
      </c>
      <c r="E5144" s="562"/>
      <c r="F5144" s="562">
        <v>26589800</v>
      </c>
      <c r="G5144" s="562">
        <f t="shared" si="262"/>
        <v>0</v>
      </c>
      <c r="H5144" s="362"/>
      <c r="I5144" s="362"/>
      <c r="J5144" s="362"/>
    </row>
    <row r="5145" spans="1:10" x14ac:dyDescent="0.25">
      <c r="A5145" s="532"/>
      <c r="B5145" s="532"/>
      <c r="C5145" s="532"/>
      <c r="D5145" s="564">
        <f>SUM(D5130:D5144)</f>
        <v>1868925171</v>
      </c>
      <c r="E5145" s="564">
        <f t="shared" ref="E5145:G5145" si="263">SUM(E5130:E5144)</f>
        <v>496362400</v>
      </c>
      <c r="F5145" s="564">
        <f t="shared" si="263"/>
        <v>2365282600</v>
      </c>
      <c r="G5145" s="564">
        <f t="shared" si="263"/>
        <v>4971</v>
      </c>
      <c r="H5145" s="532"/>
      <c r="I5145" s="532"/>
      <c r="J5145" s="532"/>
    </row>
    <row r="5146" spans="1:10" x14ac:dyDescent="0.25">
      <c r="A5146" s="362"/>
      <c r="B5146" s="611">
        <v>44422</v>
      </c>
      <c r="C5146" s="362" t="s">
        <v>86</v>
      </c>
      <c r="D5146" s="562">
        <v>57822544</v>
      </c>
      <c r="E5146" s="562">
        <v>107365651</v>
      </c>
      <c r="F5146" s="562">
        <v>165188200</v>
      </c>
      <c r="G5146" s="562">
        <f t="shared" si="262"/>
        <v>-5</v>
      </c>
      <c r="H5146" s="362"/>
      <c r="I5146" s="362"/>
      <c r="J5146" s="362"/>
    </row>
    <row r="5147" spans="1:10" x14ac:dyDescent="0.25">
      <c r="A5147" s="362"/>
      <c r="B5147" s="611">
        <v>44422</v>
      </c>
      <c r="C5147" s="362" t="s">
        <v>87</v>
      </c>
      <c r="D5147" s="562">
        <v>80931758</v>
      </c>
      <c r="E5147" s="562">
        <v>173224902</v>
      </c>
      <c r="F5147" s="562">
        <f>61712400+192444000</f>
        <v>254156400</v>
      </c>
      <c r="G5147" s="562">
        <f t="shared" si="262"/>
        <v>260</v>
      </c>
      <c r="H5147" s="362"/>
      <c r="I5147" s="362"/>
      <c r="J5147" s="362"/>
    </row>
    <row r="5148" spans="1:10" x14ac:dyDescent="0.25">
      <c r="A5148" s="362"/>
      <c r="B5148" s="611">
        <v>44422</v>
      </c>
      <c r="C5148" s="362" t="s">
        <v>88</v>
      </c>
      <c r="D5148" s="562">
        <v>101345082</v>
      </c>
      <c r="E5148" s="562">
        <v>4562660</v>
      </c>
      <c r="F5148" s="562">
        <v>105907800</v>
      </c>
      <c r="G5148" s="562">
        <f t="shared" si="262"/>
        <v>-58</v>
      </c>
      <c r="H5148" s="362"/>
      <c r="I5148" s="362"/>
      <c r="J5148" s="362"/>
    </row>
    <row r="5149" spans="1:10" x14ac:dyDescent="0.25">
      <c r="A5149" s="362"/>
      <c r="B5149" s="611">
        <v>44422</v>
      </c>
      <c r="C5149" s="362" t="s">
        <v>82</v>
      </c>
      <c r="D5149" s="562">
        <v>54438969</v>
      </c>
      <c r="E5149" s="562">
        <v>7553666</v>
      </c>
      <c r="F5149" s="562">
        <v>61992700</v>
      </c>
      <c r="G5149" s="562">
        <f t="shared" si="262"/>
        <v>-65</v>
      </c>
      <c r="H5149" s="362"/>
      <c r="I5149" s="362"/>
      <c r="J5149" s="362"/>
    </row>
    <row r="5150" spans="1:10" x14ac:dyDescent="0.25">
      <c r="A5150" s="362"/>
      <c r="B5150" s="611">
        <v>44422</v>
      </c>
      <c r="C5150" s="362" t="s">
        <v>80</v>
      </c>
      <c r="D5150" s="562">
        <v>283997800</v>
      </c>
      <c r="E5150" s="562"/>
      <c r="F5150" s="562">
        <v>283997800</v>
      </c>
      <c r="G5150" s="562">
        <f t="shared" si="262"/>
        <v>0</v>
      </c>
      <c r="H5150" s="362"/>
      <c r="I5150" s="362"/>
      <c r="J5150" s="362"/>
    </row>
    <row r="5151" spans="1:10" x14ac:dyDescent="0.25">
      <c r="A5151" s="362"/>
      <c r="B5151" s="611">
        <v>44422</v>
      </c>
      <c r="C5151" s="362" t="s">
        <v>83</v>
      </c>
      <c r="D5151" s="562">
        <v>214302303</v>
      </c>
      <c r="E5151" s="562">
        <v>330549133</v>
      </c>
      <c r="F5151" s="562">
        <v>544851500</v>
      </c>
      <c r="G5151" s="562">
        <f t="shared" si="262"/>
        <v>-64</v>
      </c>
      <c r="H5151" s="362"/>
      <c r="I5151" s="362"/>
      <c r="J5151" s="362"/>
    </row>
    <row r="5152" spans="1:10" x14ac:dyDescent="0.25">
      <c r="A5152" s="362"/>
      <c r="B5152" s="611">
        <v>44422</v>
      </c>
      <c r="C5152" s="362" t="s">
        <v>78</v>
      </c>
      <c r="D5152" s="562">
        <v>111733931</v>
      </c>
      <c r="E5152" s="562">
        <v>9097669</v>
      </c>
      <c r="F5152" s="562">
        <v>120831600</v>
      </c>
      <c r="G5152" s="562">
        <f t="shared" si="262"/>
        <v>0</v>
      </c>
      <c r="H5152" s="362"/>
      <c r="I5152" s="362"/>
      <c r="J5152" s="362"/>
    </row>
    <row r="5153" spans="1:10" x14ac:dyDescent="0.25">
      <c r="A5153" s="362"/>
      <c r="B5153" s="611">
        <v>44422</v>
      </c>
      <c r="C5153" s="362" t="s">
        <v>141</v>
      </c>
      <c r="D5153" s="562">
        <v>24686006</v>
      </c>
      <c r="E5153" s="562"/>
      <c r="F5153" s="562">
        <v>24686100</v>
      </c>
      <c r="G5153" s="562">
        <f t="shared" si="262"/>
        <v>-94</v>
      </c>
      <c r="H5153" s="362"/>
      <c r="I5153" s="362"/>
      <c r="J5153" s="362"/>
    </row>
    <row r="5154" spans="1:10" x14ac:dyDescent="0.25">
      <c r="A5154" s="362"/>
      <c r="B5154" s="611">
        <v>44422</v>
      </c>
      <c r="C5154" s="362" t="s">
        <v>89</v>
      </c>
      <c r="D5154" s="562">
        <v>132750993</v>
      </c>
      <c r="E5154" s="562">
        <v>57264207</v>
      </c>
      <c r="F5154" s="562">
        <v>190015200</v>
      </c>
      <c r="G5154" s="562">
        <f t="shared" si="262"/>
        <v>0</v>
      </c>
      <c r="H5154" s="362"/>
      <c r="I5154" s="362"/>
      <c r="J5154" s="362"/>
    </row>
    <row r="5155" spans="1:10" x14ac:dyDescent="0.25">
      <c r="A5155" s="362"/>
      <c r="B5155" s="611">
        <v>44422</v>
      </c>
      <c r="C5155" s="362" t="s">
        <v>81</v>
      </c>
      <c r="D5155" s="562">
        <v>112402881</v>
      </c>
      <c r="E5155" s="562">
        <v>32434814</v>
      </c>
      <c r="F5155" s="562">
        <f>54257800+90579900</f>
        <v>144837700</v>
      </c>
      <c r="G5155" s="562">
        <f t="shared" si="262"/>
        <v>-5</v>
      </c>
      <c r="H5155" s="362"/>
      <c r="I5155" s="362"/>
      <c r="J5155" s="362"/>
    </row>
    <row r="5156" spans="1:10" x14ac:dyDescent="0.25">
      <c r="A5156" s="362"/>
      <c r="B5156" s="611">
        <v>44422</v>
      </c>
      <c r="C5156" s="362" t="s">
        <v>84</v>
      </c>
      <c r="D5156" s="562">
        <v>272416511</v>
      </c>
      <c r="E5156" s="562">
        <v>24384396</v>
      </c>
      <c r="F5156" s="562">
        <v>296801800</v>
      </c>
      <c r="G5156" s="562">
        <f t="shared" si="262"/>
        <v>-893</v>
      </c>
      <c r="H5156" s="362"/>
      <c r="I5156" s="362"/>
      <c r="J5156" s="362"/>
    </row>
    <row r="5157" spans="1:10" x14ac:dyDescent="0.25">
      <c r="A5157" s="362"/>
      <c r="B5157" s="611">
        <v>44422</v>
      </c>
      <c r="C5157" s="362" t="s">
        <v>4751</v>
      </c>
      <c r="D5157" s="562">
        <v>316440250</v>
      </c>
      <c r="E5157" s="562">
        <v>11447750</v>
      </c>
      <c r="F5157" s="562">
        <v>327888000</v>
      </c>
      <c r="G5157" s="562">
        <f t="shared" si="262"/>
        <v>0</v>
      </c>
      <c r="H5157" s="362"/>
      <c r="I5157" s="362"/>
      <c r="J5157" s="362"/>
    </row>
    <row r="5158" spans="1:10" x14ac:dyDescent="0.25">
      <c r="A5158" s="362"/>
      <c r="B5158" s="611">
        <v>44422</v>
      </c>
      <c r="C5158" s="362" t="s">
        <v>166</v>
      </c>
      <c r="D5158" s="562"/>
      <c r="E5158" s="562"/>
      <c r="F5158" s="562"/>
      <c r="G5158" s="562">
        <f t="shared" si="262"/>
        <v>0</v>
      </c>
      <c r="H5158" s="362"/>
      <c r="I5158" s="362"/>
      <c r="J5158" s="362"/>
    </row>
    <row r="5159" spans="1:10" x14ac:dyDescent="0.25">
      <c r="A5159" s="362"/>
      <c r="B5159" s="611">
        <v>44422</v>
      </c>
      <c r="C5159" s="362" t="s">
        <v>3435</v>
      </c>
      <c r="D5159" s="562"/>
      <c r="E5159" s="562"/>
      <c r="F5159" s="562"/>
      <c r="G5159" s="562">
        <f t="shared" si="262"/>
        <v>0</v>
      </c>
      <c r="H5159" s="362"/>
      <c r="I5159" s="362"/>
      <c r="J5159" s="362"/>
    </row>
    <row r="5160" spans="1:10" x14ac:dyDescent="0.25">
      <c r="A5160" s="362"/>
      <c r="B5160" s="611">
        <v>44422</v>
      </c>
      <c r="C5160" s="370" t="s">
        <v>85</v>
      </c>
      <c r="D5160" s="562">
        <v>22954800</v>
      </c>
      <c r="E5160" s="562"/>
      <c r="F5160" s="562">
        <v>22954800</v>
      </c>
      <c r="G5160" s="562">
        <f t="shared" si="262"/>
        <v>0</v>
      </c>
      <c r="H5160" s="362"/>
      <c r="I5160" s="362"/>
      <c r="J5160" s="362"/>
    </row>
    <row r="5161" spans="1:10" x14ac:dyDescent="0.25">
      <c r="A5161" s="532"/>
      <c r="B5161" s="532"/>
      <c r="C5161" s="532"/>
      <c r="D5161" s="564">
        <f>SUM(D5146:D5160)</f>
        <v>1786223828</v>
      </c>
      <c r="E5161" s="564">
        <f t="shared" ref="E5161:G5161" si="264">SUM(E5146:E5160)</f>
        <v>757884848</v>
      </c>
      <c r="F5161" s="564">
        <f t="shared" si="264"/>
        <v>2544109600</v>
      </c>
      <c r="G5161" s="564">
        <f t="shared" si="264"/>
        <v>-924</v>
      </c>
      <c r="H5161" s="532"/>
      <c r="I5161" s="532"/>
      <c r="J5161" s="532"/>
    </row>
    <row r="5162" spans="1:10" x14ac:dyDescent="0.25">
      <c r="A5162" s="362"/>
      <c r="B5162" s="611">
        <v>44424</v>
      </c>
      <c r="C5162" s="362" t="s">
        <v>86</v>
      </c>
      <c r="D5162" s="562">
        <v>73220779</v>
      </c>
      <c r="E5162" s="562">
        <v>83046708</v>
      </c>
      <c r="F5162" s="562">
        <v>156267100</v>
      </c>
      <c r="G5162" s="562">
        <f t="shared" si="262"/>
        <v>387</v>
      </c>
      <c r="H5162" s="362"/>
      <c r="I5162" s="362"/>
      <c r="J5162" s="362"/>
    </row>
    <row r="5163" spans="1:10" x14ac:dyDescent="0.25">
      <c r="A5163" s="362"/>
      <c r="B5163" s="611">
        <v>44424</v>
      </c>
      <c r="C5163" s="362" t="s">
        <v>87</v>
      </c>
      <c r="D5163" s="562">
        <v>165637604</v>
      </c>
      <c r="E5163" s="562">
        <v>63771608</v>
      </c>
      <c r="F5163" s="562">
        <v>229409300</v>
      </c>
      <c r="G5163" s="562">
        <f t="shared" si="262"/>
        <v>-88</v>
      </c>
      <c r="H5163" s="362"/>
      <c r="I5163" s="362"/>
      <c r="J5163" s="362"/>
    </row>
    <row r="5164" spans="1:10" x14ac:dyDescent="0.25">
      <c r="A5164" s="362"/>
      <c r="B5164" s="611">
        <v>44424</v>
      </c>
      <c r="C5164" s="362" t="s">
        <v>88</v>
      </c>
      <c r="D5164" s="562">
        <v>295379081</v>
      </c>
      <c r="E5164" s="562">
        <v>99793483</v>
      </c>
      <c r="F5164" s="562">
        <v>395172600</v>
      </c>
      <c r="G5164" s="562">
        <f t="shared" si="262"/>
        <v>-36</v>
      </c>
      <c r="H5164" s="362"/>
      <c r="I5164" s="362"/>
      <c r="J5164" s="362"/>
    </row>
    <row r="5165" spans="1:10" x14ac:dyDescent="0.25">
      <c r="A5165" s="362"/>
      <c r="B5165" s="611">
        <v>44424</v>
      </c>
      <c r="C5165" s="362" t="s">
        <v>82</v>
      </c>
      <c r="D5165" s="562">
        <v>82607542</v>
      </c>
      <c r="E5165" s="562">
        <v>3573460</v>
      </c>
      <c r="F5165" s="562">
        <v>86181100</v>
      </c>
      <c r="G5165" s="562">
        <f t="shared" si="262"/>
        <v>-98</v>
      </c>
      <c r="H5165" s="362"/>
      <c r="I5165" s="362"/>
      <c r="J5165" s="362"/>
    </row>
    <row r="5166" spans="1:10" x14ac:dyDescent="0.25">
      <c r="A5166" s="362"/>
      <c r="B5166" s="611">
        <v>44424</v>
      </c>
      <c r="C5166" s="362" t="s">
        <v>80</v>
      </c>
      <c r="D5166" s="562">
        <v>317162440</v>
      </c>
      <c r="E5166" s="562"/>
      <c r="F5166" s="562">
        <v>317163200</v>
      </c>
      <c r="G5166" s="562">
        <f t="shared" si="262"/>
        <v>-760</v>
      </c>
      <c r="H5166" s="362"/>
      <c r="I5166" s="362"/>
      <c r="J5166" s="362"/>
    </row>
    <row r="5167" spans="1:10" x14ac:dyDescent="0.25">
      <c r="A5167" s="362"/>
      <c r="B5167" s="611">
        <v>44424</v>
      </c>
      <c r="C5167" s="362" t="s">
        <v>83</v>
      </c>
      <c r="D5167" s="562">
        <v>472073630</v>
      </c>
      <c r="E5167" s="562">
        <v>31845420</v>
      </c>
      <c r="F5167" s="562">
        <v>503919000</v>
      </c>
      <c r="G5167" s="562">
        <f t="shared" si="262"/>
        <v>50</v>
      </c>
      <c r="H5167" s="362"/>
      <c r="I5167" s="362"/>
      <c r="J5167" s="362"/>
    </row>
    <row r="5168" spans="1:10" x14ac:dyDescent="0.25">
      <c r="A5168" s="362"/>
      <c r="B5168" s="611">
        <v>44424</v>
      </c>
      <c r="C5168" s="362" t="s">
        <v>78</v>
      </c>
      <c r="D5168" s="562">
        <v>122119867</v>
      </c>
      <c r="E5168" s="562">
        <v>2381733</v>
      </c>
      <c r="F5168" s="562">
        <v>124501600</v>
      </c>
      <c r="G5168" s="562">
        <f t="shared" si="262"/>
        <v>0</v>
      </c>
      <c r="H5168" s="362"/>
      <c r="I5168" s="362"/>
      <c r="J5168" s="362"/>
    </row>
    <row r="5169" spans="1:10" x14ac:dyDescent="0.25">
      <c r="A5169" s="362"/>
      <c r="B5169" s="611">
        <v>44424</v>
      </c>
      <c r="C5169" s="362" t="s">
        <v>141</v>
      </c>
      <c r="D5169" s="562">
        <v>101736540</v>
      </c>
      <c r="E5169" s="562">
        <v>4935126</v>
      </c>
      <c r="F5169" s="562">
        <v>106671700</v>
      </c>
      <c r="G5169" s="562">
        <f t="shared" si="262"/>
        <v>-34</v>
      </c>
      <c r="H5169" s="362"/>
      <c r="I5169" s="362"/>
      <c r="J5169" s="362"/>
    </row>
    <row r="5170" spans="1:10" x14ac:dyDescent="0.25">
      <c r="A5170" s="362"/>
      <c r="B5170" s="611">
        <v>44424</v>
      </c>
      <c r="C5170" s="362" t="s">
        <v>89</v>
      </c>
      <c r="D5170" s="562">
        <v>133280229</v>
      </c>
      <c r="E5170" s="562">
        <v>88593371</v>
      </c>
      <c r="F5170" s="562">
        <v>221873600</v>
      </c>
      <c r="G5170" s="562">
        <f t="shared" si="262"/>
        <v>0</v>
      </c>
      <c r="H5170" s="362"/>
      <c r="I5170" s="362"/>
      <c r="J5170" s="362"/>
    </row>
    <row r="5171" spans="1:10" x14ac:dyDescent="0.25">
      <c r="A5171" s="362"/>
      <c r="B5171" s="611">
        <v>44424</v>
      </c>
      <c r="C5171" s="362" t="s">
        <v>81</v>
      </c>
      <c r="D5171" s="562">
        <v>232489651</v>
      </c>
      <c r="E5171" s="562">
        <v>13519745</v>
      </c>
      <c r="F5171" s="562">
        <f>73770700+172238700</f>
        <v>246009400</v>
      </c>
      <c r="G5171" s="562">
        <f t="shared" si="262"/>
        <v>-4</v>
      </c>
      <c r="H5171" s="362"/>
      <c r="I5171" s="362"/>
      <c r="J5171" s="362"/>
    </row>
    <row r="5172" spans="1:10" x14ac:dyDescent="0.25">
      <c r="A5172" s="362"/>
      <c r="B5172" s="611">
        <v>44424</v>
      </c>
      <c r="C5172" s="362" t="s">
        <v>84</v>
      </c>
      <c r="D5172" s="562">
        <v>245922190</v>
      </c>
      <c r="E5172" s="562">
        <v>16823641</v>
      </c>
      <c r="F5172" s="562">
        <v>262895900</v>
      </c>
      <c r="G5172" s="562">
        <f t="shared" si="262"/>
        <v>-150069</v>
      </c>
      <c r="H5172" s="362"/>
      <c r="I5172" s="362"/>
      <c r="J5172" s="362"/>
    </row>
    <row r="5173" spans="1:10" x14ac:dyDescent="0.25">
      <c r="A5173" s="362"/>
      <c r="B5173" s="611">
        <v>44424</v>
      </c>
      <c r="C5173" s="362" t="s">
        <v>4751</v>
      </c>
      <c r="D5173" s="562">
        <v>286716288</v>
      </c>
      <c r="E5173" s="562">
        <v>11253612</v>
      </c>
      <c r="F5173" s="562">
        <v>297969900</v>
      </c>
      <c r="G5173" s="562">
        <f t="shared" si="262"/>
        <v>0</v>
      </c>
      <c r="H5173" s="362"/>
      <c r="I5173" s="362"/>
      <c r="J5173" s="362"/>
    </row>
    <row r="5174" spans="1:10" x14ac:dyDescent="0.25">
      <c r="A5174" s="362"/>
      <c r="B5174" s="611">
        <v>44424</v>
      </c>
      <c r="C5174" s="362" t="s">
        <v>166</v>
      </c>
      <c r="D5174" s="562"/>
      <c r="E5174" s="562"/>
      <c r="F5174" s="562"/>
      <c r="G5174" s="562">
        <f t="shared" si="262"/>
        <v>0</v>
      </c>
      <c r="H5174" s="362"/>
      <c r="I5174" s="362"/>
      <c r="J5174" s="362"/>
    </row>
    <row r="5175" spans="1:10" x14ac:dyDescent="0.25">
      <c r="A5175" s="362"/>
      <c r="B5175" s="611">
        <v>44424</v>
      </c>
      <c r="C5175" s="362" t="s">
        <v>3435</v>
      </c>
      <c r="D5175" s="562"/>
      <c r="E5175" s="562"/>
      <c r="F5175" s="562"/>
      <c r="G5175" s="562">
        <f t="shared" si="262"/>
        <v>0</v>
      </c>
      <c r="H5175" s="362"/>
      <c r="I5175" s="362"/>
      <c r="J5175" s="362"/>
    </row>
    <row r="5176" spans="1:10" x14ac:dyDescent="0.25">
      <c r="A5176" s="362"/>
      <c r="B5176" s="611">
        <v>44424</v>
      </c>
      <c r="C5176" s="370" t="s">
        <v>85</v>
      </c>
      <c r="D5176" s="562">
        <v>91516800</v>
      </c>
      <c r="E5176" s="562"/>
      <c r="F5176" s="562">
        <v>91516800</v>
      </c>
      <c r="G5176" s="562">
        <f t="shared" si="262"/>
        <v>0</v>
      </c>
      <c r="H5176" s="362"/>
      <c r="I5176" s="362"/>
      <c r="J5176" s="362"/>
    </row>
    <row r="5177" spans="1:10" x14ac:dyDescent="0.25">
      <c r="A5177" s="532"/>
      <c r="B5177" s="532"/>
      <c r="C5177" s="532"/>
      <c r="D5177" s="564">
        <f>SUM(D5162:D5176)</f>
        <v>2619862641</v>
      </c>
      <c r="E5177" s="564">
        <f t="shared" ref="E5177:G5177" si="265">SUM(E5162:E5176)</f>
        <v>419537907</v>
      </c>
      <c r="F5177" s="564">
        <f t="shared" si="265"/>
        <v>3039551200</v>
      </c>
      <c r="G5177" s="564">
        <f t="shared" si="265"/>
        <v>-150652</v>
      </c>
      <c r="H5177" s="532"/>
      <c r="I5177" s="532"/>
      <c r="J5177" s="532"/>
    </row>
    <row r="5178" spans="1:10" x14ac:dyDescent="0.25">
      <c r="A5178" s="362"/>
      <c r="B5178" s="611">
        <v>44426</v>
      </c>
      <c r="C5178" s="362" t="s">
        <v>86</v>
      </c>
      <c r="D5178" s="562">
        <v>85656802</v>
      </c>
      <c r="E5178" s="562">
        <v>123442456</v>
      </c>
      <c r="F5178" s="562">
        <v>209099000</v>
      </c>
      <c r="G5178" s="562">
        <f t="shared" si="262"/>
        <v>258</v>
      </c>
      <c r="H5178" s="362"/>
      <c r="I5178" s="362"/>
      <c r="J5178" s="362"/>
    </row>
    <row r="5179" spans="1:10" x14ac:dyDescent="0.25">
      <c r="A5179" s="362"/>
      <c r="B5179" s="611">
        <v>44426</v>
      </c>
      <c r="C5179" s="362" t="s">
        <v>87</v>
      </c>
      <c r="D5179" s="562">
        <v>221013884</v>
      </c>
      <c r="E5179" s="562">
        <v>87233328</v>
      </c>
      <c r="F5179" s="562">
        <v>308247300</v>
      </c>
      <c r="G5179" s="562">
        <f t="shared" si="262"/>
        <v>-88</v>
      </c>
      <c r="H5179" s="362"/>
      <c r="I5179" s="362"/>
      <c r="J5179" s="362"/>
    </row>
    <row r="5180" spans="1:10" x14ac:dyDescent="0.25">
      <c r="A5180" s="362"/>
      <c r="B5180" s="611">
        <v>44426</v>
      </c>
      <c r="C5180" s="362" t="s">
        <v>88</v>
      </c>
      <c r="D5180" s="562">
        <v>629989961</v>
      </c>
      <c r="E5180" s="562">
        <v>17523047</v>
      </c>
      <c r="F5180" s="562">
        <v>647513100</v>
      </c>
      <c r="G5180" s="562">
        <f t="shared" si="262"/>
        <v>-92</v>
      </c>
      <c r="H5180" s="362"/>
      <c r="I5180" s="362"/>
      <c r="J5180" s="362"/>
    </row>
    <row r="5181" spans="1:10" x14ac:dyDescent="0.25">
      <c r="A5181" s="362"/>
      <c r="B5181" s="611">
        <v>44426</v>
      </c>
      <c r="C5181" s="362" t="s">
        <v>82</v>
      </c>
      <c r="D5181" s="562">
        <v>110505263</v>
      </c>
      <c r="E5181" s="562">
        <v>3172937</v>
      </c>
      <c r="F5181" s="562">
        <v>113678300</v>
      </c>
      <c r="G5181" s="562">
        <f t="shared" si="262"/>
        <v>-100</v>
      </c>
      <c r="H5181" s="362"/>
      <c r="I5181" s="362"/>
      <c r="J5181" s="362"/>
    </row>
    <row r="5182" spans="1:10" x14ac:dyDescent="0.25">
      <c r="A5182" s="362"/>
      <c r="B5182" s="611">
        <v>44426</v>
      </c>
      <c r="C5182" s="362" t="s">
        <v>80</v>
      </c>
      <c r="D5182" s="562">
        <v>449521080</v>
      </c>
      <c r="E5182" s="562">
        <v>53421320</v>
      </c>
      <c r="F5182" s="562">
        <v>502945400</v>
      </c>
      <c r="G5182" s="562">
        <f t="shared" si="262"/>
        <v>-3000</v>
      </c>
      <c r="H5182" s="362"/>
      <c r="I5182" s="362"/>
      <c r="J5182" s="362"/>
    </row>
    <row r="5183" spans="1:10" x14ac:dyDescent="0.25">
      <c r="A5183" s="362"/>
      <c r="B5183" s="611">
        <v>44426</v>
      </c>
      <c r="C5183" s="362" t="s">
        <v>83</v>
      </c>
      <c r="D5183" s="562">
        <v>306526271</v>
      </c>
      <c r="E5183" s="562">
        <v>23051437</v>
      </c>
      <c r="F5183" s="562">
        <v>329577700</v>
      </c>
      <c r="G5183" s="562">
        <f t="shared" si="262"/>
        <v>8</v>
      </c>
      <c r="H5183" s="362"/>
      <c r="I5183" s="362"/>
      <c r="J5183" s="362"/>
    </row>
    <row r="5184" spans="1:10" x14ac:dyDescent="0.25">
      <c r="A5184" s="362"/>
      <c r="B5184" s="611">
        <v>44426</v>
      </c>
      <c r="C5184" s="362" t="s">
        <v>78</v>
      </c>
      <c r="D5184" s="562">
        <v>138308787</v>
      </c>
      <c r="E5184" s="562">
        <v>2839913</v>
      </c>
      <c r="F5184" s="562">
        <v>141148700</v>
      </c>
      <c r="G5184" s="562">
        <f t="shared" si="262"/>
        <v>0</v>
      </c>
      <c r="H5184" s="362"/>
      <c r="I5184" s="362"/>
      <c r="J5184" s="362"/>
    </row>
    <row r="5185" spans="1:10" x14ac:dyDescent="0.25">
      <c r="A5185" s="362"/>
      <c r="B5185" s="611">
        <v>44426</v>
      </c>
      <c r="C5185" s="362" t="s">
        <v>141</v>
      </c>
      <c r="D5185" s="562">
        <v>115727528</v>
      </c>
      <c r="E5185" s="562">
        <v>767042</v>
      </c>
      <c r="F5185" s="562">
        <v>116494600</v>
      </c>
      <c r="G5185" s="562">
        <f t="shared" si="262"/>
        <v>-30</v>
      </c>
      <c r="H5185" s="362"/>
      <c r="I5185" s="362"/>
      <c r="J5185" s="362"/>
    </row>
    <row r="5186" spans="1:10" x14ac:dyDescent="0.25">
      <c r="A5186" s="362"/>
      <c r="B5186" s="611">
        <v>44426</v>
      </c>
      <c r="C5186" s="362" t="s">
        <v>89</v>
      </c>
      <c r="D5186" s="562">
        <v>186894114</v>
      </c>
      <c r="E5186" s="562">
        <v>9989986</v>
      </c>
      <c r="F5186" s="562">
        <v>196884100</v>
      </c>
      <c r="G5186" s="562">
        <f t="shared" si="262"/>
        <v>0</v>
      </c>
      <c r="H5186" s="362"/>
      <c r="I5186" s="362"/>
      <c r="J5186" s="362"/>
    </row>
    <row r="5187" spans="1:10" x14ac:dyDescent="0.25">
      <c r="A5187" s="362"/>
      <c r="B5187" s="611">
        <v>44426</v>
      </c>
      <c r="C5187" s="362" t="s">
        <v>81</v>
      </c>
      <c r="D5187" s="562">
        <v>98152791</v>
      </c>
      <c r="E5187" s="562">
        <v>23046607</v>
      </c>
      <c r="F5187" s="562">
        <v>121199400</v>
      </c>
      <c r="G5187" s="562">
        <f t="shared" si="262"/>
        <v>-2</v>
      </c>
      <c r="H5187" s="362"/>
      <c r="I5187" s="362"/>
      <c r="J5187" s="362"/>
    </row>
    <row r="5188" spans="1:10" x14ac:dyDescent="0.25">
      <c r="A5188" s="362"/>
      <c r="B5188" s="611">
        <v>44426</v>
      </c>
      <c r="C5188" s="362" t="s">
        <v>84</v>
      </c>
      <c r="D5188" s="562">
        <v>582811070</v>
      </c>
      <c r="E5188" s="562">
        <v>10177240</v>
      </c>
      <c r="F5188" s="562">
        <v>592988000</v>
      </c>
      <c r="G5188" s="562">
        <f t="shared" si="262"/>
        <v>310</v>
      </c>
      <c r="H5188" s="362"/>
      <c r="I5188" s="362"/>
      <c r="J5188" s="362"/>
    </row>
    <row r="5189" spans="1:10" x14ac:dyDescent="0.25">
      <c r="A5189" s="362"/>
      <c r="B5189" s="611">
        <v>44426</v>
      </c>
      <c r="C5189" s="362" t="s">
        <v>4751</v>
      </c>
      <c r="D5189" s="562">
        <v>288869269</v>
      </c>
      <c r="E5189" s="562">
        <v>12943331</v>
      </c>
      <c r="F5189" s="562">
        <v>301812600</v>
      </c>
      <c r="G5189" s="562">
        <f t="shared" si="262"/>
        <v>0</v>
      </c>
      <c r="H5189" s="362"/>
      <c r="I5189" s="362"/>
      <c r="J5189" s="362"/>
    </row>
    <row r="5190" spans="1:10" x14ac:dyDescent="0.25">
      <c r="A5190" s="362"/>
      <c r="B5190" s="611">
        <v>44426</v>
      </c>
      <c r="C5190" s="362" t="s">
        <v>166</v>
      </c>
      <c r="D5190" s="562">
        <v>112663943</v>
      </c>
      <c r="E5190" s="562"/>
      <c r="F5190" s="562">
        <v>112664000</v>
      </c>
      <c r="G5190" s="562">
        <f t="shared" si="262"/>
        <v>-57</v>
      </c>
      <c r="H5190" s="362"/>
      <c r="I5190" s="362"/>
      <c r="J5190" s="362"/>
    </row>
    <row r="5191" spans="1:10" x14ac:dyDescent="0.25">
      <c r="A5191" s="362"/>
      <c r="B5191" s="611">
        <v>44426</v>
      </c>
      <c r="C5191" s="362" t="s">
        <v>3435</v>
      </c>
      <c r="D5191" s="562">
        <v>40663452</v>
      </c>
      <c r="E5191" s="562"/>
      <c r="F5191" s="562">
        <v>40663500</v>
      </c>
      <c r="G5191" s="562">
        <f t="shared" si="262"/>
        <v>-48</v>
      </c>
      <c r="H5191" s="362"/>
      <c r="I5191" s="362"/>
      <c r="J5191" s="362"/>
    </row>
    <row r="5192" spans="1:10" x14ac:dyDescent="0.25">
      <c r="A5192" s="362"/>
      <c r="B5192" s="611">
        <v>44426</v>
      </c>
      <c r="C5192" s="370" t="s">
        <v>85</v>
      </c>
      <c r="D5192" s="562">
        <v>42110200</v>
      </c>
      <c r="E5192" s="562"/>
      <c r="F5192" s="562">
        <v>42110200</v>
      </c>
      <c r="G5192" s="562">
        <f t="shared" si="262"/>
        <v>0</v>
      </c>
      <c r="H5192" s="362"/>
      <c r="I5192" s="362"/>
      <c r="J5192" s="362"/>
    </row>
    <row r="5193" spans="1:10" x14ac:dyDescent="0.25">
      <c r="A5193" s="532"/>
      <c r="B5193" s="532"/>
      <c r="C5193" s="532"/>
      <c r="D5193" s="564">
        <f>SUM(D5178:D5192)</f>
        <v>3409414415</v>
      </c>
      <c r="E5193" s="564">
        <f t="shared" ref="E5193:G5193" si="266">SUM(E5178:E5192)</f>
        <v>367608644</v>
      </c>
      <c r="F5193" s="564">
        <f t="shared" si="266"/>
        <v>3777025900</v>
      </c>
      <c r="G5193" s="564">
        <f t="shared" si="266"/>
        <v>-2841</v>
      </c>
      <c r="H5193" s="532"/>
      <c r="I5193" s="532"/>
      <c r="J5193" s="532"/>
    </row>
    <row r="5194" spans="1:10" x14ac:dyDescent="0.25">
      <c r="A5194" s="362"/>
      <c r="B5194" s="611">
        <v>44427</v>
      </c>
      <c r="C5194" s="362" t="s">
        <v>86</v>
      </c>
      <c r="D5194" s="562">
        <v>191570909</v>
      </c>
      <c r="E5194" s="562">
        <v>210678521</v>
      </c>
      <c r="F5194" s="562"/>
      <c r="G5194" s="562">
        <f t="shared" si="262"/>
        <v>402249430</v>
      </c>
      <c r="H5194" s="362"/>
      <c r="I5194" s="362"/>
      <c r="J5194" s="362"/>
    </row>
    <row r="5195" spans="1:10" x14ac:dyDescent="0.25">
      <c r="A5195" s="362"/>
      <c r="B5195" s="611">
        <v>44427</v>
      </c>
      <c r="C5195" s="362" t="s">
        <v>87</v>
      </c>
      <c r="D5195" s="465">
        <v>124582590</v>
      </c>
      <c r="E5195" s="562">
        <v>110229656</v>
      </c>
      <c r="F5195" s="562"/>
      <c r="G5195" s="562">
        <f>D5194+E5195-F5195</f>
        <v>301800565</v>
      </c>
      <c r="H5195" s="362"/>
      <c r="I5195" s="362"/>
      <c r="J5195" s="362"/>
    </row>
    <row r="5196" spans="1:10" x14ac:dyDescent="0.25">
      <c r="A5196" s="362"/>
      <c r="B5196" s="611">
        <v>44427</v>
      </c>
      <c r="C5196" s="362" t="s">
        <v>88</v>
      </c>
      <c r="D5196" s="562">
        <v>410811611</v>
      </c>
      <c r="E5196" s="562">
        <v>97682991</v>
      </c>
      <c r="F5196" s="562"/>
      <c r="G5196" s="562">
        <f t="shared" ref="G5196:G5259" si="267">D5196+E5196-F5196</f>
        <v>508494602</v>
      </c>
      <c r="H5196" s="362"/>
      <c r="I5196" s="362"/>
      <c r="J5196" s="362"/>
    </row>
    <row r="5197" spans="1:10" x14ac:dyDescent="0.25">
      <c r="A5197" s="362"/>
      <c r="B5197" s="611">
        <v>44427</v>
      </c>
      <c r="C5197" s="362" t="s">
        <v>82</v>
      </c>
      <c r="D5197" s="562">
        <v>124062140</v>
      </c>
      <c r="E5197" s="562">
        <v>3349190</v>
      </c>
      <c r="F5197" s="562"/>
      <c r="G5197" s="562">
        <f t="shared" si="267"/>
        <v>127411330</v>
      </c>
      <c r="H5197" s="362"/>
      <c r="I5197" s="362"/>
      <c r="J5197" s="362"/>
    </row>
    <row r="5198" spans="1:10" x14ac:dyDescent="0.25">
      <c r="A5198" s="362"/>
      <c r="B5198" s="611">
        <v>44427</v>
      </c>
      <c r="C5198" s="362" t="s">
        <v>80</v>
      </c>
      <c r="D5198" s="562">
        <v>374792693</v>
      </c>
      <c r="E5198" s="562"/>
      <c r="F5198" s="562"/>
      <c r="G5198" s="562">
        <f t="shared" si="267"/>
        <v>374792693</v>
      </c>
      <c r="H5198" s="362"/>
      <c r="I5198" s="362"/>
      <c r="J5198" s="362"/>
    </row>
    <row r="5199" spans="1:10" x14ac:dyDescent="0.25">
      <c r="A5199" s="362"/>
      <c r="B5199" s="611">
        <v>44427</v>
      </c>
      <c r="C5199" s="362" t="s">
        <v>83</v>
      </c>
      <c r="D5199" s="562">
        <v>291670830</v>
      </c>
      <c r="E5199" s="562">
        <v>135644758</v>
      </c>
      <c r="F5199" s="562"/>
      <c r="G5199" s="562">
        <f t="shared" si="267"/>
        <v>427315588</v>
      </c>
      <c r="H5199" s="362"/>
      <c r="I5199" s="362"/>
      <c r="J5199" s="362"/>
    </row>
    <row r="5200" spans="1:10" x14ac:dyDescent="0.25">
      <c r="A5200" s="362"/>
      <c r="B5200" s="611">
        <v>44427</v>
      </c>
      <c r="C5200" s="362" t="s">
        <v>78</v>
      </c>
      <c r="D5200" s="562">
        <v>176805479</v>
      </c>
      <c r="E5200" s="562">
        <v>917921</v>
      </c>
      <c r="F5200" s="562"/>
      <c r="G5200" s="562">
        <f t="shared" si="267"/>
        <v>177723400</v>
      </c>
      <c r="H5200" s="362"/>
      <c r="I5200" s="362"/>
      <c r="J5200" s="362"/>
    </row>
    <row r="5201" spans="1:10" x14ac:dyDescent="0.25">
      <c r="A5201" s="362"/>
      <c r="B5201" s="611">
        <v>44427</v>
      </c>
      <c r="C5201" s="362" t="s">
        <v>141</v>
      </c>
      <c r="D5201" s="562">
        <v>67708560</v>
      </c>
      <c r="E5201" s="562">
        <v>3579782</v>
      </c>
      <c r="F5201" s="562"/>
      <c r="G5201" s="562">
        <f t="shared" si="267"/>
        <v>71288342</v>
      </c>
      <c r="H5201" s="362"/>
      <c r="I5201" s="362"/>
      <c r="J5201" s="362"/>
    </row>
    <row r="5202" spans="1:10" x14ac:dyDescent="0.25">
      <c r="A5202" s="362"/>
      <c r="B5202" s="611">
        <v>44427</v>
      </c>
      <c r="C5202" s="362" t="s">
        <v>89</v>
      </c>
      <c r="D5202" s="562">
        <v>136933190</v>
      </c>
      <c r="E5202" s="562">
        <v>74077410</v>
      </c>
      <c r="F5202" s="562"/>
      <c r="G5202" s="562">
        <f t="shared" si="267"/>
        <v>211010600</v>
      </c>
      <c r="H5202" s="362"/>
      <c r="I5202" s="362"/>
      <c r="J5202" s="362"/>
    </row>
    <row r="5203" spans="1:10" x14ac:dyDescent="0.25">
      <c r="A5203" s="362"/>
      <c r="B5203" s="611">
        <v>44427</v>
      </c>
      <c r="C5203" s="362" t="s">
        <v>81</v>
      </c>
      <c r="D5203" s="562">
        <v>160680401</v>
      </c>
      <c r="E5203" s="562">
        <v>8286146</v>
      </c>
      <c r="F5203" s="562"/>
      <c r="G5203" s="562">
        <f t="shared" si="267"/>
        <v>168966547</v>
      </c>
      <c r="H5203" s="362"/>
      <c r="I5203" s="362"/>
      <c r="J5203" s="362"/>
    </row>
    <row r="5204" spans="1:10" x14ac:dyDescent="0.25">
      <c r="A5204" s="362"/>
      <c r="B5204" s="611">
        <v>44427</v>
      </c>
      <c r="C5204" s="362" t="s">
        <v>84</v>
      </c>
      <c r="D5204" s="562">
        <v>169427782</v>
      </c>
      <c r="E5204" s="562">
        <v>19282614</v>
      </c>
      <c r="F5204" s="562"/>
      <c r="G5204" s="562">
        <f t="shared" si="267"/>
        <v>188710396</v>
      </c>
      <c r="H5204" s="362"/>
      <c r="I5204" s="362"/>
      <c r="J5204" s="362"/>
    </row>
    <row r="5205" spans="1:10" x14ac:dyDescent="0.25">
      <c r="A5205" s="362"/>
      <c r="B5205" s="611">
        <v>44427</v>
      </c>
      <c r="C5205" s="362" t="s">
        <v>4751</v>
      </c>
      <c r="D5205" s="562">
        <v>238346691</v>
      </c>
      <c r="E5205" s="562">
        <v>20101709</v>
      </c>
      <c r="F5205" s="562"/>
      <c r="G5205" s="562">
        <f t="shared" si="267"/>
        <v>258448400</v>
      </c>
      <c r="H5205" s="362"/>
      <c r="I5205" s="362"/>
      <c r="J5205" s="362"/>
    </row>
    <row r="5206" spans="1:10" x14ac:dyDescent="0.25">
      <c r="A5206" s="362"/>
      <c r="B5206" s="611">
        <v>44427</v>
      </c>
      <c r="C5206" s="362" t="s">
        <v>166</v>
      </c>
      <c r="D5206" s="562">
        <v>114709308</v>
      </c>
      <c r="E5206" s="562"/>
      <c r="F5206" s="562"/>
      <c r="G5206" s="562">
        <f t="shared" si="267"/>
        <v>114709308</v>
      </c>
      <c r="H5206" s="362"/>
      <c r="I5206" s="362"/>
      <c r="J5206" s="362"/>
    </row>
    <row r="5207" spans="1:10" x14ac:dyDescent="0.25">
      <c r="A5207" s="362"/>
      <c r="B5207" s="611">
        <v>44427</v>
      </c>
      <c r="C5207" s="362" t="s">
        <v>3435</v>
      </c>
      <c r="D5207" s="562">
        <v>110895675</v>
      </c>
      <c r="E5207" s="562"/>
      <c r="F5207" s="562"/>
      <c r="G5207" s="562">
        <f t="shared" si="267"/>
        <v>110895675</v>
      </c>
      <c r="H5207" s="362"/>
      <c r="I5207" s="362"/>
      <c r="J5207" s="362"/>
    </row>
    <row r="5208" spans="1:10" x14ac:dyDescent="0.25">
      <c r="A5208" s="362"/>
      <c r="B5208" s="611">
        <v>44427</v>
      </c>
      <c r="C5208" s="370" t="s">
        <v>85</v>
      </c>
      <c r="D5208" s="562">
        <v>22038600</v>
      </c>
      <c r="E5208" s="562"/>
      <c r="F5208" s="562"/>
      <c r="G5208" s="562">
        <f t="shared" si="267"/>
        <v>22038600</v>
      </c>
      <c r="H5208" s="362"/>
      <c r="I5208" s="362"/>
      <c r="J5208" s="362"/>
    </row>
    <row r="5209" spans="1:10" x14ac:dyDescent="0.25">
      <c r="A5209" s="532"/>
      <c r="B5209" s="532"/>
      <c r="C5209" s="532"/>
      <c r="D5209" s="564">
        <f>SUM(D5194:D5208)</f>
        <v>2715036459</v>
      </c>
      <c r="E5209" s="564">
        <f t="shared" ref="E5209:G5209" si="268">SUM(E5194:E5208)</f>
        <v>683830698</v>
      </c>
      <c r="F5209" s="564">
        <f t="shared" si="268"/>
        <v>0</v>
      </c>
      <c r="G5209" s="564">
        <f t="shared" si="268"/>
        <v>3465855476</v>
      </c>
      <c r="H5209" s="532"/>
      <c r="I5209" s="532"/>
      <c r="J5209" s="532"/>
    </row>
    <row r="5210" spans="1:10" x14ac:dyDescent="0.25">
      <c r="A5210" s="362"/>
      <c r="B5210" s="611">
        <v>44428</v>
      </c>
      <c r="C5210" s="362" t="s">
        <v>86</v>
      </c>
      <c r="D5210" s="562">
        <v>55531656</v>
      </c>
      <c r="E5210" s="562">
        <v>39584996</v>
      </c>
      <c r="F5210" s="562">
        <v>95116600</v>
      </c>
      <c r="G5210" s="562">
        <f t="shared" si="267"/>
        <v>52</v>
      </c>
      <c r="H5210" s="362"/>
      <c r="I5210" s="362"/>
      <c r="J5210" s="362"/>
    </row>
    <row r="5211" spans="1:10" x14ac:dyDescent="0.25">
      <c r="A5211" s="362"/>
      <c r="B5211" s="611">
        <v>44428</v>
      </c>
      <c r="C5211" s="362" t="s">
        <v>87</v>
      </c>
      <c r="D5211" s="562">
        <v>90762595</v>
      </c>
      <c r="E5211" s="562">
        <v>121619712</v>
      </c>
      <c r="F5211" s="562">
        <v>212382500</v>
      </c>
      <c r="G5211" s="562">
        <f t="shared" si="267"/>
        <v>-193</v>
      </c>
      <c r="H5211" s="362"/>
      <c r="I5211" s="362"/>
      <c r="J5211" s="362"/>
    </row>
    <row r="5212" spans="1:10" x14ac:dyDescent="0.25">
      <c r="A5212" s="362"/>
      <c r="B5212" s="611">
        <v>44428</v>
      </c>
      <c r="C5212" s="362" t="s">
        <v>88</v>
      </c>
      <c r="D5212" s="562">
        <v>125552944</v>
      </c>
      <c r="E5212" s="562">
        <v>80706971</v>
      </c>
      <c r="F5212" s="562">
        <v>206259900</v>
      </c>
      <c r="G5212" s="562">
        <f t="shared" si="267"/>
        <v>15</v>
      </c>
      <c r="H5212" s="362"/>
      <c r="I5212" s="362"/>
      <c r="J5212" s="362"/>
    </row>
    <row r="5213" spans="1:10" x14ac:dyDescent="0.25">
      <c r="A5213" s="362"/>
      <c r="B5213" s="611">
        <v>44428</v>
      </c>
      <c r="C5213" s="362" t="s">
        <v>82</v>
      </c>
      <c r="D5213" s="562">
        <v>76557062</v>
      </c>
      <c r="E5213" s="562">
        <v>2865419</v>
      </c>
      <c r="F5213" s="562">
        <v>79422500</v>
      </c>
      <c r="G5213" s="562">
        <f t="shared" si="267"/>
        <v>-19</v>
      </c>
      <c r="H5213" s="362"/>
      <c r="I5213" s="362"/>
      <c r="J5213" s="362"/>
    </row>
    <row r="5214" spans="1:10" x14ac:dyDescent="0.25">
      <c r="A5214" s="362"/>
      <c r="B5214" s="611">
        <v>44428</v>
      </c>
      <c r="C5214" s="362" t="s">
        <v>80</v>
      </c>
      <c r="D5214" s="562">
        <v>199203000</v>
      </c>
      <c r="E5214" s="562"/>
      <c r="F5214" s="562">
        <v>199203000</v>
      </c>
      <c r="G5214" s="562">
        <f t="shared" si="267"/>
        <v>0</v>
      </c>
      <c r="H5214" s="362"/>
      <c r="I5214" s="362"/>
      <c r="J5214" s="362"/>
    </row>
    <row r="5215" spans="1:10" x14ac:dyDescent="0.25">
      <c r="A5215" s="362"/>
      <c r="B5215" s="611">
        <v>44428</v>
      </c>
      <c r="C5215" s="362" t="s">
        <v>83</v>
      </c>
      <c r="D5215" s="562">
        <v>223495851</v>
      </c>
      <c r="E5215" s="562">
        <v>40534649</v>
      </c>
      <c r="F5215" s="562">
        <v>264030500</v>
      </c>
      <c r="G5215" s="562">
        <f t="shared" si="267"/>
        <v>0</v>
      </c>
      <c r="H5215" s="362"/>
      <c r="I5215" s="362"/>
      <c r="J5215" s="362"/>
    </row>
    <row r="5216" spans="1:10" x14ac:dyDescent="0.25">
      <c r="A5216" s="362"/>
      <c r="B5216" s="611">
        <v>44428</v>
      </c>
      <c r="C5216" s="362" t="s">
        <v>78</v>
      </c>
      <c r="D5216" s="562">
        <v>122062867</v>
      </c>
      <c r="E5216" s="562">
        <v>1857833</v>
      </c>
      <c r="F5216" s="562">
        <v>123920700</v>
      </c>
      <c r="G5216" s="562">
        <f t="shared" si="267"/>
        <v>0</v>
      </c>
      <c r="H5216" s="362"/>
      <c r="I5216" s="362"/>
      <c r="J5216" s="362"/>
    </row>
    <row r="5217" spans="1:10" x14ac:dyDescent="0.25">
      <c r="A5217" s="362"/>
      <c r="B5217" s="611">
        <v>44428</v>
      </c>
      <c r="C5217" s="362" t="s">
        <v>141</v>
      </c>
      <c r="D5217" s="562">
        <v>83499942</v>
      </c>
      <c r="E5217" s="562">
        <v>1482313</v>
      </c>
      <c r="F5217" s="562">
        <v>84937300</v>
      </c>
      <c r="G5217" s="562">
        <f t="shared" si="267"/>
        <v>44955</v>
      </c>
      <c r="H5217" s="362"/>
      <c r="I5217" s="362"/>
      <c r="J5217" s="362"/>
    </row>
    <row r="5218" spans="1:10" x14ac:dyDescent="0.25">
      <c r="A5218" s="362"/>
      <c r="B5218" s="611">
        <v>44428</v>
      </c>
      <c r="C5218" s="362" t="s">
        <v>89</v>
      </c>
      <c r="D5218" s="562">
        <v>182482722</v>
      </c>
      <c r="E5218" s="562">
        <v>150796378</v>
      </c>
      <c r="F5218" s="562">
        <v>333279000</v>
      </c>
      <c r="G5218" s="562">
        <f t="shared" si="267"/>
        <v>100</v>
      </c>
      <c r="H5218" s="362"/>
      <c r="I5218" s="362"/>
      <c r="J5218" s="362"/>
    </row>
    <row r="5219" spans="1:10" x14ac:dyDescent="0.25">
      <c r="A5219" s="362"/>
      <c r="B5219" s="611">
        <v>44428</v>
      </c>
      <c r="C5219" s="362" t="s">
        <v>81</v>
      </c>
      <c r="D5219" s="562">
        <v>84542923</v>
      </c>
      <c r="E5219" s="562">
        <v>23840574</v>
      </c>
      <c r="F5219" s="562">
        <v>108383500</v>
      </c>
      <c r="G5219" s="562">
        <f t="shared" si="267"/>
        <v>-3</v>
      </c>
      <c r="H5219" s="362"/>
      <c r="I5219" s="362"/>
      <c r="J5219" s="362"/>
    </row>
    <row r="5220" spans="1:10" x14ac:dyDescent="0.25">
      <c r="A5220" s="362"/>
      <c r="B5220" s="611">
        <v>44428</v>
      </c>
      <c r="C5220" s="362" t="s">
        <v>84</v>
      </c>
      <c r="D5220" s="562">
        <v>227700402</v>
      </c>
      <c r="E5220" s="562">
        <v>6821642</v>
      </c>
      <c r="F5220" s="562">
        <v>234520000</v>
      </c>
      <c r="G5220" s="562">
        <f t="shared" si="267"/>
        <v>2044</v>
      </c>
      <c r="H5220" s="362"/>
      <c r="I5220" s="362"/>
      <c r="J5220" s="362"/>
    </row>
    <row r="5221" spans="1:10" x14ac:dyDescent="0.25">
      <c r="A5221" s="362"/>
      <c r="B5221" s="611">
        <v>44428</v>
      </c>
      <c r="C5221" s="362" t="s">
        <v>4751</v>
      </c>
      <c r="D5221" s="562">
        <v>310368725</v>
      </c>
      <c r="E5221" s="562">
        <v>17465175</v>
      </c>
      <c r="F5221" s="562">
        <v>327833900</v>
      </c>
      <c r="G5221" s="562">
        <f t="shared" si="267"/>
        <v>0</v>
      </c>
      <c r="H5221" s="362"/>
      <c r="I5221" s="362"/>
      <c r="J5221" s="362"/>
    </row>
    <row r="5222" spans="1:10" x14ac:dyDescent="0.25">
      <c r="A5222" s="362"/>
      <c r="B5222" s="611">
        <v>44428</v>
      </c>
      <c r="C5222" s="362" t="s">
        <v>166</v>
      </c>
      <c r="D5222" s="562">
        <v>45753341</v>
      </c>
      <c r="E5222" s="562"/>
      <c r="F5222" s="562">
        <v>45753400</v>
      </c>
      <c r="G5222" s="562">
        <f t="shared" si="267"/>
        <v>-59</v>
      </c>
      <c r="H5222" s="362"/>
      <c r="I5222" s="362"/>
      <c r="J5222" s="362"/>
    </row>
    <row r="5223" spans="1:10" x14ac:dyDescent="0.25">
      <c r="A5223" s="362"/>
      <c r="B5223" s="611">
        <v>44428</v>
      </c>
      <c r="C5223" s="362" t="s">
        <v>3435</v>
      </c>
      <c r="D5223" s="562">
        <v>103633125</v>
      </c>
      <c r="E5223" s="562"/>
      <c r="F5223" s="562">
        <v>103633200</v>
      </c>
      <c r="G5223" s="562">
        <f t="shared" si="267"/>
        <v>-75</v>
      </c>
      <c r="H5223" s="362"/>
      <c r="I5223" s="362"/>
      <c r="J5223" s="362"/>
    </row>
    <row r="5224" spans="1:10" x14ac:dyDescent="0.25">
      <c r="A5224" s="362"/>
      <c r="B5224" s="611">
        <v>44428</v>
      </c>
      <c r="C5224" s="370" t="s">
        <v>85</v>
      </c>
      <c r="D5224" s="562">
        <v>24459800</v>
      </c>
      <c r="E5224" s="562"/>
      <c r="F5224" s="562">
        <v>24459800</v>
      </c>
      <c r="G5224" s="562">
        <f t="shared" si="267"/>
        <v>0</v>
      </c>
      <c r="H5224" s="362"/>
      <c r="I5224" s="362"/>
      <c r="J5224" s="362"/>
    </row>
    <row r="5225" spans="1:10" x14ac:dyDescent="0.25">
      <c r="A5225" s="532"/>
      <c r="B5225" s="532"/>
      <c r="C5225" s="532"/>
      <c r="D5225" s="564">
        <f>SUM(D5210:D5224)</f>
        <v>1955606955</v>
      </c>
      <c r="E5225" s="564">
        <f t="shared" ref="E5225:G5225" si="269">SUM(E5210:E5224)</f>
        <v>487575662</v>
      </c>
      <c r="F5225" s="564">
        <f t="shared" si="269"/>
        <v>2443135800</v>
      </c>
      <c r="G5225" s="564">
        <f t="shared" si="269"/>
        <v>46817</v>
      </c>
      <c r="H5225" s="532"/>
      <c r="I5225" s="532"/>
      <c r="J5225" s="532"/>
    </row>
    <row r="5226" spans="1:10" x14ac:dyDescent="0.25">
      <c r="A5226" s="362"/>
      <c r="B5226" s="611">
        <v>44429</v>
      </c>
      <c r="C5226" s="362" t="s">
        <v>86</v>
      </c>
      <c r="D5226" s="562">
        <v>59921267</v>
      </c>
      <c r="E5226" s="562">
        <v>162470305</v>
      </c>
      <c r="F5226" s="562"/>
      <c r="G5226" s="562">
        <f t="shared" si="267"/>
        <v>222391572</v>
      </c>
      <c r="H5226" s="362"/>
      <c r="I5226" s="362"/>
      <c r="J5226" s="362"/>
    </row>
    <row r="5227" spans="1:10" x14ac:dyDescent="0.25">
      <c r="A5227" s="362"/>
      <c r="B5227" s="611">
        <v>44429</v>
      </c>
      <c r="C5227" s="362" t="s">
        <v>87</v>
      </c>
      <c r="D5227" s="562">
        <v>77469323</v>
      </c>
      <c r="E5227" s="562">
        <v>128373287</v>
      </c>
      <c r="F5227" s="562"/>
      <c r="G5227" s="562">
        <f t="shared" si="267"/>
        <v>205842610</v>
      </c>
      <c r="H5227" s="362"/>
      <c r="I5227" s="362"/>
      <c r="J5227" s="362"/>
    </row>
    <row r="5228" spans="1:10" x14ac:dyDescent="0.25">
      <c r="A5228" s="362"/>
      <c r="B5228" s="611">
        <v>44429</v>
      </c>
      <c r="C5228" s="362" t="s">
        <v>88</v>
      </c>
      <c r="D5228" s="562">
        <v>170711885</v>
      </c>
      <c r="E5228" s="562">
        <v>98965586</v>
      </c>
      <c r="F5228" s="562"/>
      <c r="G5228" s="562">
        <f t="shared" si="267"/>
        <v>269677471</v>
      </c>
      <c r="H5228" s="362"/>
      <c r="I5228" s="362"/>
      <c r="J5228" s="362"/>
    </row>
    <row r="5229" spans="1:10" x14ac:dyDescent="0.25">
      <c r="A5229" s="362"/>
      <c r="B5229" s="611">
        <v>44429</v>
      </c>
      <c r="C5229" s="362" t="s">
        <v>82</v>
      </c>
      <c r="D5229" s="562">
        <v>72238744</v>
      </c>
      <c r="E5229" s="562">
        <v>14406075</v>
      </c>
      <c r="F5229" s="562"/>
      <c r="G5229" s="562">
        <f t="shared" si="267"/>
        <v>86644819</v>
      </c>
      <c r="H5229" s="362"/>
      <c r="I5229" s="362"/>
      <c r="J5229" s="362"/>
    </row>
    <row r="5230" spans="1:10" x14ac:dyDescent="0.25">
      <c r="A5230" s="362"/>
      <c r="B5230" s="611">
        <v>44429</v>
      </c>
      <c r="C5230" s="362" t="s">
        <v>80</v>
      </c>
      <c r="D5230" s="562">
        <v>300851373</v>
      </c>
      <c r="E5230" s="562"/>
      <c r="F5230" s="562"/>
      <c r="G5230" s="562">
        <f t="shared" si="267"/>
        <v>300851373</v>
      </c>
      <c r="H5230" s="362"/>
      <c r="I5230" s="362"/>
      <c r="J5230" s="362"/>
    </row>
    <row r="5231" spans="1:10" x14ac:dyDescent="0.25">
      <c r="A5231" s="362"/>
      <c r="B5231" s="611">
        <v>44429</v>
      </c>
      <c r="C5231" s="362" t="s">
        <v>83</v>
      </c>
      <c r="D5231" s="562">
        <v>213802406</v>
      </c>
      <c r="E5231" s="562">
        <v>260364791</v>
      </c>
      <c r="F5231" s="562"/>
      <c r="G5231" s="562">
        <f t="shared" si="267"/>
        <v>474167197</v>
      </c>
      <c r="H5231" s="362"/>
      <c r="I5231" s="362"/>
      <c r="J5231" s="362"/>
    </row>
    <row r="5232" spans="1:10" x14ac:dyDescent="0.25">
      <c r="A5232" s="362"/>
      <c r="B5232" s="611">
        <v>44429</v>
      </c>
      <c r="C5232" s="362" t="s">
        <v>78</v>
      </c>
      <c r="D5232" s="562">
        <v>224687183</v>
      </c>
      <c r="E5232" s="562">
        <v>8606417</v>
      </c>
      <c r="F5232" s="562"/>
      <c r="G5232" s="562">
        <f t="shared" si="267"/>
        <v>233293600</v>
      </c>
      <c r="H5232" s="362"/>
      <c r="I5232" s="362"/>
      <c r="J5232" s="362"/>
    </row>
    <row r="5233" spans="1:10" x14ac:dyDescent="0.25">
      <c r="A5233" s="362"/>
      <c r="B5233" s="611">
        <v>44429</v>
      </c>
      <c r="C5233" s="362" t="s">
        <v>141</v>
      </c>
      <c r="D5233" s="562">
        <v>35205084</v>
      </c>
      <c r="E5233" s="562">
        <v>642930</v>
      </c>
      <c r="F5233" s="562"/>
      <c r="G5233" s="562">
        <f t="shared" si="267"/>
        <v>35848014</v>
      </c>
      <c r="H5233" s="362"/>
      <c r="I5233" s="362"/>
      <c r="J5233" s="362"/>
    </row>
    <row r="5234" spans="1:10" x14ac:dyDescent="0.25">
      <c r="A5234" s="362"/>
      <c r="B5234" s="611">
        <v>44429</v>
      </c>
      <c r="C5234" s="362" t="s">
        <v>89</v>
      </c>
      <c r="D5234" s="562">
        <v>87977794</v>
      </c>
      <c r="E5234" s="562">
        <v>35172806</v>
      </c>
      <c r="F5234" s="562"/>
      <c r="G5234" s="562">
        <f t="shared" si="267"/>
        <v>123150600</v>
      </c>
      <c r="H5234" s="362"/>
      <c r="I5234" s="362"/>
      <c r="J5234" s="362"/>
    </row>
    <row r="5235" spans="1:10" x14ac:dyDescent="0.25">
      <c r="A5235" s="362"/>
      <c r="B5235" s="611">
        <v>44429</v>
      </c>
      <c r="C5235" s="362" t="s">
        <v>81</v>
      </c>
      <c r="D5235" s="562">
        <v>90507116</v>
      </c>
      <c r="E5235" s="562">
        <v>15882318</v>
      </c>
      <c r="F5235" s="562"/>
      <c r="G5235" s="562">
        <f t="shared" si="267"/>
        <v>106389434</v>
      </c>
      <c r="H5235" s="362"/>
      <c r="I5235" s="362"/>
      <c r="J5235" s="362"/>
    </row>
    <row r="5236" spans="1:10" x14ac:dyDescent="0.25">
      <c r="A5236" s="362"/>
      <c r="B5236" s="611">
        <v>44429</v>
      </c>
      <c r="C5236" s="362" t="s">
        <v>84</v>
      </c>
      <c r="D5236" s="562">
        <v>124236606</v>
      </c>
      <c r="E5236" s="562">
        <v>12038229</v>
      </c>
      <c r="F5236" s="562"/>
      <c r="G5236" s="562">
        <f t="shared" si="267"/>
        <v>136274835</v>
      </c>
      <c r="H5236" s="362"/>
      <c r="I5236" s="362"/>
      <c r="J5236" s="362"/>
    </row>
    <row r="5237" spans="1:10" x14ac:dyDescent="0.25">
      <c r="A5237" s="362"/>
      <c r="B5237" s="611">
        <v>44429</v>
      </c>
      <c r="C5237" s="362" t="s">
        <v>4751</v>
      </c>
      <c r="D5237" s="562">
        <v>216283747</v>
      </c>
      <c r="E5237" s="562">
        <v>12917353</v>
      </c>
      <c r="F5237" s="562"/>
      <c r="G5237" s="562">
        <f t="shared" si="267"/>
        <v>229201100</v>
      </c>
      <c r="H5237" s="362"/>
      <c r="I5237" s="362"/>
      <c r="J5237" s="362"/>
    </row>
    <row r="5238" spans="1:10" x14ac:dyDescent="0.25">
      <c r="A5238" s="362"/>
      <c r="B5238" s="611">
        <v>44429</v>
      </c>
      <c r="C5238" s="362" t="s">
        <v>166</v>
      </c>
      <c r="D5238" s="562"/>
      <c r="E5238" s="562"/>
      <c r="F5238" s="562"/>
      <c r="G5238" s="562">
        <f t="shared" si="267"/>
        <v>0</v>
      </c>
      <c r="H5238" s="362"/>
      <c r="I5238" s="362"/>
      <c r="J5238" s="362"/>
    </row>
    <row r="5239" spans="1:10" x14ac:dyDescent="0.25">
      <c r="A5239" s="362"/>
      <c r="B5239" s="611">
        <v>44429</v>
      </c>
      <c r="C5239" s="362" t="s">
        <v>3435</v>
      </c>
      <c r="D5239" s="562"/>
      <c r="E5239" s="562"/>
      <c r="F5239" s="562"/>
      <c r="G5239" s="562">
        <f t="shared" si="267"/>
        <v>0</v>
      </c>
      <c r="H5239" s="362"/>
      <c r="I5239" s="362"/>
      <c r="J5239" s="362"/>
    </row>
    <row r="5240" spans="1:10" x14ac:dyDescent="0.25">
      <c r="A5240" s="362"/>
      <c r="B5240" s="611">
        <v>44429</v>
      </c>
      <c r="C5240" s="370" t="s">
        <v>85</v>
      </c>
      <c r="D5240" s="562">
        <v>26965200</v>
      </c>
      <c r="E5240" s="562"/>
      <c r="F5240" s="562"/>
      <c r="G5240" s="562">
        <f t="shared" si="267"/>
        <v>26965200</v>
      </c>
      <c r="H5240" s="362"/>
      <c r="I5240" s="362"/>
      <c r="J5240" s="362"/>
    </row>
    <row r="5241" spans="1:10" x14ac:dyDescent="0.25">
      <c r="A5241" s="532"/>
      <c r="B5241" s="532"/>
      <c r="C5241" s="532"/>
      <c r="D5241" s="564">
        <f>SUM(D5226:D5240)</f>
        <v>1700857728</v>
      </c>
      <c r="E5241" s="564">
        <f t="shared" ref="E5241:G5241" si="270">SUM(E5226:E5240)</f>
        <v>749840097</v>
      </c>
      <c r="F5241" s="564">
        <f t="shared" si="270"/>
        <v>0</v>
      </c>
      <c r="G5241" s="564">
        <f t="shared" si="270"/>
        <v>2450697825</v>
      </c>
      <c r="H5241" s="532"/>
      <c r="I5241" s="532"/>
      <c r="J5241" s="532"/>
    </row>
    <row r="5242" spans="1:10" x14ac:dyDescent="0.25">
      <c r="A5242" s="362"/>
      <c r="B5242" s="611">
        <v>44431</v>
      </c>
      <c r="C5242" s="362" t="s">
        <v>86</v>
      </c>
      <c r="D5242" s="562">
        <v>35334744</v>
      </c>
      <c r="E5242" s="562">
        <v>73291703</v>
      </c>
      <c r="F5242" s="562">
        <v>108626500</v>
      </c>
      <c r="G5242" s="562">
        <f t="shared" si="267"/>
        <v>-53</v>
      </c>
      <c r="H5242" s="362"/>
      <c r="I5242" s="362"/>
      <c r="J5242" s="362"/>
    </row>
    <row r="5243" spans="1:10" x14ac:dyDescent="0.25">
      <c r="A5243" s="362"/>
      <c r="B5243" s="611">
        <v>44431</v>
      </c>
      <c r="C5243" s="362" t="s">
        <v>87</v>
      </c>
      <c r="D5243" s="562">
        <v>88975299</v>
      </c>
      <c r="E5243" s="562">
        <v>139094479</v>
      </c>
      <c r="F5243" s="562">
        <v>228069900</v>
      </c>
      <c r="G5243" s="562">
        <f t="shared" si="267"/>
        <v>-122</v>
      </c>
      <c r="H5243" s="362"/>
      <c r="I5243" s="362"/>
      <c r="J5243" s="362"/>
    </row>
    <row r="5244" spans="1:10" x14ac:dyDescent="0.25">
      <c r="A5244" s="362"/>
      <c r="B5244" s="611">
        <v>44431</v>
      </c>
      <c r="C5244" s="362" t="s">
        <v>88</v>
      </c>
      <c r="D5244" s="562">
        <v>171840330</v>
      </c>
      <c r="E5244" s="562">
        <v>26075953</v>
      </c>
      <c r="F5244" s="562">
        <v>197916800</v>
      </c>
      <c r="G5244" s="562">
        <f t="shared" si="267"/>
        <v>-517</v>
      </c>
      <c r="H5244" s="362"/>
      <c r="I5244" s="362"/>
      <c r="J5244" s="362"/>
    </row>
    <row r="5245" spans="1:10" x14ac:dyDescent="0.25">
      <c r="A5245" s="362"/>
      <c r="B5245" s="611">
        <v>44431</v>
      </c>
      <c r="C5245" s="362" t="s">
        <v>82</v>
      </c>
      <c r="D5245" s="562">
        <v>34623981</v>
      </c>
      <c r="E5245" s="562">
        <v>22567582</v>
      </c>
      <c r="F5245" s="562">
        <v>57191600</v>
      </c>
      <c r="G5245" s="562">
        <f t="shared" si="267"/>
        <v>-37</v>
      </c>
      <c r="H5245" s="362"/>
      <c r="I5245" s="362"/>
      <c r="J5245" s="362"/>
    </row>
    <row r="5246" spans="1:10" x14ac:dyDescent="0.25">
      <c r="A5246" s="362"/>
      <c r="B5246" s="611">
        <v>44431</v>
      </c>
      <c r="C5246" s="362" t="s">
        <v>80</v>
      </c>
      <c r="D5246" s="562">
        <v>292849412</v>
      </c>
      <c r="E5246" s="562">
        <v>124295688</v>
      </c>
      <c r="F5246" s="562">
        <v>417145100</v>
      </c>
      <c r="G5246" s="562">
        <f t="shared" si="267"/>
        <v>0</v>
      </c>
      <c r="H5246" s="362"/>
      <c r="I5246" s="362"/>
      <c r="J5246" s="362"/>
    </row>
    <row r="5247" spans="1:10" x14ac:dyDescent="0.25">
      <c r="A5247" s="362"/>
      <c r="B5247" s="611">
        <v>44431</v>
      </c>
      <c r="C5247" s="362" t="s">
        <v>83</v>
      </c>
      <c r="D5247" s="562">
        <v>322392782</v>
      </c>
      <c r="E5247" s="562">
        <v>220713227</v>
      </c>
      <c r="F5247" s="562">
        <v>543106000</v>
      </c>
      <c r="G5247" s="562">
        <f t="shared" si="267"/>
        <v>9</v>
      </c>
      <c r="H5247" s="362"/>
      <c r="I5247" s="362"/>
      <c r="J5247" s="362"/>
    </row>
    <row r="5248" spans="1:10" x14ac:dyDescent="0.25">
      <c r="A5248" s="362"/>
      <c r="B5248" s="611">
        <v>44431</v>
      </c>
      <c r="C5248" s="362" t="s">
        <v>78</v>
      </c>
      <c r="D5248" s="562">
        <v>69998244</v>
      </c>
      <c r="E5248" s="562">
        <v>2364656</v>
      </c>
      <c r="F5248" s="562">
        <v>72362900</v>
      </c>
      <c r="G5248" s="562">
        <f t="shared" si="267"/>
        <v>0</v>
      </c>
      <c r="H5248" s="362"/>
      <c r="I5248" s="362"/>
      <c r="J5248" s="362"/>
    </row>
    <row r="5249" spans="1:10" x14ac:dyDescent="0.25">
      <c r="A5249" s="362"/>
      <c r="B5249" s="611">
        <v>44431</v>
      </c>
      <c r="C5249" s="362" t="s">
        <v>141</v>
      </c>
      <c r="D5249" s="562">
        <v>51880119</v>
      </c>
      <c r="E5249" s="562">
        <v>5726849</v>
      </c>
      <c r="F5249" s="562">
        <v>57445500</v>
      </c>
      <c r="G5249" s="562">
        <f t="shared" si="267"/>
        <v>161468</v>
      </c>
      <c r="H5249" s="362"/>
      <c r="I5249" s="362"/>
      <c r="J5249" s="362"/>
    </row>
    <row r="5250" spans="1:10" x14ac:dyDescent="0.25">
      <c r="A5250" s="362"/>
      <c r="B5250" s="611">
        <v>44431</v>
      </c>
      <c r="C5250" s="362" t="s">
        <v>89</v>
      </c>
      <c r="D5250" s="562">
        <v>181205386</v>
      </c>
      <c r="E5250" s="562">
        <v>41913914</v>
      </c>
      <c r="F5250" s="562">
        <v>223119300</v>
      </c>
      <c r="G5250" s="562">
        <f t="shared" si="267"/>
        <v>0</v>
      </c>
      <c r="H5250" s="362"/>
      <c r="I5250" s="362"/>
      <c r="J5250" s="362"/>
    </row>
    <row r="5251" spans="1:10" x14ac:dyDescent="0.25">
      <c r="A5251" s="362"/>
      <c r="B5251" s="611">
        <v>44431</v>
      </c>
      <c r="C5251" s="362" t="s">
        <v>81</v>
      </c>
      <c r="D5251" s="562">
        <v>125567644</v>
      </c>
      <c r="E5251" s="562">
        <v>48141340</v>
      </c>
      <c r="F5251" s="562">
        <v>173709000</v>
      </c>
      <c r="G5251" s="562">
        <f t="shared" si="267"/>
        <v>-16</v>
      </c>
      <c r="H5251" s="362"/>
      <c r="I5251" s="362"/>
      <c r="J5251" s="362"/>
    </row>
    <row r="5252" spans="1:10" x14ac:dyDescent="0.25">
      <c r="A5252" s="362"/>
      <c r="B5252" s="611">
        <v>44431</v>
      </c>
      <c r="C5252" s="362" t="s">
        <v>84</v>
      </c>
      <c r="D5252" s="562">
        <v>254315195</v>
      </c>
      <c r="E5252" s="562">
        <v>11430828</v>
      </c>
      <c r="F5252" s="562">
        <v>265746100</v>
      </c>
      <c r="G5252" s="562">
        <f t="shared" si="267"/>
        <v>-77</v>
      </c>
      <c r="H5252" s="362"/>
      <c r="I5252" s="362"/>
      <c r="J5252" s="362"/>
    </row>
    <row r="5253" spans="1:10" x14ac:dyDescent="0.25">
      <c r="A5253" s="362"/>
      <c r="B5253" s="611">
        <v>44431</v>
      </c>
      <c r="C5253" s="362" t="s">
        <v>4751</v>
      </c>
      <c r="D5253" s="562">
        <v>241722087</v>
      </c>
      <c r="E5253" s="562">
        <v>23793613</v>
      </c>
      <c r="F5253" s="562">
        <v>265515700</v>
      </c>
      <c r="G5253" s="562">
        <f t="shared" si="267"/>
        <v>0</v>
      </c>
      <c r="H5253" s="362"/>
      <c r="I5253" s="362"/>
      <c r="J5253" s="362"/>
    </row>
    <row r="5254" spans="1:10" x14ac:dyDescent="0.25">
      <c r="A5254" s="362"/>
      <c r="B5254" s="611">
        <v>44431</v>
      </c>
      <c r="C5254" s="362" t="s">
        <v>166</v>
      </c>
      <c r="D5254" s="562">
        <v>56439866</v>
      </c>
      <c r="E5254" s="562"/>
      <c r="F5254" s="562">
        <v>56439900</v>
      </c>
      <c r="G5254" s="562">
        <f t="shared" si="267"/>
        <v>-34</v>
      </c>
      <c r="H5254" s="362"/>
      <c r="I5254" s="362"/>
      <c r="J5254" s="362"/>
    </row>
    <row r="5255" spans="1:10" x14ac:dyDescent="0.25">
      <c r="A5255" s="362"/>
      <c r="B5255" s="611">
        <v>44431</v>
      </c>
      <c r="C5255" s="362" t="s">
        <v>3435</v>
      </c>
      <c r="D5255" s="562">
        <v>43366504</v>
      </c>
      <c r="E5255" s="562"/>
      <c r="F5255" s="562">
        <v>43366600</v>
      </c>
      <c r="G5255" s="562">
        <f t="shared" si="267"/>
        <v>-96</v>
      </c>
      <c r="H5255" s="362"/>
      <c r="I5255" s="362"/>
      <c r="J5255" s="362"/>
    </row>
    <row r="5256" spans="1:10" x14ac:dyDescent="0.25">
      <c r="A5256" s="362"/>
      <c r="B5256" s="611">
        <v>44431</v>
      </c>
      <c r="C5256" s="370" t="s">
        <v>85</v>
      </c>
      <c r="D5256" s="562">
        <v>52070800</v>
      </c>
      <c r="E5256" s="562"/>
      <c r="F5256" s="562">
        <v>52070800</v>
      </c>
      <c r="G5256" s="562">
        <f t="shared" si="267"/>
        <v>0</v>
      </c>
      <c r="H5256" s="362"/>
      <c r="I5256" s="362"/>
      <c r="J5256" s="362"/>
    </row>
    <row r="5257" spans="1:10" x14ac:dyDescent="0.25">
      <c r="A5257" s="532"/>
      <c r="B5257" s="532"/>
      <c r="C5257" s="532"/>
      <c r="D5257" s="564">
        <f>SUM(D5242:D5256)</f>
        <v>2022582393</v>
      </c>
      <c r="E5257" s="564">
        <f>SUM(E5242:E5256)</f>
        <v>739409832</v>
      </c>
      <c r="F5257" s="564">
        <f>SUM(F5242:F5256)</f>
        <v>2761831700</v>
      </c>
      <c r="G5257" s="564">
        <f t="shared" ref="G5257" si="271">SUM(G5242:G5256)</f>
        <v>160525</v>
      </c>
      <c r="H5257" s="532"/>
      <c r="I5257" s="532"/>
      <c r="J5257" s="532"/>
    </row>
    <row r="5258" spans="1:10" x14ac:dyDescent="0.25">
      <c r="A5258" s="362"/>
      <c r="B5258" s="611">
        <v>44432</v>
      </c>
      <c r="C5258" s="362" t="s">
        <v>86</v>
      </c>
      <c r="D5258" s="562">
        <v>98297201</v>
      </c>
      <c r="E5258" s="562">
        <v>35295953</v>
      </c>
      <c r="F5258" s="562"/>
      <c r="G5258" s="562">
        <f t="shared" si="267"/>
        <v>133593154</v>
      </c>
      <c r="H5258" s="362"/>
      <c r="I5258" s="362"/>
      <c r="J5258" s="362"/>
    </row>
    <row r="5259" spans="1:10" x14ac:dyDescent="0.25">
      <c r="A5259" s="362"/>
      <c r="B5259" s="611">
        <v>44432</v>
      </c>
      <c r="C5259" s="362" t="s">
        <v>87</v>
      </c>
      <c r="D5259" s="562">
        <v>112226241</v>
      </c>
      <c r="E5259" s="562">
        <v>186956632</v>
      </c>
      <c r="F5259" s="562"/>
      <c r="G5259" s="562">
        <f t="shared" si="267"/>
        <v>299182873</v>
      </c>
      <c r="H5259" s="362"/>
      <c r="I5259" s="362"/>
      <c r="J5259" s="362"/>
    </row>
    <row r="5260" spans="1:10" x14ac:dyDescent="0.25">
      <c r="A5260" s="362"/>
      <c r="B5260" s="611">
        <v>44432</v>
      </c>
      <c r="C5260" s="362" t="s">
        <v>88</v>
      </c>
      <c r="D5260" s="562">
        <v>263900274</v>
      </c>
      <c r="E5260" s="562">
        <v>9838935</v>
      </c>
      <c r="F5260" s="562"/>
      <c r="G5260" s="562">
        <f t="shared" ref="G5260:G5323" si="272">D5260+E5260-F5260</f>
        <v>273739209</v>
      </c>
      <c r="H5260" s="362"/>
      <c r="I5260" s="362"/>
      <c r="J5260" s="362"/>
    </row>
    <row r="5261" spans="1:10" x14ac:dyDescent="0.25">
      <c r="A5261" s="362"/>
      <c r="B5261" s="611">
        <v>44432</v>
      </c>
      <c r="C5261" s="362" t="s">
        <v>82</v>
      </c>
      <c r="D5261" s="562">
        <v>159821932</v>
      </c>
      <c r="E5261" s="562">
        <v>4796437</v>
      </c>
      <c r="F5261" s="562"/>
      <c r="G5261" s="562">
        <f t="shared" si="272"/>
        <v>164618369</v>
      </c>
      <c r="H5261" s="362"/>
      <c r="I5261" s="362"/>
      <c r="J5261" s="362"/>
    </row>
    <row r="5262" spans="1:10" x14ac:dyDescent="0.25">
      <c r="A5262" s="362"/>
      <c r="B5262" s="611">
        <v>44432</v>
      </c>
      <c r="C5262" s="362" t="s">
        <v>80</v>
      </c>
      <c r="D5262" s="562">
        <v>261489326</v>
      </c>
      <c r="E5262" s="562"/>
      <c r="F5262" s="562"/>
      <c r="G5262" s="562">
        <f t="shared" si="272"/>
        <v>261489326</v>
      </c>
      <c r="H5262" s="362"/>
      <c r="I5262" s="362"/>
      <c r="J5262" s="362"/>
    </row>
    <row r="5263" spans="1:10" x14ac:dyDescent="0.25">
      <c r="A5263" s="362"/>
      <c r="B5263" s="611">
        <v>44432</v>
      </c>
      <c r="C5263" s="362" t="s">
        <v>83</v>
      </c>
      <c r="D5263" s="562">
        <v>273005840</v>
      </c>
      <c r="E5263" s="562">
        <v>109796865</v>
      </c>
      <c r="F5263" s="562"/>
      <c r="G5263" s="562">
        <f t="shared" si="272"/>
        <v>382802705</v>
      </c>
      <c r="H5263" s="362"/>
      <c r="I5263" s="362"/>
      <c r="J5263" s="362"/>
    </row>
    <row r="5264" spans="1:10" x14ac:dyDescent="0.25">
      <c r="A5264" s="362"/>
      <c r="B5264" s="611">
        <v>44432</v>
      </c>
      <c r="C5264" s="362" t="s">
        <v>78</v>
      </c>
      <c r="D5264" s="562">
        <v>132281896</v>
      </c>
      <c r="E5264" s="562">
        <v>7089204</v>
      </c>
      <c r="F5264" s="562"/>
      <c r="G5264" s="562">
        <f t="shared" si="272"/>
        <v>139371100</v>
      </c>
      <c r="H5264" s="362"/>
      <c r="I5264" s="362"/>
      <c r="J5264" s="362"/>
    </row>
    <row r="5265" spans="1:10" x14ac:dyDescent="0.25">
      <c r="A5265" s="362"/>
      <c r="B5265" s="611">
        <v>44432</v>
      </c>
      <c r="C5265" s="362" t="s">
        <v>141</v>
      </c>
      <c r="D5265" s="562">
        <v>94337363</v>
      </c>
      <c r="E5265" s="562">
        <v>15000</v>
      </c>
      <c r="F5265" s="562"/>
      <c r="G5265" s="562">
        <f t="shared" si="272"/>
        <v>94352363</v>
      </c>
      <c r="H5265" s="362"/>
      <c r="I5265" s="362"/>
      <c r="J5265" s="362"/>
    </row>
    <row r="5266" spans="1:10" x14ac:dyDescent="0.25">
      <c r="A5266" s="362"/>
      <c r="B5266" s="611">
        <v>44432</v>
      </c>
      <c r="C5266" s="362" t="s">
        <v>89</v>
      </c>
      <c r="D5266" s="562">
        <v>243064637</v>
      </c>
      <c r="E5266" s="562">
        <v>18287763</v>
      </c>
      <c r="F5266" s="562"/>
      <c r="G5266" s="562">
        <f t="shared" si="272"/>
        <v>261352400</v>
      </c>
      <c r="H5266" s="362"/>
      <c r="I5266" s="362"/>
      <c r="J5266" s="362"/>
    </row>
    <row r="5267" spans="1:10" x14ac:dyDescent="0.25">
      <c r="A5267" s="362"/>
      <c r="B5267" s="611">
        <v>44432</v>
      </c>
      <c r="C5267" s="362" t="s">
        <v>81</v>
      </c>
      <c r="D5267" s="562">
        <v>99379812</v>
      </c>
      <c r="E5267" s="562">
        <v>9695142</v>
      </c>
      <c r="F5267" s="562"/>
      <c r="G5267" s="562">
        <f t="shared" si="272"/>
        <v>109074954</v>
      </c>
      <c r="H5267" s="362"/>
      <c r="I5267" s="362"/>
      <c r="J5267" s="362"/>
    </row>
    <row r="5268" spans="1:10" x14ac:dyDescent="0.25">
      <c r="A5268" s="362"/>
      <c r="B5268" s="611">
        <v>44432</v>
      </c>
      <c r="C5268" s="362" t="s">
        <v>84</v>
      </c>
      <c r="D5268" s="562">
        <v>200291648</v>
      </c>
      <c r="E5268" s="562">
        <v>12643106</v>
      </c>
      <c r="F5268" s="562"/>
      <c r="G5268" s="562">
        <f t="shared" si="272"/>
        <v>212934754</v>
      </c>
      <c r="H5268" s="362"/>
      <c r="I5268" s="362"/>
      <c r="J5268" s="362"/>
    </row>
    <row r="5269" spans="1:10" x14ac:dyDescent="0.25">
      <c r="A5269" s="362"/>
      <c r="B5269" s="611">
        <v>44432</v>
      </c>
      <c r="C5269" s="362" t="s">
        <v>4751</v>
      </c>
      <c r="D5269" s="562">
        <v>303059932</v>
      </c>
      <c r="E5269" s="562">
        <v>13145868</v>
      </c>
      <c r="F5269" s="562"/>
      <c r="G5269" s="562">
        <f t="shared" si="272"/>
        <v>316205800</v>
      </c>
      <c r="H5269" s="362"/>
      <c r="I5269" s="362"/>
      <c r="J5269" s="362"/>
    </row>
    <row r="5270" spans="1:10" x14ac:dyDescent="0.25">
      <c r="A5270" s="362"/>
      <c r="B5270" s="611">
        <v>44432</v>
      </c>
      <c r="C5270" s="362" t="s">
        <v>166</v>
      </c>
      <c r="D5270" s="562">
        <v>85473314</v>
      </c>
      <c r="E5270" s="562"/>
      <c r="F5270" s="562"/>
      <c r="G5270" s="562">
        <f t="shared" si="272"/>
        <v>85473314</v>
      </c>
      <c r="H5270" s="362"/>
      <c r="I5270" s="362"/>
      <c r="J5270" s="362"/>
    </row>
    <row r="5271" spans="1:10" x14ac:dyDescent="0.25">
      <c r="A5271" s="362"/>
      <c r="B5271" s="611">
        <v>44432</v>
      </c>
      <c r="C5271" s="362" t="s">
        <v>3435</v>
      </c>
      <c r="D5271" s="562">
        <v>49543266</v>
      </c>
      <c r="E5271" s="562"/>
      <c r="F5271" s="562"/>
      <c r="G5271" s="562">
        <f t="shared" si="272"/>
        <v>49543266</v>
      </c>
      <c r="H5271" s="362"/>
      <c r="I5271" s="362"/>
      <c r="J5271" s="362"/>
    </row>
    <row r="5272" spans="1:10" x14ac:dyDescent="0.25">
      <c r="A5272" s="362"/>
      <c r="B5272" s="611">
        <v>44432</v>
      </c>
      <c r="C5272" s="370" t="s">
        <v>85</v>
      </c>
      <c r="D5272" s="562">
        <v>36945700</v>
      </c>
      <c r="E5272" s="562"/>
      <c r="F5272" s="562"/>
      <c r="G5272" s="562">
        <f t="shared" si="272"/>
        <v>36945700</v>
      </c>
      <c r="H5272" s="362"/>
      <c r="I5272" s="362"/>
      <c r="J5272" s="362"/>
    </row>
    <row r="5273" spans="1:10" x14ac:dyDescent="0.25">
      <c r="A5273" s="532"/>
      <c r="B5273" s="532"/>
      <c r="C5273" s="532"/>
      <c r="D5273" s="564">
        <f>SUM(D5258:D5272)</f>
        <v>2413118382</v>
      </c>
      <c r="E5273" s="564">
        <f t="shared" ref="E5273:G5273" si="273">SUM(E5258:E5272)</f>
        <v>407560905</v>
      </c>
      <c r="F5273" s="564">
        <f t="shared" si="273"/>
        <v>0</v>
      </c>
      <c r="G5273" s="564">
        <f t="shared" si="273"/>
        <v>2820679287</v>
      </c>
      <c r="H5273" s="532"/>
      <c r="I5273" s="532"/>
      <c r="J5273" s="532"/>
    </row>
    <row r="5274" spans="1:10" x14ac:dyDescent="0.25">
      <c r="A5274" s="362"/>
      <c r="B5274" s="611">
        <v>44433</v>
      </c>
      <c r="C5274" s="362" t="s">
        <v>86</v>
      </c>
      <c r="D5274" s="562">
        <v>96008486</v>
      </c>
      <c r="E5274" s="562">
        <v>75374754</v>
      </c>
      <c r="F5274" s="562">
        <v>171383200</v>
      </c>
      <c r="G5274" s="562">
        <f t="shared" si="272"/>
        <v>40</v>
      </c>
      <c r="H5274" s="362"/>
      <c r="I5274" s="362"/>
      <c r="J5274" s="362"/>
    </row>
    <row r="5275" spans="1:10" x14ac:dyDescent="0.25">
      <c r="A5275" s="362"/>
      <c r="B5275" s="611">
        <v>44433</v>
      </c>
      <c r="C5275" s="362" t="s">
        <v>87</v>
      </c>
      <c r="D5275" s="562">
        <v>75617451</v>
      </c>
      <c r="E5275" s="562">
        <v>156964702</v>
      </c>
      <c r="F5275" s="562">
        <v>232582100</v>
      </c>
      <c r="G5275" s="562">
        <f t="shared" si="272"/>
        <v>53</v>
      </c>
      <c r="H5275" s="362"/>
      <c r="I5275" s="362"/>
      <c r="J5275" s="362"/>
    </row>
    <row r="5276" spans="1:10" x14ac:dyDescent="0.25">
      <c r="A5276" s="362"/>
      <c r="B5276" s="611">
        <v>44433</v>
      </c>
      <c r="C5276" s="362" t="s">
        <v>88</v>
      </c>
      <c r="D5276" s="562">
        <v>229229941</v>
      </c>
      <c r="E5276" s="562">
        <v>4579361</v>
      </c>
      <c r="F5276" s="562">
        <v>233809400</v>
      </c>
      <c r="G5276" s="562">
        <f t="shared" si="272"/>
        <v>-98</v>
      </c>
      <c r="H5276" s="362"/>
      <c r="I5276" s="362"/>
      <c r="J5276" s="362"/>
    </row>
    <row r="5277" spans="1:10" x14ac:dyDescent="0.25">
      <c r="A5277" s="362"/>
      <c r="B5277" s="611">
        <v>44433</v>
      </c>
      <c r="C5277" s="362" t="s">
        <v>82</v>
      </c>
      <c r="D5277" s="562">
        <v>67205968</v>
      </c>
      <c r="E5277" s="562">
        <v>4776228</v>
      </c>
      <c r="F5277" s="562">
        <v>71982200</v>
      </c>
      <c r="G5277" s="562">
        <f t="shared" si="272"/>
        <v>-4</v>
      </c>
      <c r="H5277" s="362"/>
      <c r="I5277" s="362"/>
      <c r="J5277" s="362"/>
    </row>
    <row r="5278" spans="1:10" x14ac:dyDescent="0.25">
      <c r="A5278" s="362"/>
      <c r="B5278" s="611">
        <v>44433</v>
      </c>
      <c r="C5278" s="362" t="s">
        <v>80</v>
      </c>
      <c r="D5278" s="562">
        <v>241176000</v>
      </c>
      <c r="E5278" s="562"/>
      <c r="F5278" s="562">
        <v>241176000</v>
      </c>
      <c r="G5278" s="562">
        <f t="shared" si="272"/>
        <v>0</v>
      </c>
      <c r="H5278" s="362"/>
      <c r="I5278" s="362"/>
      <c r="J5278" s="362"/>
    </row>
    <row r="5279" spans="1:10" x14ac:dyDescent="0.25">
      <c r="A5279" s="362"/>
      <c r="B5279" s="611">
        <v>44433</v>
      </c>
      <c r="C5279" s="362" t="s">
        <v>83</v>
      </c>
      <c r="D5279" s="562">
        <v>210288787</v>
      </c>
      <c r="E5279" s="562">
        <v>30551108</v>
      </c>
      <c r="F5279" s="562">
        <v>240839900</v>
      </c>
      <c r="G5279" s="562">
        <f t="shared" si="272"/>
        <v>-5</v>
      </c>
      <c r="H5279" s="362"/>
      <c r="I5279" s="362"/>
      <c r="J5279" s="362"/>
    </row>
    <row r="5280" spans="1:10" x14ac:dyDescent="0.25">
      <c r="A5280" s="362"/>
      <c r="B5280" s="611">
        <v>44433</v>
      </c>
      <c r="C5280" s="362" t="s">
        <v>78</v>
      </c>
      <c r="D5280" s="562">
        <v>236728377</v>
      </c>
      <c r="E5280" s="562">
        <v>2007723</v>
      </c>
      <c r="F5280" s="562">
        <v>238736100</v>
      </c>
      <c r="G5280" s="562">
        <f t="shared" si="272"/>
        <v>0</v>
      </c>
      <c r="H5280" s="362"/>
      <c r="I5280" s="362"/>
      <c r="J5280" s="362"/>
    </row>
    <row r="5281" spans="1:10" x14ac:dyDescent="0.25">
      <c r="A5281" s="362"/>
      <c r="B5281" s="611">
        <v>44433</v>
      </c>
      <c r="C5281" s="362" t="s">
        <v>141</v>
      </c>
      <c r="D5281" s="562">
        <v>138110570</v>
      </c>
      <c r="E5281" s="562">
        <v>589406</v>
      </c>
      <c r="F5281" s="562">
        <v>138700000</v>
      </c>
      <c r="G5281" s="562">
        <f t="shared" si="272"/>
        <v>-24</v>
      </c>
      <c r="H5281" s="362"/>
      <c r="I5281" s="362"/>
      <c r="J5281" s="362"/>
    </row>
    <row r="5282" spans="1:10" x14ac:dyDescent="0.25">
      <c r="A5282" s="362"/>
      <c r="B5282" s="611">
        <v>44433</v>
      </c>
      <c r="C5282" s="362" t="s">
        <v>89</v>
      </c>
      <c r="D5282" s="562">
        <v>116027713</v>
      </c>
      <c r="E5282" s="562">
        <v>36744787</v>
      </c>
      <c r="F5282" s="562">
        <v>152772500</v>
      </c>
      <c r="G5282" s="562">
        <f t="shared" si="272"/>
        <v>0</v>
      </c>
      <c r="H5282" s="362"/>
      <c r="I5282" s="362"/>
      <c r="J5282" s="362"/>
    </row>
    <row r="5283" spans="1:10" x14ac:dyDescent="0.25">
      <c r="A5283" s="362"/>
      <c r="B5283" s="611">
        <v>44433</v>
      </c>
      <c r="C5283" s="362" t="s">
        <v>81</v>
      </c>
      <c r="D5283" s="562">
        <v>149333291</v>
      </c>
      <c r="E5283" s="562">
        <v>17321330</v>
      </c>
      <c r="F5283" s="562">
        <v>166654700</v>
      </c>
      <c r="G5283" s="562">
        <f t="shared" si="272"/>
        <v>-79</v>
      </c>
      <c r="H5283" s="362"/>
      <c r="I5283" s="362"/>
      <c r="J5283" s="362"/>
    </row>
    <row r="5284" spans="1:10" x14ac:dyDescent="0.25">
      <c r="A5284" s="362"/>
      <c r="B5284" s="611">
        <v>44433</v>
      </c>
      <c r="C5284" s="362" t="s">
        <v>84</v>
      </c>
      <c r="D5284" s="562">
        <v>293629739</v>
      </c>
      <c r="E5284" s="562">
        <v>12024010</v>
      </c>
      <c r="F5284" s="562">
        <v>305653800</v>
      </c>
      <c r="G5284" s="562">
        <f t="shared" si="272"/>
        <v>-51</v>
      </c>
      <c r="H5284" s="362"/>
      <c r="I5284" s="362"/>
      <c r="J5284" s="362"/>
    </row>
    <row r="5285" spans="1:10" x14ac:dyDescent="0.25">
      <c r="A5285" s="362"/>
      <c r="B5285" s="611">
        <v>44433</v>
      </c>
      <c r="C5285" s="362" t="s">
        <v>4751</v>
      </c>
      <c r="D5285" s="562">
        <v>330458004</v>
      </c>
      <c r="E5285" s="562">
        <v>11190496</v>
      </c>
      <c r="F5285" s="562">
        <v>341648500</v>
      </c>
      <c r="G5285" s="562">
        <f t="shared" si="272"/>
        <v>0</v>
      </c>
      <c r="H5285" s="362"/>
      <c r="I5285" s="362"/>
      <c r="J5285" s="362"/>
    </row>
    <row r="5286" spans="1:10" x14ac:dyDescent="0.25">
      <c r="A5286" s="362"/>
      <c r="B5286" s="611">
        <v>44433</v>
      </c>
      <c r="C5286" s="362" t="s">
        <v>166</v>
      </c>
      <c r="D5286" s="562">
        <v>74135087</v>
      </c>
      <c r="E5286" s="562"/>
      <c r="F5286" s="562">
        <v>74135000</v>
      </c>
      <c r="G5286" s="562">
        <f t="shared" si="272"/>
        <v>87</v>
      </c>
      <c r="H5286" s="362"/>
      <c r="I5286" s="362"/>
      <c r="J5286" s="362"/>
    </row>
    <row r="5287" spans="1:10" x14ac:dyDescent="0.25">
      <c r="A5287" s="362"/>
      <c r="B5287" s="611">
        <v>44433</v>
      </c>
      <c r="C5287" s="362" t="s">
        <v>3435</v>
      </c>
      <c r="D5287" s="562">
        <v>111445786</v>
      </c>
      <c r="E5287" s="562"/>
      <c r="F5287" s="562">
        <v>111445800</v>
      </c>
      <c r="G5287" s="562">
        <f t="shared" si="272"/>
        <v>-14</v>
      </c>
      <c r="H5287" s="362"/>
      <c r="I5287" s="362"/>
      <c r="J5287" s="362"/>
    </row>
    <row r="5288" spans="1:10" x14ac:dyDescent="0.25">
      <c r="A5288" s="362"/>
      <c r="B5288" s="611">
        <v>44433</v>
      </c>
      <c r="C5288" s="370" t="s">
        <v>85</v>
      </c>
      <c r="D5288" s="562">
        <v>35157100</v>
      </c>
      <c r="E5288" s="562"/>
      <c r="F5288" s="562">
        <v>35157100</v>
      </c>
      <c r="G5288" s="562">
        <f t="shared" si="272"/>
        <v>0</v>
      </c>
      <c r="H5288" s="362"/>
      <c r="I5288" s="362"/>
      <c r="J5288" s="362"/>
    </row>
    <row r="5289" spans="1:10" x14ac:dyDescent="0.25">
      <c r="A5289" s="532"/>
      <c r="B5289" s="532"/>
      <c r="C5289" s="532"/>
      <c r="D5289" s="564">
        <f>SUM(D5274:D5288)</f>
        <v>2404552300</v>
      </c>
      <c r="E5289" s="564">
        <f t="shared" ref="E5289:G5289" si="274">SUM(E5274:E5288)</f>
        <v>352123905</v>
      </c>
      <c r="F5289" s="564">
        <f t="shared" si="274"/>
        <v>2756676300</v>
      </c>
      <c r="G5289" s="564">
        <f t="shared" si="274"/>
        <v>-95</v>
      </c>
      <c r="H5289" s="532"/>
      <c r="I5289" s="532"/>
      <c r="J5289" s="532"/>
    </row>
    <row r="5290" spans="1:10" x14ac:dyDescent="0.25">
      <c r="A5290" s="362"/>
      <c r="B5290" s="611">
        <v>44434</v>
      </c>
      <c r="C5290" s="362" t="s">
        <v>86</v>
      </c>
      <c r="D5290" s="562">
        <v>107992837</v>
      </c>
      <c r="E5290" s="562">
        <v>83308466</v>
      </c>
      <c r="F5290" s="562">
        <v>191301300</v>
      </c>
      <c r="G5290" s="562">
        <f t="shared" si="272"/>
        <v>3</v>
      </c>
      <c r="H5290" s="362"/>
      <c r="I5290" s="362"/>
      <c r="J5290" s="362"/>
    </row>
    <row r="5291" spans="1:10" x14ac:dyDescent="0.25">
      <c r="A5291" s="362"/>
      <c r="B5291" s="611">
        <v>44434</v>
      </c>
      <c r="C5291" s="362" t="s">
        <v>87</v>
      </c>
      <c r="D5291" s="562">
        <v>75551418</v>
      </c>
      <c r="E5291" s="562">
        <v>28453150</v>
      </c>
      <c r="F5291" s="562">
        <v>104004600</v>
      </c>
      <c r="G5291" s="562">
        <f t="shared" si="272"/>
        <v>-32</v>
      </c>
      <c r="H5291" s="362"/>
      <c r="I5291" s="362"/>
      <c r="J5291" s="362"/>
    </row>
    <row r="5292" spans="1:10" x14ac:dyDescent="0.25">
      <c r="A5292" s="362"/>
      <c r="B5292" s="611">
        <v>44434</v>
      </c>
      <c r="C5292" s="362" t="s">
        <v>88</v>
      </c>
      <c r="D5292" s="562">
        <v>230673551</v>
      </c>
      <c r="E5292" s="562">
        <v>146564519</v>
      </c>
      <c r="F5292" s="562">
        <v>377238600</v>
      </c>
      <c r="G5292" s="562">
        <f t="shared" si="272"/>
        <v>-530</v>
      </c>
      <c r="H5292" s="362"/>
      <c r="I5292" s="362"/>
      <c r="J5292" s="362"/>
    </row>
    <row r="5293" spans="1:10" x14ac:dyDescent="0.25">
      <c r="A5293" s="362"/>
      <c r="B5293" s="611">
        <v>44434</v>
      </c>
      <c r="C5293" s="362" t="s">
        <v>82</v>
      </c>
      <c r="D5293" s="562">
        <v>185264068</v>
      </c>
      <c r="E5293" s="562">
        <v>3075260</v>
      </c>
      <c r="F5293" s="562">
        <v>188339500</v>
      </c>
      <c r="G5293" s="562">
        <f t="shared" si="272"/>
        <v>-172</v>
      </c>
      <c r="H5293" s="362"/>
      <c r="I5293" s="362"/>
      <c r="J5293" s="362"/>
    </row>
    <row r="5294" spans="1:10" x14ac:dyDescent="0.25">
      <c r="A5294" s="362"/>
      <c r="B5294" s="611">
        <v>44434</v>
      </c>
      <c r="C5294" s="362" t="s">
        <v>80</v>
      </c>
      <c r="D5294" s="562">
        <v>192120701</v>
      </c>
      <c r="E5294" s="562">
        <v>1217660</v>
      </c>
      <c r="F5294" s="562">
        <v>193337900</v>
      </c>
      <c r="G5294" s="562">
        <f t="shared" si="272"/>
        <v>461</v>
      </c>
      <c r="H5294" s="362"/>
      <c r="I5294" s="362"/>
      <c r="J5294" s="362"/>
    </row>
    <row r="5295" spans="1:10" x14ac:dyDescent="0.25">
      <c r="A5295" s="362"/>
      <c r="B5295" s="611">
        <v>44434</v>
      </c>
      <c r="C5295" s="362" t="s">
        <v>83</v>
      </c>
      <c r="D5295" s="562">
        <v>299386727</v>
      </c>
      <c r="E5295" s="562">
        <v>190143673</v>
      </c>
      <c r="F5295" s="562">
        <v>489530400</v>
      </c>
      <c r="G5295" s="562">
        <f t="shared" si="272"/>
        <v>0</v>
      </c>
      <c r="H5295" s="362"/>
      <c r="I5295" s="362"/>
      <c r="J5295" s="362"/>
    </row>
    <row r="5296" spans="1:10" x14ac:dyDescent="0.25">
      <c r="A5296" s="362"/>
      <c r="B5296" s="611">
        <v>44434</v>
      </c>
      <c r="C5296" s="362" t="s">
        <v>78</v>
      </c>
      <c r="D5296" s="562">
        <v>122283193</v>
      </c>
      <c r="E5296" s="562">
        <v>1888807</v>
      </c>
      <c r="F5296" s="562">
        <v>124172000</v>
      </c>
      <c r="G5296" s="562">
        <f t="shared" si="272"/>
        <v>0</v>
      </c>
      <c r="H5296" s="362"/>
      <c r="I5296" s="362"/>
      <c r="J5296" s="362"/>
    </row>
    <row r="5297" spans="1:10" x14ac:dyDescent="0.25">
      <c r="A5297" s="362"/>
      <c r="B5297" s="611">
        <v>44434</v>
      </c>
      <c r="C5297" s="362" t="s">
        <v>141</v>
      </c>
      <c r="D5297" s="562">
        <v>84563678</v>
      </c>
      <c r="E5297" s="562">
        <v>1194370</v>
      </c>
      <c r="F5297" s="562">
        <v>85758100</v>
      </c>
      <c r="G5297" s="562">
        <f t="shared" si="272"/>
        <v>-52</v>
      </c>
      <c r="H5297" s="362"/>
      <c r="I5297" s="362"/>
      <c r="J5297" s="362"/>
    </row>
    <row r="5298" spans="1:10" x14ac:dyDescent="0.25">
      <c r="A5298" s="362"/>
      <c r="B5298" s="611">
        <v>44434</v>
      </c>
      <c r="C5298" s="362" t="s">
        <v>89</v>
      </c>
      <c r="D5298" s="562">
        <v>184381303</v>
      </c>
      <c r="E5298" s="562">
        <v>11934697</v>
      </c>
      <c r="F5298" s="562">
        <v>196316100</v>
      </c>
      <c r="G5298" s="562">
        <f t="shared" si="272"/>
        <v>-100</v>
      </c>
      <c r="H5298" s="362"/>
      <c r="I5298" s="362"/>
      <c r="J5298" s="362"/>
    </row>
    <row r="5299" spans="1:10" x14ac:dyDescent="0.25">
      <c r="A5299" s="362"/>
      <c r="B5299" s="611">
        <v>44434</v>
      </c>
      <c r="C5299" s="362" t="s">
        <v>81</v>
      </c>
      <c r="D5299" s="562">
        <v>47473409</v>
      </c>
      <c r="E5299" s="562">
        <v>9474695</v>
      </c>
      <c r="F5299" s="562">
        <v>56948100</v>
      </c>
      <c r="G5299" s="562">
        <f t="shared" si="272"/>
        <v>4</v>
      </c>
      <c r="H5299" s="362"/>
      <c r="I5299" s="362"/>
      <c r="J5299" s="362"/>
    </row>
    <row r="5300" spans="1:10" x14ac:dyDescent="0.25">
      <c r="A5300" s="362"/>
      <c r="B5300" s="611">
        <v>44434</v>
      </c>
      <c r="C5300" s="362" t="s">
        <v>84</v>
      </c>
      <c r="D5300" s="562">
        <v>248648798</v>
      </c>
      <c r="E5300" s="562">
        <v>8776551</v>
      </c>
      <c r="F5300" s="562">
        <v>257375600</v>
      </c>
      <c r="G5300" s="562">
        <f t="shared" si="272"/>
        <v>49749</v>
      </c>
      <c r="H5300" s="362"/>
      <c r="I5300" s="362"/>
      <c r="J5300" s="362"/>
    </row>
    <row r="5301" spans="1:10" x14ac:dyDescent="0.25">
      <c r="A5301" s="362"/>
      <c r="B5301" s="611">
        <v>44434</v>
      </c>
      <c r="C5301" s="362" t="s">
        <v>4751</v>
      </c>
      <c r="D5301" s="562">
        <v>284767061</v>
      </c>
      <c r="E5301" s="562">
        <v>16343239</v>
      </c>
      <c r="F5301" s="562">
        <v>301110200</v>
      </c>
      <c r="G5301" s="562">
        <f t="shared" si="272"/>
        <v>100</v>
      </c>
      <c r="H5301" s="362"/>
      <c r="I5301" s="362"/>
      <c r="J5301" s="362"/>
    </row>
    <row r="5302" spans="1:10" x14ac:dyDescent="0.25">
      <c r="A5302" s="362"/>
      <c r="B5302" s="611">
        <v>44434</v>
      </c>
      <c r="C5302" s="362" t="s">
        <v>166</v>
      </c>
      <c r="D5302" s="562">
        <v>96990676</v>
      </c>
      <c r="E5302" s="562"/>
      <c r="F5302" s="562">
        <v>96990600</v>
      </c>
      <c r="G5302" s="562">
        <f t="shared" si="272"/>
        <v>76</v>
      </c>
      <c r="H5302" s="362"/>
      <c r="I5302" s="362"/>
      <c r="J5302" s="362"/>
    </row>
    <row r="5303" spans="1:10" x14ac:dyDescent="0.25">
      <c r="A5303" s="362"/>
      <c r="B5303" s="611">
        <v>44434</v>
      </c>
      <c r="C5303" s="362" t="s">
        <v>3435</v>
      </c>
      <c r="D5303" s="562">
        <v>65808386</v>
      </c>
      <c r="E5303" s="562"/>
      <c r="F5303" s="562">
        <v>65808400</v>
      </c>
      <c r="G5303" s="562">
        <f t="shared" si="272"/>
        <v>-14</v>
      </c>
      <c r="H5303" s="362"/>
      <c r="I5303" s="362"/>
      <c r="J5303" s="362"/>
    </row>
    <row r="5304" spans="1:10" x14ac:dyDescent="0.25">
      <c r="A5304" s="362"/>
      <c r="B5304" s="611">
        <v>44434</v>
      </c>
      <c r="C5304" s="370" t="s">
        <v>85</v>
      </c>
      <c r="D5304" s="562">
        <v>26115400</v>
      </c>
      <c r="E5304" s="562"/>
      <c r="F5304" s="562">
        <v>26115400</v>
      </c>
      <c r="G5304" s="562">
        <f t="shared" si="272"/>
        <v>0</v>
      </c>
      <c r="H5304" s="362"/>
      <c r="I5304" s="362"/>
      <c r="J5304" s="362"/>
    </row>
    <row r="5305" spans="1:10" x14ac:dyDescent="0.25">
      <c r="A5305" s="532"/>
      <c r="B5305" s="532"/>
      <c r="C5305" s="532"/>
      <c r="D5305" s="564">
        <f>SUM(D5290:D5304)</f>
        <v>2252021206</v>
      </c>
      <c r="E5305" s="564">
        <f t="shared" ref="E5305:G5305" si="275">SUM(E5290:E5304)</f>
        <v>502375087</v>
      </c>
      <c r="F5305" s="564">
        <f t="shared" si="275"/>
        <v>2754346800</v>
      </c>
      <c r="G5305" s="564">
        <f t="shared" si="275"/>
        <v>49493</v>
      </c>
      <c r="H5305" s="532"/>
      <c r="I5305" s="532"/>
      <c r="J5305" s="532"/>
    </row>
    <row r="5306" spans="1:10" x14ac:dyDescent="0.25">
      <c r="A5306" s="362"/>
      <c r="B5306" s="611">
        <v>44435</v>
      </c>
      <c r="C5306" s="362" t="s">
        <v>86</v>
      </c>
      <c r="D5306" s="562">
        <v>59385984</v>
      </c>
      <c r="E5306" s="562">
        <v>214201176</v>
      </c>
      <c r="F5306" s="562">
        <v>273587200</v>
      </c>
      <c r="G5306" s="562">
        <f t="shared" si="272"/>
        <v>-40</v>
      </c>
      <c r="H5306" s="362"/>
      <c r="I5306" s="362"/>
      <c r="J5306" s="362"/>
    </row>
    <row r="5307" spans="1:10" x14ac:dyDescent="0.25">
      <c r="A5307" s="362"/>
      <c r="B5307" s="611">
        <v>44435</v>
      </c>
      <c r="C5307" s="362" t="s">
        <v>87</v>
      </c>
      <c r="D5307" s="562">
        <v>155525295</v>
      </c>
      <c r="E5307" s="562">
        <v>17020607</v>
      </c>
      <c r="F5307" s="562">
        <v>172545900</v>
      </c>
      <c r="G5307" s="562">
        <f t="shared" si="272"/>
        <v>2</v>
      </c>
      <c r="H5307" s="362"/>
      <c r="I5307" s="362"/>
      <c r="J5307" s="362"/>
    </row>
    <row r="5308" spans="1:10" x14ac:dyDescent="0.25">
      <c r="A5308" s="362"/>
      <c r="B5308" s="611">
        <v>44435</v>
      </c>
      <c r="C5308" s="362" t="s">
        <v>88</v>
      </c>
      <c r="D5308" s="562">
        <v>106456954</v>
      </c>
      <c r="E5308" s="562">
        <v>36928778</v>
      </c>
      <c r="F5308" s="562">
        <v>143385800</v>
      </c>
      <c r="G5308" s="562">
        <f t="shared" si="272"/>
        <v>-68</v>
      </c>
      <c r="H5308" s="362"/>
      <c r="I5308" s="362"/>
      <c r="J5308" s="362"/>
    </row>
    <row r="5309" spans="1:10" x14ac:dyDescent="0.25">
      <c r="A5309" s="362"/>
      <c r="B5309" s="611">
        <v>44435</v>
      </c>
      <c r="C5309" s="362" t="s">
        <v>82</v>
      </c>
      <c r="D5309" s="562">
        <v>66716088</v>
      </c>
      <c r="E5309" s="562">
        <v>11845425</v>
      </c>
      <c r="F5309" s="562">
        <v>78561600</v>
      </c>
      <c r="G5309" s="562">
        <f t="shared" si="272"/>
        <v>-87</v>
      </c>
      <c r="H5309" s="362"/>
      <c r="I5309" s="362"/>
      <c r="J5309" s="362"/>
    </row>
    <row r="5310" spans="1:10" x14ac:dyDescent="0.25">
      <c r="A5310" s="362"/>
      <c r="B5310" s="611">
        <v>44435</v>
      </c>
      <c r="C5310" s="362" t="s">
        <v>80</v>
      </c>
      <c r="D5310" s="562">
        <v>223947132</v>
      </c>
      <c r="E5310" s="562"/>
      <c r="F5310" s="562">
        <v>223947100</v>
      </c>
      <c r="G5310" s="562">
        <f t="shared" si="272"/>
        <v>32</v>
      </c>
      <c r="H5310" s="362"/>
      <c r="I5310" s="362"/>
      <c r="J5310" s="362"/>
    </row>
    <row r="5311" spans="1:10" x14ac:dyDescent="0.25">
      <c r="A5311" s="362"/>
      <c r="B5311" s="611">
        <v>44435</v>
      </c>
      <c r="C5311" s="362" t="s">
        <v>83</v>
      </c>
      <c r="D5311" s="562">
        <v>197472188</v>
      </c>
      <c r="E5311" s="562">
        <v>17205414</v>
      </c>
      <c r="F5311" s="562">
        <v>214677600</v>
      </c>
      <c r="G5311" s="562">
        <f t="shared" si="272"/>
        <v>2</v>
      </c>
      <c r="H5311" s="362"/>
      <c r="I5311" s="362"/>
      <c r="J5311" s="362"/>
    </row>
    <row r="5312" spans="1:10" x14ac:dyDescent="0.25">
      <c r="A5312" s="362"/>
      <c r="B5312" s="611">
        <v>44435</v>
      </c>
      <c r="C5312" s="362" t="s">
        <v>78</v>
      </c>
      <c r="D5312" s="562">
        <v>87694034</v>
      </c>
      <c r="E5312" s="562">
        <v>7419966</v>
      </c>
      <c r="F5312" s="562">
        <v>95114000</v>
      </c>
      <c r="G5312" s="562">
        <f t="shared" si="272"/>
        <v>0</v>
      </c>
      <c r="H5312" s="362"/>
      <c r="I5312" s="362"/>
      <c r="J5312" s="362"/>
    </row>
    <row r="5313" spans="1:10" x14ac:dyDescent="0.25">
      <c r="A5313" s="362"/>
      <c r="B5313" s="611">
        <v>44435</v>
      </c>
      <c r="C5313" s="362" t="s">
        <v>141</v>
      </c>
      <c r="D5313" s="562">
        <v>60286753</v>
      </c>
      <c r="E5313" s="562">
        <v>308305</v>
      </c>
      <c r="F5313" s="562">
        <v>60595100</v>
      </c>
      <c r="G5313" s="562">
        <f t="shared" si="272"/>
        <v>-42</v>
      </c>
      <c r="H5313" s="362"/>
      <c r="I5313" s="362"/>
      <c r="J5313" s="362"/>
    </row>
    <row r="5314" spans="1:10" x14ac:dyDescent="0.25">
      <c r="A5314" s="362"/>
      <c r="B5314" s="611">
        <v>44435</v>
      </c>
      <c r="C5314" s="362" t="s">
        <v>89</v>
      </c>
      <c r="D5314" s="562">
        <v>151085763</v>
      </c>
      <c r="E5314" s="562">
        <v>64853617</v>
      </c>
      <c r="F5314" s="562">
        <v>215939500</v>
      </c>
      <c r="G5314" s="562">
        <f t="shared" si="272"/>
        <v>-120</v>
      </c>
      <c r="H5314" s="362"/>
      <c r="I5314" s="362"/>
      <c r="J5314" s="362"/>
    </row>
    <row r="5315" spans="1:10" x14ac:dyDescent="0.25">
      <c r="A5315" s="362"/>
      <c r="B5315" s="611">
        <v>44435</v>
      </c>
      <c r="C5315" s="362" t="s">
        <v>81</v>
      </c>
      <c r="D5315" s="562">
        <v>48903044</v>
      </c>
      <c r="E5315" s="562">
        <v>14539257</v>
      </c>
      <c r="F5315" s="562">
        <v>63422300</v>
      </c>
      <c r="G5315" s="562">
        <f t="shared" si="272"/>
        <v>20001</v>
      </c>
      <c r="H5315" s="362"/>
      <c r="I5315" s="362"/>
      <c r="J5315" s="362"/>
    </row>
    <row r="5316" spans="1:10" x14ac:dyDescent="0.25">
      <c r="A5316" s="362"/>
      <c r="B5316" s="611">
        <v>44435</v>
      </c>
      <c r="C5316" s="362" t="s">
        <v>84</v>
      </c>
      <c r="D5316" s="562">
        <v>283106908</v>
      </c>
      <c r="E5316" s="562">
        <v>23342290</v>
      </c>
      <c r="F5316" s="562">
        <v>306448200</v>
      </c>
      <c r="G5316" s="562">
        <f t="shared" si="272"/>
        <v>998</v>
      </c>
      <c r="H5316" s="362"/>
      <c r="I5316" s="362"/>
      <c r="J5316" s="362"/>
    </row>
    <row r="5317" spans="1:10" x14ac:dyDescent="0.25">
      <c r="A5317" s="362"/>
      <c r="B5317" s="611">
        <v>44435</v>
      </c>
      <c r="C5317" s="362" t="s">
        <v>4751</v>
      </c>
      <c r="D5317" s="562">
        <v>212477737</v>
      </c>
      <c r="E5317" s="562">
        <v>7479763</v>
      </c>
      <c r="F5317" s="562">
        <v>219957500</v>
      </c>
      <c r="G5317" s="562">
        <f t="shared" si="272"/>
        <v>0</v>
      </c>
      <c r="H5317" s="362"/>
      <c r="I5317" s="362"/>
      <c r="J5317" s="362"/>
    </row>
    <row r="5318" spans="1:10" x14ac:dyDescent="0.25">
      <c r="A5318" s="362"/>
      <c r="B5318" s="611">
        <v>44435</v>
      </c>
      <c r="C5318" s="362" t="s">
        <v>166</v>
      </c>
      <c r="D5318" s="562">
        <v>61229114</v>
      </c>
      <c r="E5318" s="562"/>
      <c r="F5318" s="562">
        <v>61229200</v>
      </c>
      <c r="G5318" s="562">
        <f t="shared" si="272"/>
        <v>-86</v>
      </c>
      <c r="H5318" s="362"/>
      <c r="I5318" s="362"/>
      <c r="J5318" s="362"/>
    </row>
    <row r="5319" spans="1:10" x14ac:dyDescent="0.25">
      <c r="A5319" s="362"/>
      <c r="B5319" s="611">
        <v>44435</v>
      </c>
      <c r="C5319" s="362" t="s">
        <v>3435</v>
      </c>
      <c r="D5319" s="562">
        <v>25415876</v>
      </c>
      <c r="E5319" s="562"/>
      <c r="F5319" s="562">
        <v>25415900</v>
      </c>
      <c r="G5319" s="562">
        <f t="shared" si="272"/>
        <v>-24</v>
      </c>
      <c r="H5319" s="362"/>
      <c r="I5319" s="362"/>
      <c r="J5319" s="362"/>
    </row>
    <row r="5320" spans="1:10" x14ac:dyDescent="0.25">
      <c r="A5320" s="362"/>
      <c r="B5320" s="611">
        <v>44435</v>
      </c>
      <c r="C5320" s="370" t="s">
        <v>85</v>
      </c>
      <c r="D5320" s="562">
        <v>20981500</v>
      </c>
      <c r="E5320" s="562"/>
      <c r="F5320" s="562">
        <v>20981500</v>
      </c>
      <c r="G5320" s="562">
        <f t="shared" si="272"/>
        <v>0</v>
      </c>
      <c r="H5320" s="362"/>
      <c r="I5320" s="362"/>
      <c r="J5320" s="362"/>
    </row>
    <row r="5321" spans="1:10" x14ac:dyDescent="0.25">
      <c r="A5321" s="532"/>
      <c r="B5321" s="532"/>
      <c r="C5321" s="532"/>
      <c r="D5321" s="564">
        <f>SUM(D5306:D5320)</f>
        <v>1760684370</v>
      </c>
      <c r="E5321" s="564">
        <f t="shared" ref="E5321:G5321" si="276">SUM(E5306:E5320)</f>
        <v>415144598</v>
      </c>
      <c r="F5321" s="564">
        <f t="shared" si="276"/>
        <v>2175808400</v>
      </c>
      <c r="G5321" s="564">
        <f t="shared" si="276"/>
        <v>20568</v>
      </c>
      <c r="H5321" s="532"/>
      <c r="I5321" s="532"/>
      <c r="J5321" s="532"/>
    </row>
    <row r="5322" spans="1:10" x14ac:dyDescent="0.25">
      <c r="A5322" s="362"/>
      <c r="B5322" s="611">
        <v>44436</v>
      </c>
      <c r="C5322" s="362" t="s">
        <v>86</v>
      </c>
      <c r="D5322" s="562">
        <v>75506608</v>
      </c>
      <c r="E5322" s="562">
        <v>133317098</v>
      </c>
      <c r="F5322" s="562">
        <v>208823800</v>
      </c>
      <c r="G5322" s="562">
        <f t="shared" si="272"/>
        <v>-94</v>
      </c>
      <c r="H5322" s="362"/>
      <c r="I5322" s="362"/>
      <c r="J5322" s="362"/>
    </row>
    <row r="5323" spans="1:10" x14ac:dyDescent="0.25">
      <c r="A5323" s="362"/>
      <c r="B5323" s="611">
        <v>44436</v>
      </c>
      <c r="C5323" s="362" t="s">
        <v>87</v>
      </c>
      <c r="D5323" s="562">
        <v>38655618</v>
      </c>
      <c r="E5323" s="562">
        <v>86279150</v>
      </c>
      <c r="F5323" s="562">
        <v>124948900</v>
      </c>
      <c r="G5323" s="562">
        <f t="shared" si="272"/>
        <v>-14132</v>
      </c>
      <c r="H5323" s="362"/>
      <c r="I5323" s="362"/>
      <c r="J5323" s="362"/>
    </row>
    <row r="5324" spans="1:10" x14ac:dyDescent="0.25">
      <c r="A5324" s="362"/>
      <c r="B5324" s="611">
        <v>44436</v>
      </c>
      <c r="C5324" s="362" t="s">
        <v>88</v>
      </c>
      <c r="D5324" s="562">
        <v>207553439</v>
      </c>
      <c r="E5324" s="562">
        <v>22420551</v>
      </c>
      <c r="F5324" s="562">
        <v>229974000</v>
      </c>
      <c r="G5324" s="562">
        <f t="shared" ref="G5324:G5387" si="277">D5324+E5324-F5324</f>
        <v>-10</v>
      </c>
      <c r="H5324" s="362"/>
      <c r="I5324" s="362"/>
      <c r="J5324" s="362"/>
    </row>
    <row r="5325" spans="1:10" x14ac:dyDescent="0.25">
      <c r="A5325" s="362"/>
      <c r="B5325" s="611">
        <v>44436</v>
      </c>
      <c r="C5325" s="362" t="s">
        <v>82</v>
      </c>
      <c r="D5325" s="562">
        <v>117718237</v>
      </c>
      <c r="E5325" s="562">
        <v>8101918</v>
      </c>
      <c r="F5325" s="562">
        <v>125822700</v>
      </c>
      <c r="G5325" s="562">
        <f t="shared" si="277"/>
        <v>-2545</v>
      </c>
      <c r="H5325" s="362"/>
      <c r="I5325" s="362"/>
      <c r="J5325" s="362"/>
    </row>
    <row r="5326" spans="1:10" x14ac:dyDescent="0.25">
      <c r="A5326" s="362"/>
      <c r="B5326" s="611">
        <v>44436</v>
      </c>
      <c r="C5326" s="362" t="s">
        <v>80</v>
      </c>
      <c r="D5326" s="562">
        <v>255741800</v>
      </c>
      <c r="E5326" s="562"/>
      <c r="F5326" s="562">
        <v>255741800</v>
      </c>
      <c r="G5326" s="562">
        <f t="shared" si="277"/>
        <v>0</v>
      </c>
      <c r="H5326" s="362"/>
      <c r="I5326" s="362"/>
      <c r="J5326" s="362"/>
    </row>
    <row r="5327" spans="1:10" x14ac:dyDescent="0.25">
      <c r="A5327" s="362"/>
      <c r="B5327" s="611">
        <v>44436</v>
      </c>
      <c r="C5327" s="362" t="s">
        <v>83</v>
      </c>
      <c r="D5327" s="562">
        <v>263026562</v>
      </c>
      <c r="E5327" s="562">
        <v>281603238</v>
      </c>
      <c r="F5327" s="562">
        <v>544629800</v>
      </c>
      <c r="G5327" s="562">
        <f t="shared" si="277"/>
        <v>0</v>
      </c>
      <c r="H5327" s="362"/>
      <c r="I5327" s="362"/>
      <c r="J5327" s="362"/>
    </row>
    <row r="5328" spans="1:10" x14ac:dyDescent="0.25">
      <c r="A5328" s="362"/>
      <c r="B5328" s="611">
        <v>44436</v>
      </c>
      <c r="C5328" s="362" t="s">
        <v>78</v>
      </c>
      <c r="D5328" s="562">
        <v>105511599</v>
      </c>
      <c r="E5328" s="562">
        <v>5174901</v>
      </c>
      <c r="F5328" s="562">
        <v>110686500</v>
      </c>
      <c r="G5328" s="562">
        <f t="shared" si="277"/>
        <v>0</v>
      </c>
      <c r="H5328" s="362"/>
      <c r="I5328" s="362"/>
      <c r="J5328" s="362"/>
    </row>
    <row r="5329" spans="1:10" x14ac:dyDescent="0.25">
      <c r="A5329" s="362"/>
      <c r="B5329" s="611">
        <v>44436</v>
      </c>
      <c r="C5329" s="362" t="s">
        <v>141</v>
      </c>
      <c r="D5329" s="562">
        <v>48682537</v>
      </c>
      <c r="E5329" s="562">
        <v>2432476</v>
      </c>
      <c r="F5329" s="562">
        <v>51115100</v>
      </c>
      <c r="G5329" s="562">
        <f t="shared" si="277"/>
        <v>-87</v>
      </c>
      <c r="H5329" s="362"/>
      <c r="I5329" s="362"/>
      <c r="J5329" s="362"/>
    </row>
    <row r="5330" spans="1:10" x14ac:dyDescent="0.25">
      <c r="A5330" s="362"/>
      <c r="B5330" s="611">
        <v>44436</v>
      </c>
      <c r="C5330" s="362" t="s">
        <v>89</v>
      </c>
      <c r="D5330" s="562">
        <v>152125489</v>
      </c>
      <c r="E5330" s="562">
        <v>35607711</v>
      </c>
      <c r="F5330" s="562">
        <v>187733200</v>
      </c>
      <c r="G5330" s="562">
        <f t="shared" si="277"/>
        <v>0</v>
      </c>
      <c r="H5330" s="362"/>
      <c r="I5330" s="362"/>
      <c r="J5330" s="362"/>
    </row>
    <row r="5331" spans="1:10" x14ac:dyDescent="0.25">
      <c r="A5331" s="362"/>
      <c r="B5331" s="611">
        <v>44436</v>
      </c>
      <c r="C5331" s="362" t="s">
        <v>81</v>
      </c>
      <c r="D5331" s="562">
        <v>105388194</v>
      </c>
      <c r="E5331" s="562">
        <v>11092694</v>
      </c>
      <c r="F5331" s="562">
        <f>89825000+26655900</f>
        <v>116480900</v>
      </c>
      <c r="G5331" s="562">
        <f t="shared" si="277"/>
        <v>-12</v>
      </c>
      <c r="H5331" s="362"/>
      <c r="I5331" s="362"/>
      <c r="J5331" s="362"/>
    </row>
    <row r="5332" spans="1:10" x14ac:dyDescent="0.25">
      <c r="A5332" s="362"/>
      <c r="B5332" s="611">
        <v>44436</v>
      </c>
      <c r="C5332" s="362" t="s">
        <v>84</v>
      </c>
      <c r="D5332" s="562">
        <v>221659518</v>
      </c>
      <c r="E5332" s="562">
        <v>18071324</v>
      </c>
      <c r="F5332" s="562">
        <v>239730800</v>
      </c>
      <c r="G5332" s="562">
        <f t="shared" si="277"/>
        <v>42</v>
      </c>
      <c r="H5332" s="362"/>
      <c r="I5332" s="362"/>
      <c r="J5332" s="362"/>
    </row>
    <row r="5333" spans="1:10" x14ac:dyDescent="0.25">
      <c r="A5333" s="362"/>
      <c r="B5333" s="611">
        <v>44436</v>
      </c>
      <c r="C5333" s="362" t="s">
        <v>4751</v>
      </c>
      <c r="D5333" s="562">
        <v>233572889</v>
      </c>
      <c r="E5333" s="562">
        <v>25746211</v>
      </c>
      <c r="F5333" s="562">
        <v>259319100</v>
      </c>
      <c r="G5333" s="562">
        <f t="shared" si="277"/>
        <v>0</v>
      </c>
      <c r="H5333" s="362"/>
      <c r="I5333" s="362"/>
      <c r="J5333" s="362"/>
    </row>
    <row r="5334" spans="1:10" x14ac:dyDescent="0.25">
      <c r="A5334" s="362"/>
      <c r="B5334" s="611">
        <v>44436</v>
      </c>
      <c r="C5334" s="362" t="s">
        <v>166</v>
      </c>
      <c r="D5334" s="562"/>
      <c r="E5334" s="562"/>
      <c r="F5334" s="562"/>
      <c r="G5334" s="562">
        <f t="shared" si="277"/>
        <v>0</v>
      </c>
      <c r="H5334" s="362"/>
      <c r="I5334" s="362"/>
      <c r="J5334" s="362"/>
    </row>
    <row r="5335" spans="1:10" x14ac:dyDescent="0.25">
      <c r="A5335" s="362"/>
      <c r="B5335" s="611">
        <v>44436</v>
      </c>
      <c r="C5335" s="362" t="s">
        <v>3435</v>
      </c>
      <c r="D5335" s="562"/>
      <c r="E5335" s="562"/>
      <c r="F5335" s="562"/>
      <c r="G5335" s="562">
        <f t="shared" si="277"/>
        <v>0</v>
      </c>
      <c r="H5335" s="362"/>
      <c r="I5335" s="362"/>
      <c r="J5335" s="362"/>
    </row>
    <row r="5336" spans="1:10" x14ac:dyDescent="0.25">
      <c r="A5336" s="362"/>
      <c r="B5336" s="611">
        <v>44436</v>
      </c>
      <c r="C5336" s="370" t="s">
        <v>85</v>
      </c>
      <c r="D5336" s="562">
        <v>22175800</v>
      </c>
      <c r="E5336" s="562"/>
      <c r="F5336" s="562">
        <v>22175800</v>
      </c>
      <c r="G5336" s="562">
        <f t="shared" si="277"/>
        <v>0</v>
      </c>
      <c r="H5336" s="362"/>
      <c r="I5336" s="362"/>
      <c r="J5336" s="362"/>
    </row>
    <row r="5337" spans="1:10" x14ac:dyDescent="0.25">
      <c r="A5337" s="532"/>
      <c r="B5337" s="532"/>
      <c r="C5337" s="532"/>
      <c r="D5337" s="564">
        <f>SUM(D5322:D5336)</f>
        <v>1847318290</v>
      </c>
      <c r="E5337" s="564">
        <f t="shared" ref="E5337:G5337" si="278">SUM(E5322:E5336)</f>
        <v>629847272</v>
      </c>
      <c r="F5337" s="564">
        <f t="shared" si="278"/>
        <v>2477182400</v>
      </c>
      <c r="G5337" s="564">
        <f t="shared" si="278"/>
        <v>-16838</v>
      </c>
      <c r="H5337" s="532"/>
      <c r="I5337" s="532"/>
      <c r="J5337" s="532"/>
    </row>
    <row r="5338" spans="1:10" x14ac:dyDescent="0.25">
      <c r="A5338" s="362"/>
      <c r="B5338" s="611">
        <v>44438</v>
      </c>
      <c r="C5338" s="362" t="s">
        <v>86</v>
      </c>
      <c r="D5338" s="562">
        <v>74501669</v>
      </c>
      <c r="E5338" s="562">
        <v>23882173</v>
      </c>
      <c r="F5338" s="562"/>
      <c r="G5338" s="562">
        <f t="shared" si="277"/>
        <v>98383842</v>
      </c>
      <c r="H5338" s="362"/>
      <c r="I5338" s="362"/>
      <c r="J5338" s="362"/>
    </row>
    <row r="5339" spans="1:10" x14ac:dyDescent="0.25">
      <c r="A5339" s="362"/>
      <c r="B5339" s="611">
        <v>44438</v>
      </c>
      <c r="C5339" s="362" t="s">
        <v>87</v>
      </c>
      <c r="D5339" s="562">
        <v>72149543</v>
      </c>
      <c r="E5339" s="562">
        <v>39239560</v>
      </c>
      <c r="F5339" s="562"/>
      <c r="G5339" s="562">
        <f t="shared" si="277"/>
        <v>111389103</v>
      </c>
      <c r="H5339" s="362"/>
      <c r="I5339" s="362"/>
      <c r="J5339" s="362"/>
    </row>
    <row r="5340" spans="1:10" x14ac:dyDescent="0.25">
      <c r="A5340" s="362"/>
      <c r="B5340" s="611">
        <v>44438</v>
      </c>
      <c r="C5340" s="362" t="s">
        <v>88</v>
      </c>
      <c r="D5340" s="562">
        <v>258887469</v>
      </c>
      <c r="E5340" s="562">
        <v>138174406</v>
      </c>
      <c r="F5340" s="562"/>
      <c r="G5340" s="562">
        <f t="shared" si="277"/>
        <v>397061875</v>
      </c>
      <c r="H5340" s="362"/>
      <c r="I5340" s="362"/>
      <c r="J5340" s="362"/>
    </row>
    <row r="5341" spans="1:10" x14ac:dyDescent="0.25">
      <c r="A5341" s="362"/>
      <c r="B5341" s="611">
        <v>44438</v>
      </c>
      <c r="C5341" s="362" t="s">
        <v>82</v>
      </c>
      <c r="D5341" s="562">
        <v>58932346</v>
      </c>
      <c r="E5341" s="562">
        <v>14446946</v>
      </c>
      <c r="F5341" s="562"/>
      <c r="G5341" s="562">
        <f t="shared" si="277"/>
        <v>73379292</v>
      </c>
      <c r="H5341" s="362"/>
      <c r="I5341" s="362"/>
      <c r="J5341" s="362"/>
    </row>
    <row r="5342" spans="1:10" x14ac:dyDescent="0.25">
      <c r="A5342" s="362"/>
      <c r="B5342" s="611">
        <v>44438</v>
      </c>
      <c r="C5342" s="362" t="s">
        <v>80</v>
      </c>
      <c r="D5342" s="562">
        <v>317774548</v>
      </c>
      <c r="E5342" s="562"/>
      <c r="F5342" s="562">
        <v>317805200</v>
      </c>
      <c r="G5342" s="562">
        <f t="shared" si="277"/>
        <v>-30652</v>
      </c>
      <c r="H5342" s="362"/>
      <c r="I5342" s="362"/>
      <c r="J5342" s="362"/>
    </row>
    <row r="5343" spans="1:10" x14ac:dyDescent="0.25">
      <c r="A5343" s="362"/>
      <c r="B5343" s="611">
        <v>44438</v>
      </c>
      <c r="C5343" s="362" t="s">
        <v>83</v>
      </c>
      <c r="D5343" s="562">
        <v>345680688</v>
      </c>
      <c r="E5343" s="562">
        <v>123069113</v>
      </c>
      <c r="F5343" s="562"/>
      <c r="G5343" s="562">
        <f t="shared" si="277"/>
        <v>468749801</v>
      </c>
      <c r="H5343" s="362"/>
      <c r="I5343" s="362"/>
      <c r="J5343" s="362"/>
    </row>
    <row r="5344" spans="1:10" x14ac:dyDescent="0.25">
      <c r="A5344" s="362"/>
      <c r="B5344" s="611">
        <v>44438</v>
      </c>
      <c r="C5344" s="362" t="s">
        <v>78</v>
      </c>
      <c r="D5344" s="562">
        <v>145377883</v>
      </c>
      <c r="E5344" s="562">
        <v>1744217</v>
      </c>
      <c r="F5344" s="562">
        <v>147112100</v>
      </c>
      <c r="G5344" s="562">
        <f t="shared" si="277"/>
        <v>10000</v>
      </c>
      <c r="H5344" s="362"/>
      <c r="I5344" s="362"/>
      <c r="J5344" s="362"/>
    </row>
    <row r="5345" spans="1:10" x14ac:dyDescent="0.25">
      <c r="A5345" s="362"/>
      <c r="B5345" s="611">
        <v>44438</v>
      </c>
      <c r="C5345" s="362" t="s">
        <v>141</v>
      </c>
      <c r="D5345" s="562">
        <v>144569527</v>
      </c>
      <c r="E5345" s="562">
        <v>562202</v>
      </c>
      <c r="F5345" s="562"/>
      <c r="G5345" s="562">
        <f t="shared" si="277"/>
        <v>145131729</v>
      </c>
      <c r="H5345" s="362"/>
      <c r="I5345" s="362"/>
      <c r="J5345" s="362"/>
    </row>
    <row r="5346" spans="1:10" x14ac:dyDescent="0.25">
      <c r="A5346" s="362"/>
      <c r="B5346" s="611">
        <v>44438</v>
      </c>
      <c r="C5346" s="362" t="s">
        <v>89</v>
      </c>
      <c r="D5346" s="562">
        <v>162964712</v>
      </c>
      <c r="E5346" s="562">
        <v>29539588</v>
      </c>
      <c r="F5346" s="562">
        <v>192504300</v>
      </c>
      <c r="G5346" s="562">
        <f t="shared" si="277"/>
        <v>0</v>
      </c>
      <c r="H5346" s="362"/>
      <c r="I5346" s="362"/>
      <c r="J5346" s="362"/>
    </row>
    <row r="5347" spans="1:10" x14ac:dyDescent="0.25">
      <c r="A5347" s="362"/>
      <c r="B5347" s="611">
        <v>44438</v>
      </c>
      <c r="C5347" s="362" t="s">
        <v>81</v>
      </c>
      <c r="D5347" s="562">
        <v>96335089</v>
      </c>
      <c r="E5347" s="562">
        <v>12793075</v>
      </c>
      <c r="F5347" s="562">
        <v>109128200</v>
      </c>
      <c r="G5347" s="562">
        <f t="shared" si="277"/>
        <v>-36</v>
      </c>
      <c r="H5347" s="362"/>
      <c r="I5347" s="362"/>
      <c r="J5347" s="362"/>
    </row>
    <row r="5348" spans="1:10" x14ac:dyDescent="0.25">
      <c r="A5348" s="362"/>
      <c r="B5348" s="611">
        <v>44438</v>
      </c>
      <c r="C5348" s="362" t="s">
        <v>84</v>
      </c>
      <c r="D5348" s="562">
        <v>189742571</v>
      </c>
      <c r="E5348" s="562">
        <v>5283212</v>
      </c>
      <c r="F5348" s="562"/>
      <c r="G5348" s="562">
        <f t="shared" si="277"/>
        <v>195025783</v>
      </c>
      <c r="H5348" s="362"/>
      <c r="I5348" s="362"/>
      <c r="J5348" s="362"/>
    </row>
    <row r="5349" spans="1:10" x14ac:dyDescent="0.25">
      <c r="A5349" s="362"/>
      <c r="B5349" s="611">
        <v>44438</v>
      </c>
      <c r="C5349" s="362" t="s">
        <v>4751</v>
      </c>
      <c r="D5349" s="562">
        <v>229124071</v>
      </c>
      <c r="E5349" s="562">
        <v>8653129</v>
      </c>
      <c r="F5349" s="562"/>
      <c r="G5349" s="562">
        <f t="shared" si="277"/>
        <v>237777200</v>
      </c>
      <c r="H5349" s="362"/>
      <c r="I5349" s="362"/>
      <c r="J5349" s="362"/>
    </row>
    <row r="5350" spans="1:10" x14ac:dyDescent="0.25">
      <c r="A5350" s="362"/>
      <c r="B5350" s="611">
        <v>44438</v>
      </c>
      <c r="C5350" s="362" t="s">
        <v>166</v>
      </c>
      <c r="D5350" s="562">
        <v>61474365</v>
      </c>
      <c r="E5350" s="562"/>
      <c r="F5350" s="562"/>
      <c r="G5350" s="562">
        <f t="shared" si="277"/>
        <v>61474365</v>
      </c>
      <c r="H5350" s="362"/>
      <c r="I5350" s="362"/>
      <c r="J5350" s="362"/>
    </row>
    <row r="5351" spans="1:10" x14ac:dyDescent="0.25">
      <c r="A5351" s="362"/>
      <c r="B5351" s="611">
        <v>44438</v>
      </c>
      <c r="C5351" s="362" t="s">
        <v>3435</v>
      </c>
      <c r="D5351" s="562">
        <v>39228617</v>
      </c>
      <c r="E5351" s="562"/>
      <c r="F5351" s="562">
        <v>39228700</v>
      </c>
      <c r="G5351" s="562">
        <f t="shared" si="277"/>
        <v>-83</v>
      </c>
      <c r="H5351" s="362"/>
      <c r="I5351" s="362"/>
      <c r="J5351" s="362"/>
    </row>
    <row r="5352" spans="1:10" x14ac:dyDescent="0.25">
      <c r="A5352" s="362"/>
      <c r="B5352" s="611">
        <v>44438</v>
      </c>
      <c r="C5352" s="370" t="s">
        <v>85</v>
      </c>
      <c r="D5352" s="562">
        <v>44856100</v>
      </c>
      <c r="E5352" s="562"/>
      <c r="F5352" s="562"/>
      <c r="G5352" s="562">
        <f t="shared" si="277"/>
        <v>44856100</v>
      </c>
      <c r="H5352" s="362"/>
      <c r="I5352" s="362"/>
      <c r="J5352" s="362"/>
    </row>
    <row r="5353" spans="1:10" x14ac:dyDescent="0.25">
      <c r="A5353" s="532"/>
      <c r="B5353" s="532"/>
      <c r="C5353" s="532"/>
      <c r="D5353" s="564">
        <f>SUM(D5338:D5352)</f>
        <v>2241599198</v>
      </c>
      <c r="E5353" s="564">
        <f t="shared" ref="E5353:G5353" si="279">SUM(E5338:E5352)</f>
        <v>397387621</v>
      </c>
      <c r="F5353" s="564">
        <f t="shared" si="279"/>
        <v>805778500</v>
      </c>
      <c r="G5353" s="564">
        <f t="shared" si="279"/>
        <v>1833208319</v>
      </c>
      <c r="H5353" s="532"/>
      <c r="I5353" s="532"/>
      <c r="J5353" s="532"/>
    </row>
    <row r="5354" spans="1:10" x14ac:dyDescent="0.25">
      <c r="A5354" s="362"/>
      <c r="B5354" s="611">
        <v>44439</v>
      </c>
      <c r="C5354" s="362" t="s">
        <v>86</v>
      </c>
      <c r="D5354" s="562">
        <v>73965076</v>
      </c>
      <c r="E5354" s="562">
        <v>16315104</v>
      </c>
      <c r="F5354" s="562">
        <v>90280000</v>
      </c>
      <c r="G5354" s="562">
        <f t="shared" si="277"/>
        <v>180</v>
      </c>
      <c r="H5354" s="362"/>
      <c r="I5354" s="362"/>
      <c r="J5354" s="362"/>
    </row>
    <row r="5355" spans="1:10" x14ac:dyDescent="0.25">
      <c r="A5355" s="362"/>
      <c r="B5355" s="611">
        <v>44439</v>
      </c>
      <c r="C5355" s="362" t="s">
        <v>87</v>
      </c>
      <c r="D5355" s="562">
        <v>65582317</v>
      </c>
      <c r="E5355" s="562">
        <v>95004046</v>
      </c>
      <c r="F5355" s="562">
        <v>160586600</v>
      </c>
      <c r="G5355" s="562">
        <f t="shared" si="277"/>
        <v>-237</v>
      </c>
      <c r="H5355" s="362"/>
      <c r="I5355" s="362"/>
      <c r="J5355" s="362"/>
    </row>
    <row r="5356" spans="1:10" x14ac:dyDescent="0.25">
      <c r="A5356" s="362"/>
      <c r="B5356" s="611">
        <v>44439</v>
      </c>
      <c r="C5356" s="362" t="s">
        <v>88</v>
      </c>
      <c r="D5356" s="562">
        <v>195277318</v>
      </c>
      <c r="E5356" s="562">
        <v>132942579</v>
      </c>
      <c r="F5356" s="562">
        <v>328219900</v>
      </c>
      <c r="G5356" s="562">
        <f t="shared" si="277"/>
        <v>-3</v>
      </c>
      <c r="H5356" s="362"/>
      <c r="I5356" s="362"/>
      <c r="J5356" s="362"/>
    </row>
    <row r="5357" spans="1:10" x14ac:dyDescent="0.25">
      <c r="A5357" s="362"/>
      <c r="B5357" s="611">
        <v>44439</v>
      </c>
      <c r="C5357" s="362" t="s">
        <v>82</v>
      </c>
      <c r="D5357" s="562">
        <v>46528857</v>
      </c>
      <c r="E5357" s="562">
        <v>3369604</v>
      </c>
      <c r="F5357" s="562">
        <v>49898500</v>
      </c>
      <c r="G5357" s="562">
        <f t="shared" si="277"/>
        <v>-39</v>
      </c>
      <c r="H5357" s="362"/>
      <c r="I5357" s="362"/>
      <c r="J5357" s="362"/>
    </row>
    <row r="5358" spans="1:10" x14ac:dyDescent="0.25">
      <c r="A5358" s="362"/>
      <c r="B5358" s="611">
        <v>44439</v>
      </c>
      <c r="C5358" s="362" t="s">
        <v>80</v>
      </c>
      <c r="D5358" s="562">
        <v>172405329</v>
      </c>
      <c r="E5358" s="562"/>
      <c r="F5358" s="562">
        <v>172404500</v>
      </c>
      <c r="G5358" s="562">
        <f t="shared" si="277"/>
        <v>829</v>
      </c>
      <c r="H5358" s="362"/>
      <c r="I5358" s="362"/>
      <c r="J5358" s="362"/>
    </row>
    <row r="5359" spans="1:10" x14ac:dyDescent="0.25">
      <c r="A5359" s="362"/>
      <c r="B5359" s="611">
        <v>44439</v>
      </c>
      <c r="C5359" s="362" t="s">
        <v>83</v>
      </c>
      <c r="D5359" s="562">
        <v>205710958</v>
      </c>
      <c r="E5359" s="562">
        <v>143694252</v>
      </c>
      <c r="F5359" s="562">
        <v>349405200</v>
      </c>
      <c r="G5359" s="562">
        <f t="shared" si="277"/>
        <v>10</v>
      </c>
      <c r="H5359" s="362"/>
      <c r="I5359" s="362"/>
      <c r="J5359" s="362"/>
    </row>
    <row r="5360" spans="1:10" x14ac:dyDescent="0.25">
      <c r="A5360" s="362"/>
      <c r="B5360" s="611">
        <v>44439</v>
      </c>
      <c r="C5360" s="362" t="s">
        <v>78</v>
      </c>
      <c r="D5360" s="562">
        <v>93908297</v>
      </c>
      <c r="E5360" s="562">
        <v>394003</v>
      </c>
      <c r="F5360" s="562">
        <v>94302300</v>
      </c>
      <c r="G5360" s="562">
        <f t="shared" si="277"/>
        <v>0</v>
      </c>
      <c r="H5360" s="362"/>
      <c r="I5360" s="362"/>
      <c r="J5360" s="362"/>
    </row>
    <row r="5361" spans="1:10" x14ac:dyDescent="0.25">
      <c r="A5361" s="362"/>
      <c r="B5361" s="611">
        <v>44439</v>
      </c>
      <c r="C5361" s="362" t="s">
        <v>141</v>
      </c>
      <c r="D5361" s="562">
        <v>44650816</v>
      </c>
      <c r="E5361" s="562">
        <v>114253</v>
      </c>
      <c r="F5361" s="562">
        <v>44765100</v>
      </c>
      <c r="G5361" s="562">
        <f t="shared" si="277"/>
        <v>-31</v>
      </c>
      <c r="H5361" s="362"/>
      <c r="I5361" s="362"/>
      <c r="J5361" s="362"/>
    </row>
    <row r="5362" spans="1:10" x14ac:dyDescent="0.25">
      <c r="A5362" s="362"/>
      <c r="B5362" s="611">
        <v>44439</v>
      </c>
      <c r="C5362" s="362" t="s">
        <v>89</v>
      </c>
      <c r="D5362" s="562">
        <v>66434042</v>
      </c>
      <c r="E5362" s="562">
        <v>7868858</v>
      </c>
      <c r="F5362" s="562">
        <v>74302900</v>
      </c>
      <c r="G5362" s="562">
        <f t="shared" si="277"/>
        <v>0</v>
      </c>
      <c r="H5362" s="362"/>
      <c r="I5362" s="362"/>
      <c r="J5362" s="362"/>
    </row>
    <row r="5363" spans="1:10" x14ac:dyDescent="0.25">
      <c r="A5363" s="362"/>
      <c r="B5363" s="611">
        <v>44439</v>
      </c>
      <c r="C5363" s="362" t="s">
        <v>81</v>
      </c>
      <c r="D5363" s="562">
        <v>43001308</v>
      </c>
      <c r="E5363" s="562">
        <v>53001835</v>
      </c>
      <c r="F5363" s="562">
        <v>96003200</v>
      </c>
      <c r="G5363" s="562">
        <f t="shared" si="277"/>
        <v>-57</v>
      </c>
      <c r="H5363" s="362"/>
      <c r="I5363" s="362"/>
      <c r="J5363" s="362"/>
    </row>
    <row r="5364" spans="1:10" x14ac:dyDescent="0.25">
      <c r="A5364" s="362"/>
      <c r="B5364" s="611">
        <v>44439</v>
      </c>
      <c r="C5364" s="362" t="s">
        <v>84</v>
      </c>
      <c r="D5364" s="562">
        <v>119908515</v>
      </c>
      <c r="E5364" s="562">
        <v>16809549</v>
      </c>
      <c r="F5364" s="562">
        <v>136718100</v>
      </c>
      <c r="G5364" s="562">
        <f t="shared" si="277"/>
        <v>-36</v>
      </c>
      <c r="H5364" s="362"/>
      <c r="I5364" s="362"/>
      <c r="J5364" s="362"/>
    </row>
    <row r="5365" spans="1:10" x14ac:dyDescent="0.25">
      <c r="A5365" s="362"/>
      <c r="B5365" s="611">
        <v>44439</v>
      </c>
      <c r="C5365" s="362" t="s">
        <v>4751</v>
      </c>
      <c r="D5365" s="562">
        <v>150832166</v>
      </c>
      <c r="E5365" s="562">
        <v>20086534</v>
      </c>
      <c r="F5365" s="562">
        <v>170918700</v>
      </c>
      <c r="G5365" s="562">
        <f t="shared" si="277"/>
        <v>0</v>
      </c>
      <c r="H5365" s="362"/>
      <c r="I5365" s="362"/>
      <c r="J5365" s="362"/>
    </row>
    <row r="5366" spans="1:10" x14ac:dyDescent="0.25">
      <c r="A5366" s="362"/>
      <c r="B5366" s="611">
        <v>44439</v>
      </c>
      <c r="C5366" s="362" t="s">
        <v>166</v>
      </c>
      <c r="D5366" s="562">
        <v>96664571</v>
      </c>
      <c r="E5366" s="562"/>
      <c r="F5366" s="562">
        <v>96664600</v>
      </c>
      <c r="G5366" s="562">
        <f t="shared" si="277"/>
        <v>-29</v>
      </c>
      <c r="H5366" s="362"/>
      <c r="I5366" s="362"/>
      <c r="J5366" s="362"/>
    </row>
    <row r="5367" spans="1:10" x14ac:dyDescent="0.25">
      <c r="A5367" s="362"/>
      <c r="B5367" s="611">
        <v>44439</v>
      </c>
      <c r="C5367" s="362" t="s">
        <v>3435</v>
      </c>
      <c r="D5367" s="562">
        <v>4398158</v>
      </c>
      <c r="E5367" s="562"/>
      <c r="F5367" s="562">
        <v>4398200</v>
      </c>
      <c r="G5367" s="562">
        <f t="shared" si="277"/>
        <v>-42</v>
      </c>
      <c r="H5367" s="362"/>
      <c r="I5367" s="362"/>
      <c r="J5367" s="362"/>
    </row>
    <row r="5368" spans="1:10" x14ac:dyDescent="0.25">
      <c r="A5368" s="362"/>
      <c r="B5368" s="611">
        <v>44439</v>
      </c>
      <c r="C5368" s="370" t="s">
        <v>85</v>
      </c>
      <c r="D5368" s="562">
        <v>24984500</v>
      </c>
      <c r="E5368" s="562"/>
      <c r="F5368" s="562">
        <v>24984500</v>
      </c>
      <c r="G5368" s="562">
        <f t="shared" si="277"/>
        <v>0</v>
      </c>
      <c r="H5368" s="362"/>
      <c r="I5368" s="362"/>
      <c r="J5368" s="362"/>
    </row>
    <row r="5369" spans="1:10" x14ac:dyDescent="0.25">
      <c r="A5369" s="532"/>
      <c r="B5369" s="532"/>
      <c r="C5369" s="532"/>
      <c r="D5369" s="564">
        <f>SUM(D5354:D5368)</f>
        <v>1404252228</v>
      </c>
      <c r="E5369" s="564">
        <f t="shared" ref="E5369:G5369" si="280">SUM(E5354:E5368)</f>
        <v>489600617</v>
      </c>
      <c r="F5369" s="564">
        <f t="shared" si="280"/>
        <v>1893852300</v>
      </c>
      <c r="G5369" s="564">
        <f t="shared" si="280"/>
        <v>545</v>
      </c>
      <c r="H5369" s="532"/>
      <c r="I5369" s="532"/>
      <c r="J5369" s="532"/>
    </row>
    <row r="5370" spans="1:10" x14ac:dyDescent="0.25">
      <c r="A5370" s="362"/>
      <c r="B5370" s="611">
        <v>44440</v>
      </c>
      <c r="C5370" s="362" t="s">
        <v>86</v>
      </c>
      <c r="D5370" s="562">
        <v>61531534</v>
      </c>
      <c r="E5370" s="562">
        <v>45003363</v>
      </c>
      <c r="F5370" s="562">
        <v>106535000</v>
      </c>
      <c r="G5370" s="562">
        <f t="shared" si="277"/>
        <v>-103</v>
      </c>
      <c r="H5370" s="362"/>
      <c r="I5370" s="362"/>
      <c r="J5370" s="362"/>
    </row>
    <row r="5371" spans="1:10" x14ac:dyDescent="0.25">
      <c r="A5371" s="362"/>
      <c r="B5371" s="611">
        <v>44440</v>
      </c>
      <c r="C5371" s="362" t="s">
        <v>87</v>
      </c>
      <c r="D5371" s="562">
        <v>155559049</v>
      </c>
      <c r="E5371" s="562">
        <v>52700005</v>
      </c>
      <c r="F5371" s="562">
        <v>208259100</v>
      </c>
      <c r="G5371" s="562">
        <f t="shared" si="277"/>
        <v>-46</v>
      </c>
      <c r="H5371" s="362"/>
      <c r="I5371" s="362"/>
      <c r="J5371" s="362"/>
    </row>
    <row r="5372" spans="1:10" x14ac:dyDescent="0.25">
      <c r="A5372" s="362"/>
      <c r="B5372" s="611">
        <v>44440</v>
      </c>
      <c r="C5372" s="362" t="s">
        <v>88</v>
      </c>
      <c r="D5372" s="562">
        <v>278555221</v>
      </c>
      <c r="E5372" s="562">
        <v>3250785</v>
      </c>
      <c r="F5372" s="562">
        <v>281806100</v>
      </c>
      <c r="G5372" s="562">
        <f t="shared" si="277"/>
        <v>-94</v>
      </c>
      <c r="H5372" s="362"/>
      <c r="I5372" s="362"/>
      <c r="J5372" s="362"/>
    </row>
    <row r="5373" spans="1:10" x14ac:dyDescent="0.25">
      <c r="A5373" s="362"/>
      <c r="B5373" s="611">
        <v>44440</v>
      </c>
      <c r="C5373" s="362" t="s">
        <v>82</v>
      </c>
      <c r="D5373" s="562">
        <v>95398374</v>
      </c>
      <c r="E5373" s="562">
        <v>3430120</v>
      </c>
      <c r="F5373" s="562">
        <v>98828600</v>
      </c>
      <c r="G5373" s="562">
        <f t="shared" si="277"/>
        <v>-106</v>
      </c>
      <c r="H5373" s="362"/>
      <c r="I5373" s="362"/>
      <c r="J5373" s="362"/>
    </row>
    <row r="5374" spans="1:10" x14ac:dyDescent="0.25">
      <c r="A5374" s="362"/>
      <c r="B5374" s="611">
        <v>44440</v>
      </c>
      <c r="C5374" s="362" t="s">
        <v>80</v>
      </c>
      <c r="D5374" s="562">
        <v>255108548</v>
      </c>
      <c r="E5374" s="562"/>
      <c r="F5374" s="562">
        <v>255098300</v>
      </c>
      <c r="G5374" s="562">
        <f t="shared" si="277"/>
        <v>10248</v>
      </c>
      <c r="H5374" s="362"/>
      <c r="I5374" s="362"/>
      <c r="J5374" s="362"/>
    </row>
    <row r="5375" spans="1:10" x14ac:dyDescent="0.25">
      <c r="A5375" s="362"/>
      <c r="B5375" s="611">
        <v>44440</v>
      </c>
      <c r="C5375" s="362" t="s">
        <v>83</v>
      </c>
      <c r="D5375" s="562">
        <v>226696627</v>
      </c>
      <c r="E5375" s="562">
        <v>44218165</v>
      </c>
      <c r="F5375" s="562">
        <v>270914800</v>
      </c>
      <c r="G5375" s="562">
        <f t="shared" si="277"/>
        <v>-8</v>
      </c>
      <c r="H5375" s="362"/>
      <c r="I5375" s="362"/>
      <c r="J5375" s="362"/>
    </row>
    <row r="5376" spans="1:10" x14ac:dyDescent="0.25">
      <c r="A5376" s="362"/>
      <c r="B5376" s="611">
        <v>44440</v>
      </c>
      <c r="C5376" s="362" t="s">
        <v>78</v>
      </c>
      <c r="D5376" s="562">
        <v>124314546</v>
      </c>
      <c r="E5376" s="562">
        <v>5915654</v>
      </c>
      <c r="F5376" s="562">
        <v>130230200</v>
      </c>
      <c r="G5376" s="562">
        <f t="shared" si="277"/>
        <v>0</v>
      </c>
      <c r="H5376" s="362"/>
      <c r="I5376" s="362"/>
      <c r="J5376" s="362"/>
    </row>
    <row r="5377" spans="1:10" x14ac:dyDescent="0.25">
      <c r="A5377" s="362"/>
      <c r="B5377" s="611">
        <v>44440</v>
      </c>
      <c r="C5377" s="362" t="s">
        <v>141</v>
      </c>
      <c r="D5377" s="562">
        <v>102323714</v>
      </c>
      <c r="E5377" s="562"/>
      <c r="F5377" s="562">
        <v>102323800</v>
      </c>
      <c r="G5377" s="562">
        <f t="shared" si="277"/>
        <v>-86</v>
      </c>
      <c r="H5377" s="362"/>
      <c r="I5377" s="362"/>
      <c r="J5377" s="362"/>
    </row>
    <row r="5378" spans="1:10" x14ac:dyDescent="0.25">
      <c r="A5378" s="362"/>
      <c r="B5378" s="611">
        <v>44440</v>
      </c>
      <c r="C5378" s="362" t="s">
        <v>89</v>
      </c>
      <c r="D5378" s="562">
        <v>145719079</v>
      </c>
      <c r="E5378" s="562">
        <v>40881621</v>
      </c>
      <c r="F5378" s="562">
        <v>186600700</v>
      </c>
      <c r="G5378" s="562">
        <f t="shared" si="277"/>
        <v>0</v>
      </c>
      <c r="H5378" s="362"/>
      <c r="I5378" s="362"/>
      <c r="J5378" s="362"/>
    </row>
    <row r="5379" spans="1:10" x14ac:dyDescent="0.25">
      <c r="A5379" s="362"/>
      <c r="B5379" s="611">
        <v>44440</v>
      </c>
      <c r="C5379" s="362" t="s">
        <v>81</v>
      </c>
      <c r="D5379" s="562">
        <v>73542459</v>
      </c>
      <c r="E5379" s="562">
        <v>18928251</v>
      </c>
      <c r="F5379" s="562">
        <v>92470700</v>
      </c>
      <c r="G5379" s="562">
        <f t="shared" si="277"/>
        <v>10</v>
      </c>
      <c r="H5379" s="362"/>
      <c r="I5379" s="362"/>
      <c r="J5379" s="362"/>
    </row>
    <row r="5380" spans="1:10" x14ac:dyDescent="0.25">
      <c r="A5380" s="362"/>
      <c r="B5380" s="611">
        <v>44440</v>
      </c>
      <c r="C5380" s="362" t="s">
        <v>84</v>
      </c>
      <c r="D5380" s="562">
        <v>211851763</v>
      </c>
      <c r="E5380" s="562">
        <v>14720917</v>
      </c>
      <c r="F5380" s="562">
        <v>226572700</v>
      </c>
      <c r="G5380" s="562">
        <f t="shared" si="277"/>
        <v>-20</v>
      </c>
      <c r="H5380" s="362"/>
      <c r="I5380" s="362"/>
      <c r="J5380" s="362"/>
    </row>
    <row r="5381" spans="1:10" x14ac:dyDescent="0.25">
      <c r="A5381" s="362"/>
      <c r="B5381" s="611">
        <v>44440</v>
      </c>
      <c r="C5381" s="362" t="s">
        <v>4751</v>
      </c>
      <c r="D5381" s="562">
        <v>144637601</v>
      </c>
      <c r="E5381" s="562">
        <v>12358799</v>
      </c>
      <c r="F5381" s="562">
        <v>156996400</v>
      </c>
      <c r="G5381" s="562">
        <f t="shared" si="277"/>
        <v>0</v>
      </c>
      <c r="H5381" s="362"/>
      <c r="I5381" s="362"/>
      <c r="J5381" s="362"/>
    </row>
    <row r="5382" spans="1:10" x14ac:dyDescent="0.25">
      <c r="A5382" s="362"/>
      <c r="B5382" s="611">
        <v>44440</v>
      </c>
      <c r="C5382" s="362" t="s">
        <v>166</v>
      </c>
      <c r="D5382" s="562">
        <v>39792300</v>
      </c>
      <c r="E5382" s="562"/>
      <c r="F5382" s="562">
        <v>39792300</v>
      </c>
      <c r="G5382" s="562">
        <f t="shared" si="277"/>
        <v>0</v>
      </c>
      <c r="H5382" s="362"/>
      <c r="I5382" s="362"/>
      <c r="J5382" s="362"/>
    </row>
    <row r="5383" spans="1:10" x14ac:dyDescent="0.25">
      <c r="A5383" s="362"/>
      <c r="B5383" s="611">
        <v>44440</v>
      </c>
      <c r="C5383" s="362" t="s">
        <v>3435</v>
      </c>
      <c r="D5383" s="562">
        <v>30691414</v>
      </c>
      <c r="E5383" s="562"/>
      <c r="F5383" s="562">
        <v>30691500</v>
      </c>
      <c r="G5383" s="562">
        <f t="shared" si="277"/>
        <v>-86</v>
      </c>
      <c r="H5383" s="362"/>
      <c r="I5383" s="362"/>
      <c r="J5383" s="362"/>
    </row>
    <row r="5384" spans="1:10" x14ac:dyDescent="0.25">
      <c r="A5384" s="362"/>
      <c r="B5384" s="611">
        <v>44440</v>
      </c>
      <c r="C5384" s="370" t="s">
        <v>85</v>
      </c>
      <c r="D5384" s="562">
        <v>25626700</v>
      </c>
      <c r="E5384" s="562"/>
      <c r="F5384" s="562">
        <v>25626700</v>
      </c>
      <c r="G5384" s="562">
        <f t="shared" si="277"/>
        <v>0</v>
      </c>
      <c r="H5384" s="362"/>
      <c r="I5384" s="362"/>
      <c r="J5384" s="362"/>
    </row>
    <row r="5385" spans="1:10" x14ac:dyDescent="0.25">
      <c r="A5385" s="532"/>
      <c r="B5385" s="532"/>
      <c r="C5385" s="532"/>
      <c r="D5385" s="564">
        <f>SUM(D5370:D5384)</f>
        <v>1971348929</v>
      </c>
      <c r="E5385" s="564">
        <f t="shared" ref="E5385:G5385" si="281">SUM(E5370:E5384)</f>
        <v>241407680</v>
      </c>
      <c r="F5385" s="564">
        <f t="shared" si="281"/>
        <v>2212746900</v>
      </c>
      <c r="G5385" s="564">
        <f t="shared" si="281"/>
        <v>9709</v>
      </c>
      <c r="H5385" s="532"/>
      <c r="I5385" s="532"/>
      <c r="J5385" s="532"/>
    </row>
    <row r="5386" spans="1:10" x14ac:dyDescent="0.25">
      <c r="A5386" s="362"/>
      <c r="B5386" s="611">
        <v>44441</v>
      </c>
      <c r="C5386" s="362" t="s">
        <v>86</v>
      </c>
      <c r="D5386" s="562">
        <v>79649143</v>
      </c>
      <c r="E5386" s="562">
        <v>20055240</v>
      </c>
      <c r="F5386" s="562">
        <v>99704400</v>
      </c>
      <c r="G5386" s="562">
        <f t="shared" si="277"/>
        <v>-17</v>
      </c>
      <c r="H5386" s="362"/>
      <c r="I5386" s="362"/>
      <c r="J5386" s="362"/>
    </row>
    <row r="5387" spans="1:10" x14ac:dyDescent="0.25">
      <c r="A5387" s="362"/>
      <c r="B5387" s="611">
        <v>44441</v>
      </c>
      <c r="C5387" s="362" t="s">
        <v>87</v>
      </c>
      <c r="D5387" s="562">
        <v>53767134</v>
      </c>
      <c r="E5387" s="562">
        <v>176951298</v>
      </c>
      <c r="F5387" s="562">
        <v>230719000</v>
      </c>
      <c r="G5387" s="562">
        <f t="shared" si="277"/>
        <v>-568</v>
      </c>
      <c r="H5387" s="362"/>
      <c r="I5387" s="362"/>
      <c r="J5387" s="362"/>
    </row>
    <row r="5388" spans="1:10" x14ac:dyDescent="0.25">
      <c r="A5388" s="362"/>
      <c r="B5388" s="611">
        <v>44441</v>
      </c>
      <c r="C5388" s="362" t="s">
        <v>88</v>
      </c>
      <c r="D5388" s="562">
        <v>194761260</v>
      </c>
      <c r="E5388" s="562">
        <v>13351439</v>
      </c>
      <c r="F5388" s="562">
        <v>208112700</v>
      </c>
      <c r="G5388" s="562">
        <f t="shared" ref="G5388:G5451" si="282">D5388+E5388-F5388</f>
        <v>-1</v>
      </c>
      <c r="H5388" s="362"/>
      <c r="I5388" s="362"/>
      <c r="J5388" s="362"/>
    </row>
    <row r="5389" spans="1:10" x14ac:dyDescent="0.25">
      <c r="A5389" s="362"/>
      <c r="B5389" s="611">
        <v>44441</v>
      </c>
      <c r="C5389" s="362" t="s">
        <v>82</v>
      </c>
      <c r="D5389" s="562">
        <v>164099499</v>
      </c>
      <c r="E5389" s="562">
        <v>2212920</v>
      </c>
      <c r="F5389" s="562">
        <v>166312500</v>
      </c>
      <c r="G5389" s="562">
        <f t="shared" si="282"/>
        <v>-81</v>
      </c>
      <c r="H5389" s="362"/>
      <c r="I5389" s="362"/>
      <c r="J5389" s="362"/>
    </row>
    <row r="5390" spans="1:10" x14ac:dyDescent="0.25">
      <c r="A5390" s="362"/>
      <c r="B5390" s="611">
        <v>44441</v>
      </c>
      <c r="C5390" s="362" t="s">
        <v>80</v>
      </c>
      <c r="D5390" s="562">
        <v>402364646</v>
      </c>
      <c r="E5390" s="562"/>
      <c r="F5390" s="562">
        <v>402363100</v>
      </c>
      <c r="G5390" s="562">
        <f t="shared" si="282"/>
        <v>1546</v>
      </c>
      <c r="H5390" s="362"/>
      <c r="I5390" s="362"/>
      <c r="J5390" s="362"/>
    </row>
    <row r="5391" spans="1:10" x14ac:dyDescent="0.25">
      <c r="A5391" s="362"/>
      <c r="B5391" s="611">
        <v>44441</v>
      </c>
      <c r="C5391" s="362" t="s">
        <v>83</v>
      </c>
      <c r="D5391" s="562">
        <v>257066006</v>
      </c>
      <c r="E5391" s="562">
        <v>15604078</v>
      </c>
      <c r="F5391" s="562">
        <v>272670100</v>
      </c>
      <c r="G5391" s="562">
        <f t="shared" si="282"/>
        <v>-16</v>
      </c>
      <c r="H5391" s="362"/>
      <c r="I5391" s="362"/>
      <c r="J5391" s="362"/>
    </row>
    <row r="5392" spans="1:10" x14ac:dyDescent="0.25">
      <c r="A5392" s="362"/>
      <c r="B5392" s="611">
        <v>44441</v>
      </c>
      <c r="C5392" s="362" t="s">
        <v>78</v>
      </c>
      <c r="D5392" s="562">
        <v>93347716</v>
      </c>
      <c r="E5392" s="562">
        <v>774184</v>
      </c>
      <c r="F5392" s="562">
        <v>94121900</v>
      </c>
      <c r="G5392" s="562">
        <f t="shared" si="282"/>
        <v>0</v>
      </c>
      <c r="H5392" s="362"/>
      <c r="I5392" s="362"/>
      <c r="J5392" s="362"/>
    </row>
    <row r="5393" spans="1:10" x14ac:dyDescent="0.25">
      <c r="A5393" s="362"/>
      <c r="B5393" s="611">
        <v>44441</v>
      </c>
      <c r="C5393" s="362" t="s">
        <v>141</v>
      </c>
      <c r="D5393" s="562">
        <v>75301892</v>
      </c>
      <c r="E5393" s="562">
        <v>706878</v>
      </c>
      <c r="F5393" s="562">
        <v>76008700</v>
      </c>
      <c r="G5393" s="562">
        <f t="shared" si="282"/>
        <v>70</v>
      </c>
      <c r="H5393" s="362"/>
      <c r="I5393" s="362"/>
      <c r="J5393" s="362"/>
    </row>
    <row r="5394" spans="1:10" x14ac:dyDescent="0.25">
      <c r="A5394" s="362"/>
      <c r="B5394" s="611">
        <v>44441</v>
      </c>
      <c r="C5394" s="362" t="s">
        <v>89</v>
      </c>
      <c r="D5394" s="562">
        <v>162388382</v>
      </c>
      <c r="E5394" s="562">
        <v>27167018</v>
      </c>
      <c r="F5394" s="562">
        <v>189555400</v>
      </c>
      <c r="G5394" s="562">
        <f t="shared" si="282"/>
        <v>0</v>
      </c>
      <c r="H5394" s="362"/>
      <c r="I5394" s="362"/>
      <c r="J5394" s="362"/>
    </row>
    <row r="5395" spans="1:10" x14ac:dyDescent="0.25">
      <c r="A5395" s="362"/>
      <c r="B5395" s="611">
        <v>44441</v>
      </c>
      <c r="C5395" s="362" t="s">
        <v>81</v>
      </c>
      <c r="D5395" s="562">
        <v>172452080</v>
      </c>
      <c r="E5395" s="562">
        <v>14058107</v>
      </c>
      <c r="F5395" s="562">
        <v>186510200</v>
      </c>
      <c r="G5395" s="562">
        <f t="shared" si="282"/>
        <v>-13</v>
      </c>
      <c r="H5395" s="362"/>
      <c r="I5395" s="362"/>
      <c r="J5395" s="362"/>
    </row>
    <row r="5396" spans="1:10" x14ac:dyDescent="0.25">
      <c r="A5396" s="362"/>
      <c r="B5396" s="611">
        <v>44441</v>
      </c>
      <c r="C5396" s="362" t="s">
        <v>84</v>
      </c>
      <c r="D5396" s="562">
        <v>148384800</v>
      </c>
      <c r="E5396" s="562">
        <v>15378640</v>
      </c>
      <c r="F5396" s="562">
        <v>163763500</v>
      </c>
      <c r="G5396" s="562">
        <f t="shared" si="282"/>
        <v>-60</v>
      </c>
      <c r="H5396" s="362"/>
      <c r="I5396" s="362"/>
      <c r="J5396" s="362"/>
    </row>
    <row r="5397" spans="1:10" x14ac:dyDescent="0.25">
      <c r="A5397" s="362"/>
      <c r="B5397" s="611">
        <v>44441</v>
      </c>
      <c r="C5397" s="362" t="s">
        <v>4751</v>
      </c>
      <c r="D5397" s="562">
        <v>197207221</v>
      </c>
      <c r="E5397" s="562">
        <v>8579379</v>
      </c>
      <c r="F5397" s="562">
        <v>205786600</v>
      </c>
      <c r="G5397" s="562">
        <f t="shared" si="282"/>
        <v>0</v>
      </c>
      <c r="H5397" s="362"/>
      <c r="I5397" s="362"/>
      <c r="J5397" s="362"/>
    </row>
    <row r="5398" spans="1:10" x14ac:dyDescent="0.25">
      <c r="A5398" s="362"/>
      <c r="B5398" s="611">
        <v>44441</v>
      </c>
      <c r="C5398" s="362" t="s">
        <v>166</v>
      </c>
      <c r="D5398" s="562">
        <v>95647321</v>
      </c>
      <c r="E5398" s="562"/>
      <c r="F5398" s="562">
        <v>95647300</v>
      </c>
      <c r="G5398" s="562">
        <f t="shared" si="282"/>
        <v>21</v>
      </c>
      <c r="H5398" s="362"/>
      <c r="I5398" s="362"/>
      <c r="J5398" s="362"/>
    </row>
    <row r="5399" spans="1:10" x14ac:dyDescent="0.25">
      <c r="A5399" s="362"/>
      <c r="B5399" s="611">
        <v>44441</v>
      </c>
      <c r="C5399" s="362" t="s">
        <v>3435</v>
      </c>
      <c r="D5399" s="562">
        <v>49390645</v>
      </c>
      <c r="E5399" s="562"/>
      <c r="F5399" s="562">
        <v>49390700</v>
      </c>
      <c r="G5399" s="562">
        <f t="shared" si="282"/>
        <v>-55</v>
      </c>
      <c r="H5399" s="362"/>
      <c r="I5399" s="362"/>
      <c r="J5399" s="362"/>
    </row>
    <row r="5400" spans="1:10" x14ac:dyDescent="0.25">
      <c r="A5400" s="362"/>
      <c r="B5400" s="611">
        <v>44441</v>
      </c>
      <c r="C5400" s="370" t="s">
        <v>85</v>
      </c>
      <c r="D5400" s="562">
        <v>21262200</v>
      </c>
      <c r="E5400" s="562"/>
      <c r="F5400" s="562">
        <v>21262200</v>
      </c>
      <c r="G5400" s="562">
        <f t="shared" si="282"/>
        <v>0</v>
      </c>
      <c r="H5400" s="362"/>
      <c r="I5400" s="362"/>
      <c r="J5400" s="362"/>
    </row>
    <row r="5401" spans="1:10" x14ac:dyDescent="0.25">
      <c r="A5401" s="532"/>
      <c r="B5401" s="532"/>
      <c r="C5401" s="532"/>
      <c r="D5401" s="564">
        <f>SUM(D5386:D5400)</f>
        <v>2167089945</v>
      </c>
      <c r="E5401" s="564">
        <f t="shared" ref="E5401:G5401" si="283">SUM(E5386:E5400)</f>
        <v>294839181</v>
      </c>
      <c r="F5401" s="564">
        <f t="shared" si="283"/>
        <v>2461928300</v>
      </c>
      <c r="G5401" s="564">
        <f t="shared" si="283"/>
        <v>826</v>
      </c>
      <c r="H5401" s="532"/>
      <c r="I5401" s="532"/>
      <c r="J5401" s="532"/>
    </row>
    <row r="5402" spans="1:10" x14ac:dyDescent="0.25">
      <c r="A5402" s="362"/>
      <c r="B5402" s="611">
        <v>44442</v>
      </c>
      <c r="C5402" s="362" t="s">
        <v>86</v>
      </c>
      <c r="D5402" s="562">
        <v>34797163</v>
      </c>
      <c r="E5402" s="562">
        <v>93722868</v>
      </c>
      <c r="F5402" s="562">
        <v>128520000</v>
      </c>
      <c r="G5402" s="562">
        <f t="shared" si="282"/>
        <v>31</v>
      </c>
      <c r="H5402" s="362"/>
      <c r="I5402" s="362"/>
      <c r="J5402" s="362"/>
    </row>
    <row r="5403" spans="1:10" x14ac:dyDescent="0.25">
      <c r="A5403" s="362"/>
      <c r="B5403" s="611">
        <v>44442</v>
      </c>
      <c r="C5403" s="362" t="s">
        <v>87</v>
      </c>
      <c r="D5403" s="562">
        <v>44361503</v>
      </c>
      <c r="E5403" s="562">
        <v>38825907</v>
      </c>
      <c r="F5403" s="562">
        <v>83187400</v>
      </c>
      <c r="G5403" s="562">
        <f t="shared" si="282"/>
        <v>10</v>
      </c>
      <c r="H5403" s="362"/>
      <c r="I5403" s="362"/>
      <c r="J5403" s="362"/>
    </row>
    <row r="5404" spans="1:10" x14ac:dyDescent="0.25">
      <c r="A5404" s="362"/>
      <c r="B5404" s="611">
        <v>44442</v>
      </c>
      <c r="C5404" s="362" t="s">
        <v>88</v>
      </c>
      <c r="D5404" s="562">
        <v>98030062</v>
      </c>
      <c r="E5404" s="562">
        <v>45132629</v>
      </c>
      <c r="F5404" s="562">
        <v>143162700</v>
      </c>
      <c r="G5404" s="562">
        <f t="shared" si="282"/>
        <v>-9</v>
      </c>
      <c r="H5404" s="362"/>
      <c r="I5404" s="362"/>
      <c r="J5404" s="362"/>
    </row>
    <row r="5405" spans="1:10" x14ac:dyDescent="0.25">
      <c r="A5405" s="362"/>
      <c r="B5405" s="611">
        <v>44442</v>
      </c>
      <c r="C5405" s="362" t="s">
        <v>82</v>
      </c>
      <c r="D5405" s="562">
        <v>78278188</v>
      </c>
      <c r="E5405" s="562">
        <v>2140976</v>
      </c>
      <c r="F5405" s="562">
        <v>80419200</v>
      </c>
      <c r="G5405" s="562">
        <f t="shared" si="282"/>
        <v>-36</v>
      </c>
      <c r="H5405" s="362"/>
      <c r="I5405" s="362"/>
      <c r="J5405" s="362"/>
    </row>
    <row r="5406" spans="1:10" x14ac:dyDescent="0.25">
      <c r="A5406" s="362"/>
      <c r="B5406" s="611">
        <v>44442</v>
      </c>
      <c r="C5406" s="362" t="s">
        <v>80</v>
      </c>
      <c r="D5406" s="562">
        <v>214358400</v>
      </c>
      <c r="E5406" s="562"/>
      <c r="F5406" s="562">
        <v>214358400</v>
      </c>
      <c r="G5406" s="562">
        <f t="shared" si="282"/>
        <v>0</v>
      </c>
      <c r="H5406" s="362"/>
      <c r="I5406" s="362"/>
      <c r="J5406" s="362"/>
    </row>
    <row r="5407" spans="1:10" x14ac:dyDescent="0.25">
      <c r="A5407" s="362"/>
      <c r="B5407" s="611">
        <v>44442</v>
      </c>
      <c r="C5407" s="362" t="s">
        <v>83</v>
      </c>
      <c r="D5407" s="562">
        <v>231283106</v>
      </c>
      <c r="E5407" s="562">
        <v>14977594</v>
      </c>
      <c r="F5407" s="562">
        <v>246260700</v>
      </c>
      <c r="G5407" s="562">
        <f t="shared" si="282"/>
        <v>0</v>
      </c>
      <c r="H5407" s="362"/>
      <c r="I5407" s="362"/>
      <c r="J5407" s="362"/>
    </row>
    <row r="5408" spans="1:10" x14ac:dyDescent="0.25">
      <c r="A5408" s="362"/>
      <c r="B5408" s="611">
        <v>44442</v>
      </c>
      <c r="C5408" s="362" t="s">
        <v>78</v>
      </c>
      <c r="D5408" s="562">
        <v>143929752</v>
      </c>
      <c r="E5408" s="562">
        <v>880348</v>
      </c>
      <c r="F5408" s="562">
        <v>144810100</v>
      </c>
      <c r="G5408" s="562">
        <f t="shared" si="282"/>
        <v>0</v>
      </c>
      <c r="H5408" s="362"/>
      <c r="I5408" s="362"/>
      <c r="J5408" s="362"/>
    </row>
    <row r="5409" spans="1:10" x14ac:dyDescent="0.25">
      <c r="A5409" s="362"/>
      <c r="B5409" s="611">
        <v>44442</v>
      </c>
      <c r="C5409" s="362" t="s">
        <v>141</v>
      </c>
      <c r="D5409" s="562">
        <v>73384167</v>
      </c>
      <c r="E5409" s="562"/>
      <c r="F5409" s="562">
        <v>73384200</v>
      </c>
      <c r="G5409" s="562">
        <f t="shared" si="282"/>
        <v>-33</v>
      </c>
      <c r="H5409" s="362"/>
      <c r="I5409" s="362"/>
      <c r="J5409" s="362"/>
    </row>
    <row r="5410" spans="1:10" x14ac:dyDescent="0.25">
      <c r="A5410" s="362"/>
      <c r="B5410" s="611">
        <v>44442</v>
      </c>
      <c r="C5410" s="362" t="s">
        <v>89</v>
      </c>
      <c r="D5410" s="562">
        <v>151870773</v>
      </c>
      <c r="E5410" s="562">
        <v>61111427</v>
      </c>
      <c r="F5410" s="562">
        <v>212982200</v>
      </c>
      <c r="G5410" s="562">
        <f t="shared" si="282"/>
        <v>0</v>
      </c>
      <c r="H5410" s="362"/>
      <c r="I5410" s="362"/>
      <c r="J5410" s="362"/>
    </row>
    <row r="5411" spans="1:10" x14ac:dyDescent="0.25">
      <c r="A5411" s="362"/>
      <c r="B5411" s="611">
        <v>44442</v>
      </c>
      <c r="C5411" s="362" t="s">
        <v>81</v>
      </c>
      <c r="D5411" s="562">
        <v>66525842</v>
      </c>
      <c r="E5411" s="562">
        <v>7731017</v>
      </c>
      <c r="F5411" s="562">
        <v>74256900</v>
      </c>
      <c r="G5411" s="562">
        <f t="shared" si="282"/>
        <v>-41</v>
      </c>
      <c r="H5411" s="362"/>
      <c r="I5411" s="362"/>
      <c r="J5411" s="362"/>
    </row>
    <row r="5412" spans="1:10" x14ac:dyDescent="0.25">
      <c r="A5412" s="362"/>
      <c r="B5412" s="611">
        <v>44442</v>
      </c>
      <c r="C5412" s="362" t="s">
        <v>84</v>
      </c>
      <c r="D5412" s="562">
        <v>230817422</v>
      </c>
      <c r="E5412" s="562">
        <v>7473063</v>
      </c>
      <c r="F5412" s="562">
        <v>238290500</v>
      </c>
      <c r="G5412" s="562">
        <f t="shared" si="282"/>
        <v>-15</v>
      </c>
      <c r="H5412" s="362"/>
      <c r="I5412" s="362"/>
      <c r="J5412" s="362"/>
    </row>
    <row r="5413" spans="1:10" x14ac:dyDescent="0.25">
      <c r="A5413" s="362"/>
      <c r="B5413" s="611">
        <v>44442</v>
      </c>
      <c r="C5413" s="362" t="s">
        <v>4751</v>
      </c>
      <c r="D5413" s="562">
        <v>275760903</v>
      </c>
      <c r="E5413" s="562">
        <v>141583097</v>
      </c>
      <c r="F5413" s="562">
        <v>417343500</v>
      </c>
      <c r="G5413" s="562">
        <f t="shared" si="282"/>
        <v>500</v>
      </c>
      <c r="H5413" s="362"/>
      <c r="I5413" s="362"/>
      <c r="J5413" s="362"/>
    </row>
    <row r="5414" spans="1:10" x14ac:dyDescent="0.25">
      <c r="A5414" s="362"/>
      <c r="B5414" s="611">
        <v>44442</v>
      </c>
      <c r="C5414" s="362" t="s">
        <v>166</v>
      </c>
      <c r="D5414" s="562">
        <v>35456559</v>
      </c>
      <c r="E5414" s="562"/>
      <c r="F5414" s="562">
        <v>35456500</v>
      </c>
      <c r="G5414" s="562">
        <f t="shared" si="282"/>
        <v>59</v>
      </c>
      <c r="H5414" s="362"/>
      <c r="I5414" s="362"/>
      <c r="J5414" s="362"/>
    </row>
    <row r="5415" spans="1:10" x14ac:dyDescent="0.25">
      <c r="A5415" s="362"/>
      <c r="B5415" s="611">
        <v>44442</v>
      </c>
      <c r="C5415" s="362" t="s">
        <v>3435</v>
      </c>
      <c r="D5415" s="562">
        <v>71693726</v>
      </c>
      <c r="E5415" s="562"/>
      <c r="F5415" s="562">
        <v>71693800</v>
      </c>
      <c r="G5415" s="562">
        <f t="shared" si="282"/>
        <v>-74</v>
      </c>
      <c r="H5415" s="362"/>
      <c r="I5415" s="362"/>
      <c r="J5415" s="362"/>
    </row>
    <row r="5416" spans="1:10" x14ac:dyDescent="0.25">
      <c r="A5416" s="362"/>
      <c r="B5416" s="611">
        <v>44442</v>
      </c>
      <c r="C5416" s="370" t="s">
        <v>85</v>
      </c>
      <c r="D5416" s="562">
        <v>19807700</v>
      </c>
      <c r="E5416" s="562"/>
      <c r="F5416" s="562">
        <v>19807700</v>
      </c>
      <c r="G5416" s="562">
        <f t="shared" si="282"/>
        <v>0</v>
      </c>
      <c r="H5416" s="362"/>
      <c r="I5416" s="362"/>
      <c r="J5416" s="362"/>
    </row>
    <row r="5417" spans="1:10" x14ac:dyDescent="0.25">
      <c r="A5417" s="532"/>
      <c r="B5417" s="532"/>
      <c r="C5417" s="532"/>
      <c r="D5417" s="564">
        <f>SUM(D5402:D5416)</f>
        <v>1770355266</v>
      </c>
      <c r="E5417" s="564">
        <f t="shared" ref="E5417:G5417" si="284">SUM(E5402:E5416)</f>
        <v>413578926</v>
      </c>
      <c r="F5417" s="564">
        <f t="shared" si="284"/>
        <v>2183933800</v>
      </c>
      <c r="G5417" s="564">
        <f t="shared" si="284"/>
        <v>392</v>
      </c>
      <c r="H5417" s="532"/>
      <c r="I5417" s="532"/>
      <c r="J5417" s="532"/>
    </row>
    <row r="5418" spans="1:10" x14ac:dyDescent="0.25">
      <c r="A5418" s="362"/>
      <c r="B5418" s="611">
        <v>44443</v>
      </c>
      <c r="C5418" s="362" t="s">
        <v>86</v>
      </c>
      <c r="D5418" s="562">
        <v>110653426</v>
      </c>
      <c r="E5418" s="562">
        <v>34390931</v>
      </c>
      <c r="F5418" s="562">
        <v>145044400</v>
      </c>
      <c r="G5418" s="562">
        <f t="shared" si="282"/>
        <v>-43</v>
      </c>
      <c r="H5418" s="362"/>
      <c r="I5418" s="362"/>
      <c r="J5418" s="362"/>
    </row>
    <row r="5419" spans="1:10" x14ac:dyDescent="0.25">
      <c r="A5419" s="362"/>
      <c r="B5419" s="611">
        <v>44443</v>
      </c>
      <c r="C5419" s="362" t="s">
        <v>87</v>
      </c>
      <c r="D5419" s="562">
        <v>99105468</v>
      </c>
      <c r="E5419" s="562">
        <v>243001096</v>
      </c>
      <c r="F5419" s="562">
        <f>198348600+143758000</f>
        <v>342106600</v>
      </c>
      <c r="G5419" s="562">
        <f t="shared" si="282"/>
        <v>-36</v>
      </c>
      <c r="H5419" s="362"/>
      <c r="I5419" s="362"/>
      <c r="J5419" s="362"/>
    </row>
    <row r="5420" spans="1:10" x14ac:dyDescent="0.25">
      <c r="A5420" s="362"/>
      <c r="B5420" s="611">
        <v>44443</v>
      </c>
      <c r="C5420" s="362" t="s">
        <v>88</v>
      </c>
      <c r="D5420" s="562">
        <v>266567207</v>
      </c>
      <c r="E5420" s="562">
        <v>8105592</v>
      </c>
      <c r="F5420" s="562">
        <v>274672900</v>
      </c>
      <c r="G5420" s="562">
        <f t="shared" si="282"/>
        <v>-101</v>
      </c>
      <c r="H5420" s="362"/>
      <c r="I5420" s="362"/>
      <c r="J5420" s="362"/>
    </row>
    <row r="5421" spans="1:10" x14ac:dyDescent="0.25">
      <c r="A5421" s="362"/>
      <c r="B5421" s="611">
        <v>44443</v>
      </c>
      <c r="C5421" s="362" t="s">
        <v>82</v>
      </c>
      <c r="D5421" s="562">
        <v>43346913</v>
      </c>
      <c r="E5421" s="562">
        <v>4121573</v>
      </c>
      <c r="F5421" s="562">
        <v>47468500</v>
      </c>
      <c r="G5421" s="562">
        <f t="shared" si="282"/>
        <v>-14</v>
      </c>
      <c r="H5421" s="362"/>
      <c r="I5421" s="362"/>
      <c r="J5421" s="362"/>
    </row>
    <row r="5422" spans="1:10" x14ac:dyDescent="0.25">
      <c r="A5422" s="362"/>
      <c r="B5422" s="611">
        <v>44443</v>
      </c>
      <c r="C5422" s="362" t="s">
        <v>80</v>
      </c>
      <c r="D5422" s="562">
        <v>285325440</v>
      </c>
      <c r="E5422" s="562">
        <v>5498560</v>
      </c>
      <c r="F5422" s="562">
        <v>290824000</v>
      </c>
      <c r="G5422" s="562">
        <f t="shared" si="282"/>
        <v>0</v>
      </c>
      <c r="H5422" s="362"/>
      <c r="I5422" s="362"/>
      <c r="J5422" s="362"/>
    </row>
    <row r="5423" spans="1:10" x14ac:dyDescent="0.25">
      <c r="A5423" s="362"/>
      <c r="B5423" s="611">
        <v>44443</v>
      </c>
      <c r="C5423" s="362" t="s">
        <v>83</v>
      </c>
      <c r="D5423" s="562">
        <v>250584922</v>
      </c>
      <c r="E5423" s="562">
        <v>46060188</v>
      </c>
      <c r="F5423" s="562">
        <v>296645100</v>
      </c>
      <c r="G5423" s="562">
        <f t="shared" si="282"/>
        <v>10</v>
      </c>
      <c r="H5423" s="362"/>
      <c r="I5423" s="362"/>
      <c r="J5423" s="362"/>
    </row>
    <row r="5424" spans="1:10" x14ac:dyDescent="0.25">
      <c r="A5424" s="362"/>
      <c r="B5424" s="611">
        <v>44443</v>
      </c>
      <c r="C5424" s="362" t="s">
        <v>78</v>
      </c>
      <c r="D5424" s="562">
        <v>176132735</v>
      </c>
      <c r="E5424" s="562">
        <v>8028465</v>
      </c>
      <c r="F5424" s="562">
        <v>184158200</v>
      </c>
      <c r="G5424" s="562">
        <f t="shared" si="282"/>
        <v>3000</v>
      </c>
      <c r="H5424" s="362"/>
      <c r="I5424" s="362"/>
      <c r="J5424" s="362"/>
    </row>
    <row r="5425" spans="1:10" x14ac:dyDescent="0.25">
      <c r="A5425" s="362"/>
      <c r="B5425" s="611">
        <v>44443</v>
      </c>
      <c r="C5425" s="362" t="s">
        <v>141</v>
      </c>
      <c r="D5425" s="562">
        <v>38977436</v>
      </c>
      <c r="E5425" s="562">
        <v>210977</v>
      </c>
      <c r="F5425" s="562">
        <v>39188500</v>
      </c>
      <c r="G5425" s="562">
        <f t="shared" si="282"/>
        <v>-87</v>
      </c>
      <c r="H5425" s="362"/>
      <c r="I5425" s="362"/>
      <c r="J5425" s="362"/>
    </row>
    <row r="5426" spans="1:10" x14ac:dyDescent="0.25">
      <c r="A5426" s="362"/>
      <c r="B5426" s="611">
        <v>44443</v>
      </c>
      <c r="C5426" s="362" t="s">
        <v>89</v>
      </c>
      <c r="D5426" s="562">
        <v>84806025</v>
      </c>
      <c r="E5426" s="562">
        <v>17691075</v>
      </c>
      <c r="F5426" s="562">
        <v>102497100</v>
      </c>
      <c r="G5426" s="562">
        <f t="shared" si="282"/>
        <v>0</v>
      </c>
      <c r="H5426" s="362"/>
      <c r="I5426" s="362"/>
      <c r="J5426" s="362"/>
    </row>
    <row r="5427" spans="1:10" x14ac:dyDescent="0.25">
      <c r="A5427" s="362"/>
      <c r="B5427" s="611">
        <v>44443</v>
      </c>
      <c r="C5427" s="362" t="s">
        <v>81</v>
      </c>
      <c r="D5427" s="562">
        <v>101188576</v>
      </c>
      <c r="E5427" s="562">
        <v>26905948</v>
      </c>
      <c r="F5427" s="562">
        <f>68948800+59145800</f>
        <v>128094600</v>
      </c>
      <c r="G5427" s="562">
        <f t="shared" si="282"/>
        <v>-76</v>
      </c>
      <c r="H5427" s="362"/>
      <c r="I5427" s="362"/>
      <c r="J5427" s="362"/>
    </row>
    <row r="5428" spans="1:10" x14ac:dyDescent="0.25">
      <c r="A5428" s="362"/>
      <c r="B5428" s="611">
        <v>44443</v>
      </c>
      <c r="C5428" s="362" t="s">
        <v>84</v>
      </c>
      <c r="D5428" s="562">
        <v>263481934</v>
      </c>
      <c r="E5428" s="562">
        <v>9164221</v>
      </c>
      <c r="F5428" s="562">
        <v>272646200</v>
      </c>
      <c r="G5428" s="562">
        <f t="shared" si="282"/>
        <v>-45</v>
      </c>
      <c r="H5428" s="362"/>
      <c r="I5428" s="362"/>
      <c r="J5428" s="362"/>
    </row>
    <row r="5429" spans="1:10" x14ac:dyDescent="0.25">
      <c r="A5429" s="362"/>
      <c r="B5429" s="611">
        <v>44443</v>
      </c>
      <c r="C5429" s="362" t="s">
        <v>4751</v>
      </c>
      <c r="D5429" s="562">
        <v>175123402</v>
      </c>
      <c r="E5429" s="562">
        <v>18076698</v>
      </c>
      <c r="F5429" s="562">
        <v>193200100</v>
      </c>
      <c r="G5429" s="562">
        <f t="shared" si="282"/>
        <v>0</v>
      </c>
      <c r="H5429" s="362"/>
      <c r="I5429" s="362"/>
      <c r="J5429" s="362"/>
    </row>
    <row r="5430" spans="1:10" x14ac:dyDescent="0.25">
      <c r="A5430" s="362"/>
      <c r="B5430" s="611">
        <v>44443</v>
      </c>
      <c r="C5430" s="362" t="s">
        <v>166</v>
      </c>
      <c r="D5430" s="562"/>
      <c r="E5430" s="562"/>
      <c r="F5430" s="562"/>
      <c r="G5430" s="562">
        <f t="shared" si="282"/>
        <v>0</v>
      </c>
      <c r="H5430" s="362"/>
      <c r="I5430" s="362"/>
      <c r="J5430" s="362"/>
    </row>
    <row r="5431" spans="1:10" x14ac:dyDescent="0.25">
      <c r="A5431" s="362"/>
      <c r="B5431" s="611">
        <v>44443</v>
      </c>
      <c r="C5431" s="362" t="s">
        <v>3435</v>
      </c>
      <c r="D5431" s="562"/>
      <c r="E5431" s="562"/>
      <c r="F5431" s="562"/>
      <c r="G5431" s="562">
        <f t="shared" si="282"/>
        <v>0</v>
      </c>
      <c r="H5431" s="362"/>
      <c r="I5431" s="362"/>
      <c r="J5431" s="362"/>
    </row>
    <row r="5432" spans="1:10" x14ac:dyDescent="0.25">
      <c r="A5432" s="362"/>
      <c r="B5432" s="611">
        <v>44443</v>
      </c>
      <c r="C5432" s="370" t="s">
        <v>85</v>
      </c>
      <c r="D5432" s="562">
        <v>32720100</v>
      </c>
      <c r="E5432" s="562"/>
      <c r="F5432" s="562">
        <v>32720100</v>
      </c>
      <c r="G5432" s="562">
        <f t="shared" si="282"/>
        <v>0</v>
      </c>
      <c r="H5432" s="362"/>
      <c r="I5432" s="362"/>
      <c r="J5432" s="362"/>
    </row>
    <row r="5433" spans="1:10" x14ac:dyDescent="0.25">
      <c r="A5433" s="532"/>
      <c r="B5433" s="532"/>
      <c r="C5433" s="532"/>
      <c r="D5433" s="564">
        <f>SUM(D5418:D5432)</f>
        <v>1928013584</v>
      </c>
      <c r="E5433" s="564">
        <f t="shared" ref="E5433:G5433" si="285">SUM(E5418:E5432)</f>
        <v>421255324</v>
      </c>
      <c r="F5433" s="564">
        <f t="shared" si="285"/>
        <v>2349266300</v>
      </c>
      <c r="G5433" s="564">
        <f t="shared" si="285"/>
        <v>2608</v>
      </c>
      <c r="H5433" s="532"/>
      <c r="I5433" s="532"/>
      <c r="J5433" s="532"/>
    </row>
    <row r="5434" spans="1:10" x14ac:dyDescent="0.25">
      <c r="A5434" s="362"/>
      <c r="B5434" s="611">
        <v>44445</v>
      </c>
      <c r="C5434" s="362" t="s">
        <v>86</v>
      </c>
      <c r="D5434" s="562">
        <v>50495597</v>
      </c>
      <c r="E5434" s="562">
        <v>29077907</v>
      </c>
      <c r="F5434" s="562">
        <v>79573200</v>
      </c>
      <c r="G5434" s="562">
        <f t="shared" si="282"/>
        <v>304</v>
      </c>
      <c r="H5434" s="362"/>
      <c r="I5434" s="362"/>
      <c r="J5434" s="362"/>
    </row>
    <row r="5435" spans="1:10" x14ac:dyDescent="0.25">
      <c r="A5435" s="362"/>
      <c r="B5435" s="611">
        <v>44445</v>
      </c>
      <c r="C5435" s="362" t="s">
        <v>87</v>
      </c>
      <c r="D5435" s="562">
        <v>85974252</v>
      </c>
      <c r="E5435" s="562">
        <v>69571847</v>
      </c>
      <c r="F5435" s="562">
        <v>155547000</v>
      </c>
      <c r="G5435" s="562">
        <f t="shared" si="282"/>
        <v>-901</v>
      </c>
      <c r="H5435" s="362"/>
      <c r="I5435" s="362"/>
      <c r="J5435" s="362"/>
    </row>
    <row r="5436" spans="1:10" x14ac:dyDescent="0.25">
      <c r="A5436" s="362"/>
      <c r="B5436" s="611">
        <v>44445</v>
      </c>
      <c r="C5436" s="362" t="s">
        <v>88</v>
      </c>
      <c r="D5436" s="562">
        <v>241154135</v>
      </c>
      <c r="E5436" s="562">
        <v>29962100</v>
      </c>
      <c r="F5436" s="562">
        <v>271116300</v>
      </c>
      <c r="G5436" s="562">
        <f t="shared" si="282"/>
        <v>-65</v>
      </c>
      <c r="H5436" s="362"/>
      <c r="I5436" s="362"/>
      <c r="J5436" s="362"/>
    </row>
    <row r="5437" spans="1:10" x14ac:dyDescent="0.25">
      <c r="A5437" s="362"/>
      <c r="B5437" s="611">
        <v>44445</v>
      </c>
      <c r="C5437" s="362" t="s">
        <v>82</v>
      </c>
      <c r="D5437" s="562">
        <v>42537032</v>
      </c>
      <c r="E5437" s="562">
        <v>7495700</v>
      </c>
      <c r="F5437" s="562">
        <v>50032800</v>
      </c>
      <c r="G5437" s="562">
        <f t="shared" si="282"/>
        <v>-68</v>
      </c>
      <c r="H5437" s="362"/>
      <c r="I5437" s="362"/>
      <c r="J5437" s="362"/>
    </row>
    <row r="5438" spans="1:10" x14ac:dyDescent="0.25">
      <c r="A5438" s="362"/>
      <c r="B5438" s="611">
        <v>44445</v>
      </c>
      <c r="C5438" s="362" t="s">
        <v>80</v>
      </c>
      <c r="D5438" s="562">
        <v>392086692</v>
      </c>
      <c r="E5438" s="562"/>
      <c r="F5438" s="562">
        <v>392044600</v>
      </c>
      <c r="G5438" s="562">
        <f t="shared" si="282"/>
        <v>42092</v>
      </c>
      <c r="H5438" s="362"/>
      <c r="I5438" s="362"/>
      <c r="J5438" s="362"/>
    </row>
    <row r="5439" spans="1:10" x14ac:dyDescent="0.25">
      <c r="A5439" s="362"/>
      <c r="B5439" s="611">
        <v>44445</v>
      </c>
      <c r="C5439" s="362" t="s">
        <v>83</v>
      </c>
      <c r="D5439" s="562">
        <v>365314820</v>
      </c>
      <c r="E5439" s="562">
        <v>19938855</v>
      </c>
      <c r="F5439" s="562">
        <v>385253700</v>
      </c>
      <c r="G5439" s="562">
        <f t="shared" si="282"/>
        <v>-25</v>
      </c>
      <c r="H5439" s="362"/>
      <c r="I5439" s="362"/>
      <c r="J5439" s="362"/>
    </row>
    <row r="5440" spans="1:10" x14ac:dyDescent="0.25">
      <c r="A5440" s="362"/>
      <c r="B5440" s="611">
        <v>44445</v>
      </c>
      <c r="C5440" s="362" t="s">
        <v>78</v>
      </c>
      <c r="D5440" s="562">
        <v>104914149</v>
      </c>
      <c r="E5440" s="562">
        <v>7716151</v>
      </c>
      <c r="F5440" s="562">
        <v>112630300</v>
      </c>
      <c r="G5440" s="562">
        <f t="shared" si="282"/>
        <v>0</v>
      </c>
      <c r="H5440" s="362"/>
      <c r="I5440" s="362"/>
      <c r="J5440" s="362"/>
    </row>
    <row r="5441" spans="1:10" x14ac:dyDescent="0.25">
      <c r="A5441" s="362"/>
      <c r="B5441" s="611">
        <v>44445</v>
      </c>
      <c r="C5441" s="362" t="s">
        <v>141</v>
      </c>
      <c r="D5441" s="562">
        <v>43691097</v>
      </c>
      <c r="E5441" s="562">
        <v>139098</v>
      </c>
      <c r="F5441" s="562">
        <v>43831100</v>
      </c>
      <c r="G5441" s="562">
        <f t="shared" si="282"/>
        <v>-905</v>
      </c>
      <c r="H5441" s="362"/>
      <c r="I5441" s="362"/>
      <c r="J5441" s="362"/>
    </row>
    <row r="5442" spans="1:10" x14ac:dyDescent="0.25">
      <c r="A5442" s="362"/>
      <c r="B5442" s="611">
        <v>44445</v>
      </c>
      <c r="C5442" s="362" t="s">
        <v>89</v>
      </c>
      <c r="D5442" s="562">
        <v>142053236</v>
      </c>
      <c r="E5442" s="562">
        <v>35948464</v>
      </c>
      <c r="F5442" s="562">
        <v>178001700</v>
      </c>
      <c r="G5442" s="562">
        <f t="shared" si="282"/>
        <v>0</v>
      </c>
      <c r="H5442" s="362"/>
      <c r="I5442" s="362"/>
      <c r="J5442" s="362"/>
    </row>
    <row r="5443" spans="1:10" x14ac:dyDescent="0.25">
      <c r="A5443" s="362"/>
      <c r="B5443" s="611">
        <v>44445</v>
      </c>
      <c r="C5443" s="362" t="s">
        <v>81</v>
      </c>
      <c r="D5443" s="562">
        <v>146672506</v>
      </c>
      <c r="E5443" s="562">
        <v>10791159</v>
      </c>
      <c r="F5443" s="562">
        <v>157463700</v>
      </c>
      <c r="G5443" s="562">
        <f t="shared" si="282"/>
        <v>-35</v>
      </c>
      <c r="H5443" s="362"/>
      <c r="I5443" s="362"/>
      <c r="J5443" s="362"/>
    </row>
    <row r="5444" spans="1:10" x14ac:dyDescent="0.25">
      <c r="A5444" s="362"/>
      <c r="B5444" s="611">
        <v>44445</v>
      </c>
      <c r="C5444" s="362" t="s">
        <v>84</v>
      </c>
      <c r="D5444" s="562">
        <v>385044241</v>
      </c>
      <c r="E5444" s="562">
        <v>18816992</v>
      </c>
      <c r="F5444" s="562">
        <v>403861600</v>
      </c>
      <c r="G5444" s="562">
        <f t="shared" si="282"/>
        <v>-367</v>
      </c>
      <c r="H5444" s="362"/>
      <c r="I5444" s="362"/>
      <c r="J5444" s="362"/>
    </row>
    <row r="5445" spans="1:10" x14ac:dyDescent="0.25">
      <c r="A5445" s="362"/>
      <c r="B5445" s="611">
        <v>44445</v>
      </c>
      <c r="C5445" s="362" t="s">
        <v>4751</v>
      </c>
      <c r="D5445" s="562">
        <v>240632047</v>
      </c>
      <c r="E5445" s="562">
        <v>8001953</v>
      </c>
      <c r="F5445" s="562">
        <v>248634000</v>
      </c>
      <c r="G5445" s="562">
        <f t="shared" si="282"/>
        <v>0</v>
      </c>
      <c r="H5445" s="362"/>
      <c r="I5445" s="362"/>
      <c r="J5445" s="362"/>
    </row>
    <row r="5446" spans="1:10" x14ac:dyDescent="0.25">
      <c r="A5446" s="362"/>
      <c r="B5446" s="611">
        <v>44445</v>
      </c>
      <c r="C5446" s="362" t="s">
        <v>166</v>
      </c>
      <c r="D5446" s="562">
        <v>50423149</v>
      </c>
      <c r="E5446" s="562"/>
      <c r="F5446" s="562">
        <v>50423300</v>
      </c>
      <c r="G5446" s="562">
        <f t="shared" si="282"/>
        <v>-151</v>
      </c>
      <c r="H5446" s="362"/>
      <c r="I5446" s="362"/>
      <c r="J5446" s="362"/>
    </row>
    <row r="5447" spans="1:10" x14ac:dyDescent="0.25">
      <c r="A5447" s="362"/>
      <c r="B5447" s="611">
        <v>44445</v>
      </c>
      <c r="C5447" s="362" t="s">
        <v>3435</v>
      </c>
      <c r="D5447" s="562">
        <v>51113638</v>
      </c>
      <c r="E5447" s="562"/>
      <c r="F5447" s="562">
        <v>51113700</v>
      </c>
      <c r="G5447" s="562">
        <f t="shared" si="282"/>
        <v>-62</v>
      </c>
      <c r="H5447" s="362"/>
      <c r="I5447" s="362"/>
      <c r="J5447" s="362"/>
    </row>
    <row r="5448" spans="1:10" x14ac:dyDescent="0.25">
      <c r="A5448" s="362"/>
      <c r="B5448" s="611">
        <v>44445</v>
      </c>
      <c r="C5448" s="370" t="s">
        <v>85</v>
      </c>
      <c r="D5448" s="562">
        <v>49933800</v>
      </c>
      <c r="E5448" s="562"/>
      <c r="F5448" s="562">
        <v>49933800</v>
      </c>
      <c r="G5448" s="562">
        <f t="shared" si="282"/>
        <v>0</v>
      </c>
      <c r="H5448" s="362"/>
      <c r="I5448" s="362"/>
      <c r="J5448" s="362"/>
    </row>
    <row r="5449" spans="1:10" x14ac:dyDescent="0.25">
      <c r="A5449" s="532"/>
      <c r="B5449" s="532"/>
      <c r="C5449" s="532"/>
      <c r="D5449" s="564">
        <f>SUM(D5434:D5448)</f>
        <v>2392040391</v>
      </c>
      <c r="E5449" s="564">
        <f t="shared" ref="E5449:G5449" si="286">SUM(E5434:E5448)</f>
        <v>237460226</v>
      </c>
      <c r="F5449" s="564">
        <f t="shared" si="286"/>
        <v>2629460800</v>
      </c>
      <c r="G5449" s="564">
        <f t="shared" si="286"/>
        <v>39817</v>
      </c>
      <c r="H5449" s="532"/>
      <c r="I5449" s="532"/>
      <c r="J5449" s="532"/>
    </row>
    <row r="5450" spans="1:10" x14ac:dyDescent="0.25">
      <c r="A5450" s="362"/>
      <c r="B5450" s="611">
        <v>44446</v>
      </c>
      <c r="C5450" s="362" t="s">
        <v>86</v>
      </c>
      <c r="D5450" s="562">
        <v>138273221</v>
      </c>
      <c r="E5450" s="562">
        <v>19880407</v>
      </c>
      <c r="F5450" s="562">
        <v>158154800</v>
      </c>
      <c r="G5450" s="562">
        <f t="shared" si="282"/>
        <v>-1172</v>
      </c>
      <c r="H5450" s="362"/>
      <c r="I5450" s="362"/>
      <c r="J5450" s="362"/>
    </row>
    <row r="5451" spans="1:10" x14ac:dyDescent="0.25">
      <c r="A5451" s="362"/>
      <c r="B5451" s="611">
        <v>44446</v>
      </c>
      <c r="C5451" s="362" t="s">
        <v>87</v>
      </c>
      <c r="D5451" s="562">
        <v>146806456</v>
      </c>
      <c r="E5451" s="562">
        <v>32822096</v>
      </c>
      <c r="F5451" s="562">
        <v>179628600</v>
      </c>
      <c r="G5451" s="562">
        <f t="shared" si="282"/>
        <v>-48</v>
      </c>
      <c r="H5451" s="362"/>
      <c r="I5451" s="362"/>
      <c r="J5451" s="362"/>
    </row>
    <row r="5452" spans="1:10" x14ac:dyDescent="0.25">
      <c r="A5452" s="362"/>
      <c r="B5452" s="611">
        <v>44446</v>
      </c>
      <c r="C5452" s="362" t="s">
        <v>88</v>
      </c>
      <c r="D5452" s="562">
        <v>267227885</v>
      </c>
      <c r="E5452" s="562">
        <v>284522813</v>
      </c>
      <c r="F5452" s="562">
        <v>551750700</v>
      </c>
      <c r="G5452" s="562">
        <f t="shared" ref="G5452:G5515" si="287">D5452+E5452-F5452</f>
        <v>-2</v>
      </c>
      <c r="H5452" s="362"/>
      <c r="I5452" s="362"/>
      <c r="J5452" s="362"/>
    </row>
    <row r="5453" spans="1:10" x14ac:dyDescent="0.25">
      <c r="A5453" s="362"/>
      <c r="B5453" s="611">
        <v>44446</v>
      </c>
      <c r="C5453" s="362" t="s">
        <v>82</v>
      </c>
      <c r="D5453" s="562">
        <v>89608621</v>
      </c>
      <c r="E5453" s="562">
        <v>2657882</v>
      </c>
      <c r="F5453" s="562">
        <v>92266600</v>
      </c>
      <c r="G5453" s="562">
        <f t="shared" si="287"/>
        <v>-97</v>
      </c>
      <c r="H5453" s="362"/>
      <c r="I5453" s="362"/>
      <c r="J5453" s="362"/>
    </row>
    <row r="5454" spans="1:10" x14ac:dyDescent="0.25">
      <c r="A5454" s="362"/>
      <c r="B5454" s="611">
        <v>44446</v>
      </c>
      <c r="C5454" s="362" t="s">
        <v>80</v>
      </c>
      <c r="D5454" s="562">
        <v>287272900</v>
      </c>
      <c r="E5454" s="562"/>
      <c r="F5454" s="562">
        <v>287272900</v>
      </c>
      <c r="G5454" s="562">
        <f t="shared" si="287"/>
        <v>0</v>
      </c>
      <c r="H5454" s="362"/>
      <c r="I5454" s="362"/>
      <c r="J5454" s="362"/>
    </row>
    <row r="5455" spans="1:10" x14ac:dyDescent="0.25">
      <c r="A5455" s="362"/>
      <c r="B5455" s="611">
        <v>44446</v>
      </c>
      <c r="C5455" s="362" t="s">
        <v>83</v>
      </c>
      <c r="D5455" s="562">
        <v>313779995</v>
      </c>
      <c r="E5455" s="562">
        <v>97714896</v>
      </c>
      <c r="F5455" s="562">
        <v>411494900</v>
      </c>
      <c r="G5455" s="562">
        <f t="shared" si="287"/>
        <v>-9</v>
      </c>
      <c r="H5455" s="362"/>
      <c r="I5455" s="362"/>
      <c r="J5455" s="362"/>
    </row>
    <row r="5456" spans="1:10" x14ac:dyDescent="0.25">
      <c r="A5456" s="362"/>
      <c r="B5456" s="611">
        <v>44446</v>
      </c>
      <c r="C5456" s="362" t="s">
        <v>78</v>
      </c>
      <c r="D5456" s="562">
        <v>72188763</v>
      </c>
      <c r="E5456" s="562">
        <v>2788937</v>
      </c>
      <c r="F5456" s="562">
        <v>74977700</v>
      </c>
      <c r="G5456" s="562">
        <f t="shared" si="287"/>
        <v>0</v>
      </c>
      <c r="H5456" s="362"/>
      <c r="I5456" s="362"/>
      <c r="J5456" s="362"/>
    </row>
    <row r="5457" spans="1:10" x14ac:dyDescent="0.25">
      <c r="A5457" s="362"/>
      <c r="B5457" s="611">
        <v>44446</v>
      </c>
      <c r="C5457" s="362" t="s">
        <v>141</v>
      </c>
      <c r="D5457" s="562">
        <v>101521882</v>
      </c>
      <c r="E5457" s="562">
        <v>5926920</v>
      </c>
      <c r="F5457" s="562">
        <v>107448900</v>
      </c>
      <c r="G5457" s="562">
        <f t="shared" si="287"/>
        <v>-98</v>
      </c>
      <c r="H5457" s="362"/>
      <c r="I5457" s="362"/>
      <c r="J5457" s="362"/>
    </row>
    <row r="5458" spans="1:10" x14ac:dyDescent="0.25">
      <c r="A5458" s="362"/>
      <c r="B5458" s="611">
        <v>44446</v>
      </c>
      <c r="C5458" s="362" t="s">
        <v>89</v>
      </c>
      <c r="D5458" s="562">
        <v>182328846</v>
      </c>
      <c r="E5458" s="562">
        <v>4391754</v>
      </c>
      <c r="F5458" s="562">
        <v>186720600</v>
      </c>
      <c r="G5458" s="562">
        <f t="shared" si="287"/>
        <v>0</v>
      </c>
      <c r="H5458" s="362"/>
      <c r="I5458" s="362"/>
      <c r="J5458" s="362"/>
    </row>
    <row r="5459" spans="1:10" x14ac:dyDescent="0.25">
      <c r="A5459" s="362"/>
      <c r="B5459" s="611">
        <v>44446</v>
      </c>
      <c r="C5459" s="362" t="s">
        <v>81</v>
      </c>
      <c r="D5459" s="562">
        <v>88705200</v>
      </c>
      <c r="E5459" s="562">
        <v>23220719</v>
      </c>
      <c r="F5459" s="562">
        <v>111925900</v>
      </c>
      <c r="G5459" s="562">
        <f t="shared" si="287"/>
        <v>19</v>
      </c>
      <c r="H5459" s="362"/>
      <c r="I5459" s="362"/>
      <c r="J5459" s="362"/>
    </row>
    <row r="5460" spans="1:10" x14ac:dyDescent="0.25">
      <c r="A5460" s="362"/>
      <c r="B5460" s="611">
        <v>44446</v>
      </c>
      <c r="C5460" s="362" t="s">
        <v>84</v>
      </c>
      <c r="D5460" s="562">
        <v>119537075</v>
      </c>
      <c r="E5460" s="562">
        <v>13678751</v>
      </c>
      <c r="F5460" s="562">
        <v>133215900</v>
      </c>
      <c r="G5460" s="562">
        <f t="shared" si="287"/>
        <v>-74</v>
      </c>
      <c r="H5460" s="362"/>
      <c r="I5460" s="362"/>
      <c r="J5460" s="362"/>
    </row>
    <row r="5461" spans="1:10" x14ac:dyDescent="0.25">
      <c r="A5461" s="362"/>
      <c r="B5461" s="611">
        <v>44446</v>
      </c>
      <c r="C5461" s="362" t="s">
        <v>4751</v>
      </c>
      <c r="D5461" s="562">
        <v>333494158</v>
      </c>
      <c r="E5461" s="562">
        <v>11988142</v>
      </c>
      <c r="F5461" s="562">
        <v>345482300</v>
      </c>
      <c r="G5461" s="562">
        <f t="shared" si="287"/>
        <v>0</v>
      </c>
      <c r="H5461" s="362"/>
      <c r="I5461" s="362"/>
      <c r="J5461" s="362"/>
    </row>
    <row r="5462" spans="1:10" x14ac:dyDescent="0.25">
      <c r="A5462" s="362"/>
      <c r="B5462" s="611">
        <v>44446</v>
      </c>
      <c r="C5462" s="362" t="s">
        <v>166</v>
      </c>
      <c r="D5462" s="562">
        <v>65277544</v>
      </c>
      <c r="E5462" s="562"/>
      <c r="F5462" s="562">
        <v>65277500</v>
      </c>
      <c r="G5462" s="562">
        <f t="shared" si="287"/>
        <v>44</v>
      </c>
      <c r="H5462" s="362"/>
      <c r="I5462" s="362"/>
      <c r="J5462" s="362"/>
    </row>
    <row r="5463" spans="1:10" x14ac:dyDescent="0.25">
      <c r="A5463" s="362"/>
      <c r="B5463" s="611">
        <v>44446</v>
      </c>
      <c r="C5463" s="362" t="s">
        <v>3435</v>
      </c>
      <c r="D5463" s="562">
        <v>139235246</v>
      </c>
      <c r="E5463" s="562"/>
      <c r="F5463" s="562">
        <v>139235300</v>
      </c>
      <c r="G5463" s="562">
        <f t="shared" si="287"/>
        <v>-54</v>
      </c>
      <c r="H5463" s="362"/>
      <c r="I5463" s="362"/>
      <c r="J5463" s="362"/>
    </row>
    <row r="5464" spans="1:10" x14ac:dyDescent="0.25">
      <c r="A5464" s="362"/>
      <c r="B5464" s="611">
        <v>44446</v>
      </c>
      <c r="C5464" s="370" t="s">
        <v>85</v>
      </c>
      <c r="D5464" s="562">
        <v>28018800</v>
      </c>
      <c r="E5464" s="562"/>
      <c r="F5464" s="562">
        <v>28018800</v>
      </c>
      <c r="G5464" s="562">
        <f t="shared" si="287"/>
        <v>0</v>
      </c>
      <c r="H5464" s="362"/>
      <c r="I5464" s="362"/>
      <c r="J5464" s="362"/>
    </row>
    <row r="5465" spans="1:10" x14ac:dyDescent="0.25">
      <c r="A5465" s="532"/>
      <c r="B5465" s="532"/>
      <c r="C5465" s="532"/>
      <c r="D5465" s="564">
        <f>SUM(D5450:D5464)</f>
        <v>2373276592</v>
      </c>
      <c r="E5465" s="564">
        <f t="shared" ref="E5465:G5465" si="288">SUM(E5450:E5464)</f>
        <v>499593317</v>
      </c>
      <c r="F5465" s="564">
        <f t="shared" si="288"/>
        <v>2872871400</v>
      </c>
      <c r="G5465" s="564">
        <f t="shared" si="288"/>
        <v>-1491</v>
      </c>
      <c r="H5465" s="532"/>
      <c r="I5465" s="532"/>
      <c r="J5465" s="532"/>
    </row>
    <row r="5466" spans="1:10" x14ac:dyDescent="0.25">
      <c r="A5466" s="362"/>
      <c r="B5466" s="611">
        <v>44447</v>
      </c>
      <c r="C5466" s="362" t="s">
        <v>86</v>
      </c>
      <c r="D5466" s="562">
        <v>55798020</v>
      </c>
      <c r="E5466" s="562">
        <v>154139207</v>
      </c>
      <c r="F5466" s="562">
        <v>209937000</v>
      </c>
      <c r="G5466" s="562">
        <f t="shared" si="287"/>
        <v>227</v>
      </c>
      <c r="H5466" s="362"/>
      <c r="I5466" s="362"/>
      <c r="J5466" s="362"/>
    </row>
    <row r="5467" spans="1:10" x14ac:dyDescent="0.25">
      <c r="A5467" s="362"/>
      <c r="B5467" s="611">
        <v>44447</v>
      </c>
      <c r="C5467" s="362" t="s">
        <v>87</v>
      </c>
      <c r="D5467" s="562">
        <v>151167017</v>
      </c>
      <c r="E5467" s="562">
        <v>83741821</v>
      </c>
      <c r="F5467" s="562">
        <v>234910700</v>
      </c>
      <c r="G5467" s="562">
        <f t="shared" si="287"/>
        <v>-1862</v>
      </c>
      <c r="H5467" s="362"/>
      <c r="I5467" s="362"/>
      <c r="J5467" s="362"/>
    </row>
    <row r="5468" spans="1:10" x14ac:dyDescent="0.25">
      <c r="A5468" s="362"/>
      <c r="B5468" s="611">
        <v>44447</v>
      </c>
      <c r="C5468" s="362" t="s">
        <v>88</v>
      </c>
      <c r="D5468" s="562">
        <v>159889213</v>
      </c>
      <c r="E5468" s="562">
        <v>7936319</v>
      </c>
      <c r="F5468" s="562">
        <v>167825600</v>
      </c>
      <c r="G5468" s="562">
        <f t="shared" si="287"/>
        <v>-68</v>
      </c>
      <c r="H5468" s="362"/>
      <c r="I5468" s="362"/>
      <c r="J5468" s="362"/>
    </row>
    <row r="5469" spans="1:10" x14ac:dyDescent="0.25">
      <c r="A5469" s="362"/>
      <c r="B5469" s="611">
        <v>44447</v>
      </c>
      <c r="C5469" s="362" t="s">
        <v>82</v>
      </c>
      <c r="D5469" s="562">
        <v>59554067</v>
      </c>
      <c r="E5469" s="562">
        <v>6065588</v>
      </c>
      <c r="F5469" s="562">
        <v>65619700</v>
      </c>
      <c r="G5469" s="562">
        <f t="shared" si="287"/>
        <v>-45</v>
      </c>
      <c r="H5469" s="362"/>
      <c r="I5469" s="362"/>
      <c r="J5469" s="362"/>
    </row>
    <row r="5470" spans="1:10" x14ac:dyDescent="0.25">
      <c r="A5470" s="362"/>
      <c r="B5470" s="611">
        <v>44447</v>
      </c>
      <c r="C5470" s="362" t="s">
        <v>80</v>
      </c>
      <c r="D5470" s="562">
        <v>251640473</v>
      </c>
      <c r="E5470" s="562">
        <v>46223340</v>
      </c>
      <c r="F5470" s="562">
        <v>297864000</v>
      </c>
      <c r="G5470" s="562">
        <f t="shared" si="287"/>
        <v>-187</v>
      </c>
      <c r="H5470" s="362"/>
      <c r="I5470" s="362"/>
      <c r="J5470" s="362"/>
    </row>
    <row r="5471" spans="1:10" x14ac:dyDescent="0.25">
      <c r="A5471" s="362"/>
      <c r="B5471" s="611">
        <v>44447</v>
      </c>
      <c r="C5471" s="362" t="s">
        <v>83</v>
      </c>
      <c r="D5471" s="562">
        <v>217058931</v>
      </c>
      <c r="E5471" s="562">
        <v>115383711</v>
      </c>
      <c r="F5471" s="562">
        <v>332442700</v>
      </c>
      <c r="G5471" s="562">
        <f t="shared" si="287"/>
        <v>-58</v>
      </c>
      <c r="H5471" s="362"/>
      <c r="I5471" s="362"/>
      <c r="J5471" s="362"/>
    </row>
    <row r="5472" spans="1:10" x14ac:dyDescent="0.25">
      <c r="A5472" s="362"/>
      <c r="B5472" s="611">
        <v>44447</v>
      </c>
      <c r="C5472" s="362" t="s">
        <v>78</v>
      </c>
      <c r="D5472" s="562">
        <v>150133150</v>
      </c>
      <c r="E5472" s="562">
        <v>15845450</v>
      </c>
      <c r="F5472" s="562">
        <v>165978600</v>
      </c>
      <c r="G5472" s="562">
        <f t="shared" si="287"/>
        <v>0</v>
      </c>
      <c r="H5472" s="362"/>
      <c r="I5472" s="362"/>
      <c r="J5472" s="362"/>
    </row>
    <row r="5473" spans="1:10" x14ac:dyDescent="0.25">
      <c r="A5473" s="362"/>
      <c r="B5473" s="611">
        <v>44447</v>
      </c>
      <c r="C5473" s="362" t="s">
        <v>141</v>
      </c>
      <c r="D5473" s="562">
        <v>102433768</v>
      </c>
      <c r="E5473" s="562">
        <v>385287</v>
      </c>
      <c r="F5473" s="562">
        <v>102819200</v>
      </c>
      <c r="G5473" s="562">
        <f t="shared" si="287"/>
        <v>-145</v>
      </c>
      <c r="H5473" s="362"/>
      <c r="I5473" s="362"/>
      <c r="J5473" s="362"/>
    </row>
    <row r="5474" spans="1:10" x14ac:dyDescent="0.25">
      <c r="A5474" s="362"/>
      <c r="B5474" s="611">
        <v>44447</v>
      </c>
      <c r="C5474" s="362" t="s">
        <v>89</v>
      </c>
      <c r="D5474" s="562">
        <v>120784532</v>
      </c>
      <c r="E5474" s="562">
        <v>28039368</v>
      </c>
      <c r="F5474" s="562">
        <v>148823800</v>
      </c>
      <c r="G5474" s="562">
        <f t="shared" si="287"/>
        <v>100</v>
      </c>
      <c r="H5474" s="362"/>
      <c r="I5474" s="362"/>
      <c r="J5474" s="362"/>
    </row>
    <row r="5475" spans="1:10" x14ac:dyDescent="0.25">
      <c r="A5475" s="362"/>
      <c r="B5475" s="611">
        <v>44447</v>
      </c>
      <c r="C5475" s="362" t="s">
        <v>81</v>
      </c>
      <c r="D5475" s="562">
        <v>142382219</v>
      </c>
      <c r="E5475" s="562">
        <v>7312669</v>
      </c>
      <c r="F5475" s="562">
        <v>149694900</v>
      </c>
      <c r="G5475" s="562">
        <f t="shared" si="287"/>
        <v>-12</v>
      </c>
      <c r="H5475" s="362"/>
      <c r="I5475" s="362"/>
      <c r="J5475" s="362"/>
    </row>
    <row r="5476" spans="1:10" x14ac:dyDescent="0.25">
      <c r="A5476" s="362"/>
      <c r="B5476" s="611">
        <v>44447</v>
      </c>
      <c r="C5476" s="362" t="s">
        <v>84</v>
      </c>
      <c r="D5476" s="562">
        <v>361559942</v>
      </c>
      <c r="E5476" s="562">
        <v>9361670</v>
      </c>
      <c r="F5476" s="562">
        <v>370922600</v>
      </c>
      <c r="G5476" s="562">
        <f t="shared" si="287"/>
        <v>-988</v>
      </c>
      <c r="H5476" s="362"/>
      <c r="I5476" s="362"/>
      <c r="J5476" s="362"/>
    </row>
    <row r="5477" spans="1:10" x14ac:dyDescent="0.25">
      <c r="A5477" s="362"/>
      <c r="B5477" s="611">
        <v>44447</v>
      </c>
      <c r="C5477" s="362" t="s">
        <v>4751</v>
      </c>
      <c r="D5477" s="562">
        <v>242299217</v>
      </c>
      <c r="E5477" s="562">
        <v>13003183</v>
      </c>
      <c r="F5477" s="562">
        <v>255302400</v>
      </c>
      <c r="G5477" s="562">
        <f t="shared" si="287"/>
        <v>0</v>
      </c>
      <c r="H5477" s="362"/>
      <c r="I5477" s="362"/>
      <c r="J5477" s="362"/>
    </row>
    <row r="5478" spans="1:10" x14ac:dyDescent="0.25">
      <c r="A5478" s="362"/>
      <c r="B5478" s="611">
        <v>44447</v>
      </c>
      <c r="C5478" s="362" t="s">
        <v>166</v>
      </c>
      <c r="D5478" s="562">
        <v>46757946</v>
      </c>
      <c r="E5478" s="562"/>
      <c r="F5478" s="562">
        <v>46758000</v>
      </c>
      <c r="G5478" s="562">
        <f t="shared" si="287"/>
        <v>-54</v>
      </c>
      <c r="H5478" s="362"/>
      <c r="I5478" s="362"/>
      <c r="J5478" s="362"/>
    </row>
    <row r="5479" spans="1:10" x14ac:dyDescent="0.25">
      <c r="A5479" s="362"/>
      <c r="B5479" s="611">
        <v>44447</v>
      </c>
      <c r="C5479" s="362" t="s">
        <v>3435</v>
      </c>
      <c r="D5479" s="562">
        <v>59773756</v>
      </c>
      <c r="E5479" s="562"/>
      <c r="F5479" s="562">
        <v>59773800</v>
      </c>
      <c r="G5479" s="562">
        <f t="shared" si="287"/>
        <v>-44</v>
      </c>
      <c r="H5479" s="362"/>
      <c r="I5479" s="362"/>
      <c r="J5479" s="362"/>
    </row>
    <row r="5480" spans="1:10" x14ac:dyDescent="0.25">
      <c r="A5480" s="362"/>
      <c r="B5480" s="611">
        <v>44447</v>
      </c>
      <c r="C5480" s="370" t="s">
        <v>85</v>
      </c>
      <c r="D5480" s="562">
        <v>34561200</v>
      </c>
      <c r="E5480" s="562"/>
      <c r="F5480" s="562">
        <v>34561200</v>
      </c>
      <c r="G5480" s="562">
        <f t="shared" si="287"/>
        <v>0</v>
      </c>
      <c r="H5480" s="362"/>
      <c r="I5480" s="362"/>
      <c r="J5480" s="362"/>
    </row>
    <row r="5481" spans="1:10" x14ac:dyDescent="0.25">
      <c r="A5481" s="532"/>
      <c r="B5481" s="532"/>
      <c r="C5481" s="532"/>
      <c r="D5481" s="564">
        <f>SUM(D5466:D5480)</f>
        <v>2155793451</v>
      </c>
      <c r="E5481" s="564">
        <f t="shared" ref="E5481:G5481" si="289">SUM(E5466:E5480)</f>
        <v>487437613</v>
      </c>
      <c r="F5481" s="564">
        <f t="shared" si="289"/>
        <v>2643234200</v>
      </c>
      <c r="G5481" s="564">
        <f t="shared" si="289"/>
        <v>-3136</v>
      </c>
      <c r="H5481" s="532"/>
      <c r="I5481" s="532"/>
      <c r="J5481" s="532"/>
    </row>
    <row r="5482" spans="1:10" x14ac:dyDescent="0.25">
      <c r="A5482" s="362"/>
      <c r="B5482" s="611">
        <v>44448</v>
      </c>
      <c r="C5482" s="362" t="s">
        <v>86</v>
      </c>
      <c r="D5482" s="562">
        <v>97085480</v>
      </c>
      <c r="E5482" s="562">
        <v>127745443</v>
      </c>
      <c r="F5482" s="562">
        <v>224831400</v>
      </c>
      <c r="G5482" s="562">
        <f t="shared" si="287"/>
        <v>-477</v>
      </c>
      <c r="H5482" s="362"/>
      <c r="I5482" s="362"/>
      <c r="J5482" s="362"/>
    </row>
    <row r="5483" spans="1:10" x14ac:dyDescent="0.25">
      <c r="A5483" s="362"/>
      <c r="B5483" s="611">
        <v>44448</v>
      </c>
      <c r="C5483" s="362" t="s">
        <v>87</v>
      </c>
      <c r="D5483" s="562">
        <v>88318338</v>
      </c>
      <c r="E5483" s="562">
        <v>89254478</v>
      </c>
      <c r="F5483" s="562">
        <v>177572800</v>
      </c>
      <c r="G5483" s="562">
        <f t="shared" si="287"/>
        <v>16</v>
      </c>
      <c r="H5483" s="362"/>
      <c r="I5483" s="362"/>
      <c r="J5483" s="362"/>
    </row>
    <row r="5484" spans="1:10" x14ac:dyDescent="0.25">
      <c r="A5484" s="362"/>
      <c r="B5484" s="611">
        <v>44448</v>
      </c>
      <c r="C5484" s="362" t="s">
        <v>88</v>
      </c>
      <c r="D5484" s="562">
        <v>335479397</v>
      </c>
      <c r="E5484" s="562">
        <v>4039044</v>
      </c>
      <c r="F5484" s="562">
        <v>339518500</v>
      </c>
      <c r="G5484" s="562">
        <f t="shared" si="287"/>
        <v>-59</v>
      </c>
      <c r="H5484" s="362"/>
      <c r="I5484" s="362"/>
      <c r="J5484" s="362"/>
    </row>
    <row r="5485" spans="1:10" x14ac:dyDescent="0.25">
      <c r="A5485" s="362"/>
      <c r="B5485" s="611">
        <v>44448</v>
      </c>
      <c r="C5485" s="362" t="s">
        <v>82</v>
      </c>
      <c r="D5485" s="562">
        <v>79522284</v>
      </c>
      <c r="E5485" s="562">
        <v>5341646</v>
      </c>
      <c r="F5485" s="562">
        <v>84864000</v>
      </c>
      <c r="G5485" s="562">
        <f t="shared" si="287"/>
        <v>-70</v>
      </c>
      <c r="H5485" s="362"/>
      <c r="I5485" s="362"/>
      <c r="J5485" s="362"/>
    </row>
    <row r="5486" spans="1:10" x14ac:dyDescent="0.25">
      <c r="A5486" s="362"/>
      <c r="B5486" s="611">
        <v>44448</v>
      </c>
      <c r="C5486" s="362" t="s">
        <v>80</v>
      </c>
      <c r="D5486" s="562">
        <v>246038749</v>
      </c>
      <c r="E5486" s="562"/>
      <c r="F5486" s="562">
        <v>246038700</v>
      </c>
      <c r="G5486" s="562">
        <f t="shared" si="287"/>
        <v>49</v>
      </c>
      <c r="H5486" s="362"/>
      <c r="I5486" s="362"/>
      <c r="J5486" s="362"/>
    </row>
    <row r="5487" spans="1:10" x14ac:dyDescent="0.25">
      <c r="A5487" s="362"/>
      <c r="B5487" s="611">
        <v>44448</v>
      </c>
      <c r="C5487" s="362" t="s">
        <v>83</v>
      </c>
      <c r="D5487" s="562">
        <v>232815038</v>
      </c>
      <c r="E5487" s="562">
        <v>176529658</v>
      </c>
      <c r="F5487" s="562">
        <v>409344700</v>
      </c>
      <c r="G5487" s="562">
        <f t="shared" si="287"/>
        <v>-4</v>
      </c>
      <c r="H5487" s="362"/>
      <c r="I5487" s="362"/>
      <c r="J5487" s="362"/>
    </row>
    <row r="5488" spans="1:10" x14ac:dyDescent="0.25">
      <c r="A5488" s="362"/>
      <c r="B5488" s="611">
        <v>44448</v>
      </c>
      <c r="C5488" s="362" t="s">
        <v>78</v>
      </c>
      <c r="D5488" s="562">
        <v>90483766</v>
      </c>
      <c r="E5488" s="562">
        <v>4742434</v>
      </c>
      <c r="F5488" s="562">
        <v>95226200</v>
      </c>
      <c r="G5488" s="562">
        <f t="shared" si="287"/>
        <v>0</v>
      </c>
      <c r="H5488" s="362"/>
      <c r="I5488" s="362"/>
      <c r="J5488" s="362"/>
    </row>
    <row r="5489" spans="1:10" x14ac:dyDescent="0.25">
      <c r="A5489" s="362"/>
      <c r="B5489" s="611">
        <v>44448</v>
      </c>
      <c r="C5489" s="362" t="s">
        <v>141</v>
      </c>
      <c r="D5489" s="562">
        <v>104371503</v>
      </c>
      <c r="E5489" s="562">
        <v>29544</v>
      </c>
      <c r="F5489" s="562">
        <v>104401100</v>
      </c>
      <c r="G5489" s="562">
        <f t="shared" si="287"/>
        <v>-53</v>
      </c>
      <c r="H5489" s="362"/>
      <c r="I5489" s="362"/>
      <c r="J5489" s="362"/>
    </row>
    <row r="5490" spans="1:10" x14ac:dyDescent="0.25">
      <c r="A5490" s="362"/>
      <c r="B5490" s="611">
        <v>44448</v>
      </c>
      <c r="C5490" s="362" t="s">
        <v>89</v>
      </c>
      <c r="D5490" s="562">
        <v>199157758</v>
      </c>
      <c r="E5490" s="562">
        <v>6548542</v>
      </c>
      <c r="F5490" s="562">
        <v>205706300</v>
      </c>
      <c r="G5490" s="562">
        <f t="shared" si="287"/>
        <v>0</v>
      </c>
      <c r="H5490" s="362"/>
      <c r="I5490" s="362"/>
      <c r="J5490" s="362"/>
    </row>
    <row r="5491" spans="1:10" x14ac:dyDescent="0.25">
      <c r="A5491" s="362"/>
      <c r="B5491" s="611">
        <v>44448</v>
      </c>
      <c r="C5491" s="362" t="s">
        <v>81</v>
      </c>
      <c r="D5491" s="562">
        <v>35819683</v>
      </c>
      <c r="E5491" s="562">
        <v>7272725</v>
      </c>
      <c r="F5491" s="562">
        <v>43092400</v>
      </c>
      <c r="G5491" s="562">
        <f t="shared" si="287"/>
        <v>8</v>
      </c>
      <c r="H5491" s="362"/>
      <c r="I5491" s="362"/>
      <c r="J5491" s="362"/>
    </row>
    <row r="5492" spans="1:10" x14ac:dyDescent="0.25">
      <c r="A5492" s="362"/>
      <c r="B5492" s="611">
        <v>44448</v>
      </c>
      <c r="C5492" s="362" t="s">
        <v>84</v>
      </c>
      <c r="D5492" s="562">
        <v>304937518</v>
      </c>
      <c r="E5492" s="562">
        <v>12697308</v>
      </c>
      <c r="F5492" s="562">
        <v>317634900</v>
      </c>
      <c r="G5492" s="562">
        <f t="shared" si="287"/>
        <v>-74</v>
      </c>
      <c r="H5492" s="362"/>
      <c r="I5492" s="362"/>
      <c r="J5492" s="362"/>
    </row>
    <row r="5493" spans="1:10" x14ac:dyDescent="0.25">
      <c r="A5493" s="362"/>
      <c r="B5493" s="611">
        <v>44448</v>
      </c>
      <c r="C5493" s="362" t="s">
        <v>4751</v>
      </c>
      <c r="D5493" s="562">
        <v>347807002</v>
      </c>
      <c r="E5493" s="562">
        <v>13096198</v>
      </c>
      <c r="F5493" s="562">
        <v>360903200</v>
      </c>
      <c r="G5493" s="562">
        <f t="shared" si="287"/>
        <v>0</v>
      </c>
      <c r="H5493" s="362"/>
      <c r="I5493" s="362"/>
      <c r="J5493" s="362"/>
    </row>
    <row r="5494" spans="1:10" x14ac:dyDescent="0.25">
      <c r="A5494" s="362"/>
      <c r="B5494" s="611">
        <v>44448</v>
      </c>
      <c r="C5494" s="362" t="s">
        <v>166</v>
      </c>
      <c r="D5494" s="562">
        <v>88695173</v>
      </c>
      <c r="E5494" s="562"/>
      <c r="F5494" s="562">
        <v>88695300</v>
      </c>
      <c r="G5494" s="562">
        <f t="shared" si="287"/>
        <v>-127</v>
      </c>
      <c r="H5494" s="362"/>
      <c r="I5494" s="362"/>
      <c r="J5494" s="362"/>
    </row>
    <row r="5495" spans="1:10" x14ac:dyDescent="0.25">
      <c r="A5495" s="362"/>
      <c r="B5495" s="611">
        <v>44448</v>
      </c>
      <c r="C5495" s="362" t="s">
        <v>3435</v>
      </c>
      <c r="D5495" s="562">
        <v>44268801</v>
      </c>
      <c r="E5495" s="562"/>
      <c r="F5495" s="562">
        <v>44268800</v>
      </c>
      <c r="G5495" s="562">
        <f t="shared" si="287"/>
        <v>1</v>
      </c>
      <c r="H5495" s="362"/>
      <c r="I5495" s="362"/>
      <c r="J5495" s="362"/>
    </row>
    <row r="5496" spans="1:10" x14ac:dyDescent="0.25">
      <c r="A5496" s="362"/>
      <c r="B5496" s="611">
        <v>44448</v>
      </c>
      <c r="C5496" s="370" t="s">
        <v>85</v>
      </c>
      <c r="D5496" s="562">
        <v>25896200</v>
      </c>
      <c r="E5496" s="562"/>
      <c r="F5496" s="562">
        <v>25896200</v>
      </c>
      <c r="G5496" s="562">
        <f t="shared" si="287"/>
        <v>0</v>
      </c>
      <c r="H5496" s="362"/>
      <c r="I5496" s="362"/>
      <c r="J5496" s="362"/>
    </row>
    <row r="5497" spans="1:10" x14ac:dyDescent="0.25">
      <c r="A5497" s="532"/>
      <c r="B5497" s="532"/>
      <c r="C5497" s="532"/>
      <c r="D5497" s="564">
        <f>SUM(D5482:D5496)</f>
        <v>2320696690</v>
      </c>
      <c r="E5497" s="564">
        <f t="shared" ref="E5497:G5497" si="290">SUM(E5482:E5496)</f>
        <v>447297020</v>
      </c>
      <c r="F5497" s="564">
        <f t="shared" si="290"/>
        <v>2767994500</v>
      </c>
      <c r="G5497" s="564">
        <f t="shared" si="290"/>
        <v>-790</v>
      </c>
      <c r="H5497" s="532"/>
      <c r="I5497" s="532"/>
      <c r="J5497" s="532"/>
    </row>
    <row r="5498" spans="1:10" x14ac:dyDescent="0.25">
      <c r="A5498" s="362"/>
      <c r="B5498" s="611">
        <v>44449</v>
      </c>
      <c r="C5498" s="362" t="s">
        <v>86</v>
      </c>
      <c r="D5498" s="562">
        <v>50530096</v>
      </c>
      <c r="E5498" s="562">
        <v>16162559</v>
      </c>
      <c r="F5498" s="562">
        <v>66692600</v>
      </c>
      <c r="G5498" s="562">
        <f t="shared" si="287"/>
        <v>55</v>
      </c>
      <c r="H5498" s="362"/>
      <c r="I5498" s="362"/>
      <c r="J5498" s="362"/>
    </row>
    <row r="5499" spans="1:10" x14ac:dyDescent="0.25">
      <c r="A5499" s="362"/>
      <c r="B5499" s="611">
        <v>44449</v>
      </c>
      <c r="C5499" s="362" t="s">
        <v>87</v>
      </c>
      <c r="D5499" s="562">
        <v>136858010</v>
      </c>
      <c r="E5499" s="562">
        <v>79396697</v>
      </c>
      <c r="F5499" s="562">
        <v>216254800</v>
      </c>
      <c r="G5499" s="562">
        <f t="shared" si="287"/>
        <v>-93</v>
      </c>
      <c r="H5499" s="362"/>
      <c r="I5499" s="362"/>
      <c r="J5499" s="362"/>
    </row>
    <row r="5500" spans="1:10" x14ac:dyDescent="0.25">
      <c r="A5500" s="362"/>
      <c r="B5500" s="611">
        <v>44449</v>
      </c>
      <c r="C5500" s="362" t="s">
        <v>88</v>
      </c>
      <c r="D5500" s="562">
        <v>164053997</v>
      </c>
      <c r="E5500" s="562">
        <v>147118921</v>
      </c>
      <c r="F5500" s="562">
        <v>311173000</v>
      </c>
      <c r="G5500" s="562">
        <f t="shared" si="287"/>
        <v>-82</v>
      </c>
      <c r="H5500" s="362"/>
      <c r="I5500" s="362"/>
      <c r="J5500" s="362"/>
    </row>
    <row r="5501" spans="1:10" x14ac:dyDescent="0.25">
      <c r="A5501" s="362"/>
      <c r="B5501" s="611">
        <v>44449</v>
      </c>
      <c r="C5501" s="362" t="s">
        <v>82</v>
      </c>
      <c r="D5501" s="562">
        <v>74925792</v>
      </c>
      <c r="E5501" s="562">
        <v>8369520</v>
      </c>
      <c r="F5501" s="562">
        <v>83295400</v>
      </c>
      <c r="G5501" s="562">
        <f t="shared" si="287"/>
        <v>-88</v>
      </c>
      <c r="H5501" s="362"/>
      <c r="I5501" s="362"/>
      <c r="J5501" s="362"/>
    </row>
    <row r="5502" spans="1:10" x14ac:dyDescent="0.25">
      <c r="A5502" s="362"/>
      <c r="B5502" s="611">
        <v>44449</v>
      </c>
      <c r="C5502" s="362" t="s">
        <v>80</v>
      </c>
      <c r="D5502" s="562">
        <v>223203004</v>
      </c>
      <c r="E5502" s="562"/>
      <c r="F5502" s="562">
        <v>223203500</v>
      </c>
      <c r="G5502" s="562">
        <f t="shared" si="287"/>
        <v>-496</v>
      </c>
      <c r="H5502" s="362"/>
      <c r="I5502" s="362"/>
      <c r="J5502" s="362"/>
    </row>
    <row r="5503" spans="1:10" x14ac:dyDescent="0.25">
      <c r="A5503" s="362"/>
      <c r="B5503" s="611">
        <v>44449</v>
      </c>
      <c r="C5503" s="362" t="s">
        <v>83</v>
      </c>
      <c r="D5503" s="562">
        <v>188473760</v>
      </c>
      <c r="E5503" s="562">
        <v>15716049</v>
      </c>
      <c r="F5503" s="562">
        <v>204189800</v>
      </c>
      <c r="G5503" s="562">
        <f t="shared" si="287"/>
        <v>9</v>
      </c>
      <c r="H5503" s="362"/>
      <c r="I5503" s="362"/>
      <c r="J5503" s="362"/>
    </row>
    <row r="5504" spans="1:10" x14ac:dyDescent="0.25">
      <c r="A5504" s="362"/>
      <c r="B5504" s="611">
        <v>44449</v>
      </c>
      <c r="C5504" s="362" t="s">
        <v>78</v>
      </c>
      <c r="D5504" s="562">
        <v>77723533</v>
      </c>
      <c r="E5504" s="562">
        <v>6328467</v>
      </c>
      <c r="F5504" s="562">
        <v>84052000</v>
      </c>
      <c r="G5504" s="562">
        <f t="shared" si="287"/>
        <v>0</v>
      </c>
      <c r="H5504" s="362"/>
      <c r="I5504" s="362"/>
      <c r="J5504" s="362"/>
    </row>
    <row r="5505" spans="1:10" x14ac:dyDescent="0.25">
      <c r="A5505" s="362"/>
      <c r="B5505" s="611">
        <v>44449</v>
      </c>
      <c r="C5505" s="362" t="s">
        <v>141</v>
      </c>
      <c r="D5505" s="562">
        <v>54305790</v>
      </c>
      <c r="E5505" s="562"/>
      <c r="F5505" s="562">
        <v>54305800</v>
      </c>
      <c r="G5505" s="562">
        <f t="shared" si="287"/>
        <v>-10</v>
      </c>
      <c r="H5505" s="362"/>
      <c r="I5505" s="362"/>
      <c r="J5505" s="362"/>
    </row>
    <row r="5506" spans="1:10" x14ac:dyDescent="0.25">
      <c r="A5506" s="362"/>
      <c r="B5506" s="611">
        <v>44449</v>
      </c>
      <c r="C5506" s="362" t="s">
        <v>89</v>
      </c>
      <c r="D5506" s="562">
        <v>183894178</v>
      </c>
      <c r="E5506" s="562">
        <v>53043122</v>
      </c>
      <c r="F5506" s="562">
        <v>236937300</v>
      </c>
      <c r="G5506" s="562">
        <f t="shared" si="287"/>
        <v>0</v>
      </c>
      <c r="H5506" s="362"/>
      <c r="I5506" s="362"/>
      <c r="J5506" s="362"/>
    </row>
    <row r="5507" spans="1:10" x14ac:dyDescent="0.25">
      <c r="A5507" s="362"/>
      <c r="B5507" s="611">
        <v>44449</v>
      </c>
      <c r="C5507" s="362" t="s">
        <v>81</v>
      </c>
      <c r="D5507" s="562">
        <v>76159211</v>
      </c>
      <c r="E5507" s="562">
        <v>11027630</v>
      </c>
      <c r="F5507" s="562">
        <v>87186900</v>
      </c>
      <c r="G5507" s="562">
        <f t="shared" si="287"/>
        <v>-59</v>
      </c>
      <c r="H5507" s="362"/>
      <c r="I5507" s="362"/>
      <c r="J5507" s="362"/>
    </row>
    <row r="5508" spans="1:10" x14ac:dyDescent="0.25">
      <c r="A5508" s="362"/>
      <c r="B5508" s="611">
        <v>44449</v>
      </c>
      <c r="C5508" s="362" t="s">
        <v>84</v>
      </c>
      <c r="D5508" s="562">
        <v>336761391</v>
      </c>
      <c r="E5508" s="562">
        <v>8911674</v>
      </c>
      <c r="F5508" s="562">
        <v>345673200</v>
      </c>
      <c r="G5508" s="562">
        <f t="shared" si="287"/>
        <v>-135</v>
      </c>
      <c r="H5508" s="362"/>
      <c r="I5508" s="362"/>
      <c r="J5508" s="362"/>
    </row>
    <row r="5509" spans="1:10" x14ac:dyDescent="0.25">
      <c r="A5509" s="362"/>
      <c r="B5509" s="611">
        <v>44449</v>
      </c>
      <c r="C5509" s="362" t="s">
        <v>4751</v>
      </c>
      <c r="D5509" s="562">
        <v>192505941</v>
      </c>
      <c r="E5509" s="562">
        <v>11777459</v>
      </c>
      <c r="F5509" s="562">
        <v>204283400</v>
      </c>
      <c r="G5509" s="562">
        <f t="shared" si="287"/>
        <v>0</v>
      </c>
      <c r="H5509" s="362"/>
      <c r="I5509" s="362"/>
      <c r="J5509" s="362"/>
    </row>
    <row r="5510" spans="1:10" x14ac:dyDescent="0.25">
      <c r="A5510" s="362"/>
      <c r="B5510" s="611">
        <v>44449</v>
      </c>
      <c r="C5510" s="362" t="s">
        <v>166</v>
      </c>
      <c r="D5510" s="562">
        <v>62755565</v>
      </c>
      <c r="E5510" s="562"/>
      <c r="F5510" s="562">
        <v>62755500</v>
      </c>
      <c r="G5510" s="562">
        <f t="shared" si="287"/>
        <v>65</v>
      </c>
      <c r="H5510" s="362"/>
      <c r="I5510" s="362"/>
      <c r="J5510" s="362"/>
    </row>
    <row r="5511" spans="1:10" x14ac:dyDescent="0.25">
      <c r="A5511" s="362"/>
      <c r="B5511" s="611">
        <v>44449</v>
      </c>
      <c r="C5511" s="362" t="s">
        <v>3435</v>
      </c>
      <c r="D5511" s="562">
        <v>23727110</v>
      </c>
      <c r="E5511" s="562"/>
      <c r="F5511" s="562">
        <v>23727200</v>
      </c>
      <c r="G5511" s="562">
        <f t="shared" si="287"/>
        <v>-90</v>
      </c>
      <c r="H5511" s="362"/>
      <c r="I5511" s="362"/>
      <c r="J5511" s="362"/>
    </row>
    <row r="5512" spans="1:10" x14ac:dyDescent="0.25">
      <c r="A5512" s="362"/>
      <c r="B5512" s="611">
        <v>44449</v>
      </c>
      <c r="C5512" s="370" t="s">
        <v>85</v>
      </c>
      <c r="D5512" s="562">
        <v>289525800</v>
      </c>
      <c r="E5512" s="562"/>
      <c r="F5512" s="562">
        <v>289525800</v>
      </c>
      <c r="G5512" s="562">
        <f t="shared" si="287"/>
        <v>0</v>
      </c>
      <c r="H5512" s="362"/>
      <c r="I5512" s="362"/>
      <c r="J5512" s="362"/>
    </row>
    <row r="5513" spans="1:10" x14ac:dyDescent="0.25">
      <c r="A5513" s="532"/>
      <c r="B5513" s="532"/>
      <c r="C5513" s="532"/>
      <c r="D5513" s="564">
        <f>SUM(D5498:D5512)</f>
        <v>2135403178</v>
      </c>
      <c r="E5513" s="564">
        <f t="shared" ref="E5513:G5513" si="291">SUM(E5498:E5512)</f>
        <v>357852098</v>
      </c>
      <c r="F5513" s="564">
        <f t="shared" si="291"/>
        <v>2493256200</v>
      </c>
      <c r="G5513" s="564">
        <f t="shared" si="291"/>
        <v>-924</v>
      </c>
      <c r="H5513" s="532"/>
      <c r="I5513" s="532"/>
      <c r="J5513" s="532"/>
    </row>
    <row r="5514" spans="1:10" x14ac:dyDescent="0.25">
      <c r="A5514" s="362"/>
      <c r="B5514" s="611">
        <v>44450</v>
      </c>
      <c r="C5514" s="362" t="s">
        <v>86</v>
      </c>
      <c r="D5514" s="562">
        <v>57695857</v>
      </c>
      <c r="E5514" s="562">
        <v>30763298</v>
      </c>
      <c r="F5514" s="562">
        <v>88459100</v>
      </c>
      <c r="G5514" s="562">
        <f t="shared" si="287"/>
        <v>55</v>
      </c>
      <c r="H5514" s="362"/>
      <c r="I5514" s="362"/>
      <c r="J5514" s="362"/>
    </row>
    <row r="5515" spans="1:10" x14ac:dyDescent="0.25">
      <c r="A5515" s="362"/>
      <c r="B5515" s="611">
        <v>44450</v>
      </c>
      <c r="C5515" s="362" t="s">
        <v>87</v>
      </c>
      <c r="D5515" s="562">
        <v>58801512</v>
      </c>
      <c r="E5515" s="562">
        <v>268872297</v>
      </c>
      <c r="F5515" s="562">
        <f>171141800+156533100</f>
        <v>327674900</v>
      </c>
      <c r="G5515" s="562">
        <f t="shared" si="287"/>
        <v>-1091</v>
      </c>
      <c r="H5515" s="362"/>
      <c r="I5515" s="362"/>
      <c r="J5515" s="362"/>
    </row>
    <row r="5516" spans="1:10" x14ac:dyDescent="0.25">
      <c r="A5516" s="362"/>
      <c r="B5516" s="611">
        <v>44450</v>
      </c>
      <c r="C5516" s="362" t="s">
        <v>88</v>
      </c>
      <c r="D5516" s="562">
        <v>213195118</v>
      </c>
      <c r="E5516" s="562">
        <v>19056453</v>
      </c>
      <c r="F5516" s="562">
        <v>232252100</v>
      </c>
      <c r="G5516" s="562">
        <f t="shared" ref="G5516:G5579" si="292">D5516+E5516-F5516</f>
        <v>-529</v>
      </c>
      <c r="H5516" s="362"/>
      <c r="I5516" s="362"/>
      <c r="J5516" s="362"/>
    </row>
    <row r="5517" spans="1:10" x14ac:dyDescent="0.25">
      <c r="A5517" s="362"/>
      <c r="B5517" s="611">
        <v>44450</v>
      </c>
      <c r="C5517" s="362" t="s">
        <v>82</v>
      </c>
      <c r="D5517" s="562">
        <v>41088858</v>
      </c>
      <c r="E5517" s="562">
        <v>2308920</v>
      </c>
      <c r="F5517" s="562">
        <v>43397900</v>
      </c>
      <c r="G5517" s="562">
        <f t="shared" si="292"/>
        <v>-122</v>
      </c>
      <c r="H5517" s="362"/>
      <c r="I5517" s="362"/>
      <c r="J5517" s="362"/>
    </row>
    <row r="5518" spans="1:10" x14ac:dyDescent="0.25">
      <c r="A5518" s="362"/>
      <c r="B5518" s="611">
        <v>44450</v>
      </c>
      <c r="C5518" s="362" t="s">
        <v>80</v>
      </c>
      <c r="D5518" s="562">
        <v>241199300</v>
      </c>
      <c r="E5518" s="562"/>
      <c r="F5518" s="562">
        <v>241199300</v>
      </c>
      <c r="G5518" s="562">
        <f t="shared" si="292"/>
        <v>0</v>
      </c>
      <c r="H5518" s="362"/>
      <c r="I5518" s="362"/>
      <c r="J5518" s="362"/>
    </row>
    <row r="5519" spans="1:10" x14ac:dyDescent="0.25">
      <c r="A5519" s="362"/>
      <c r="B5519" s="611">
        <v>44450</v>
      </c>
      <c r="C5519" s="362" t="s">
        <v>83</v>
      </c>
      <c r="D5519" s="562">
        <v>176348756</v>
      </c>
      <c r="E5519" s="562">
        <v>12781918</v>
      </c>
      <c r="F5519" s="562">
        <v>189130700</v>
      </c>
      <c r="G5519" s="562">
        <f t="shared" si="292"/>
        <v>-26</v>
      </c>
      <c r="H5519" s="362"/>
      <c r="I5519" s="362"/>
      <c r="J5519" s="362"/>
    </row>
    <row r="5520" spans="1:10" x14ac:dyDescent="0.25">
      <c r="A5520" s="362"/>
      <c r="B5520" s="611">
        <v>44450</v>
      </c>
      <c r="C5520" s="362" t="s">
        <v>78</v>
      </c>
      <c r="D5520" s="562">
        <v>126270825</v>
      </c>
      <c r="E5520" s="562">
        <v>9308575</v>
      </c>
      <c r="F5520" s="562">
        <v>135579400</v>
      </c>
      <c r="G5520" s="562">
        <f t="shared" si="292"/>
        <v>0</v>
      </c>
      <c r="H5520" s="362"/>
      <c r="I5520" s="362"/>
      <c r="J5520" s="362"/>
    </row>
    <row r="5521" spans="1:10" x14ac:dyDescent="0.25">
      <c r="A5521" s="362"/>
      <c r="B5521" s="611">
        <v>44450</v>
      </c>
      <c r="C5521" s="362" t="s">
        <v>141</v>
      </c>
      <c r="D5521" s="562">
        <v>38768250</v>
      </c>
      <c r="E5521" s="562">
        <v>240032</v>
      </c>
      <c r="F5521" s="562">
        <v>39007800</v>
      </c>
      <c r="G5521" s="562">
        <f t="shared" si="292"/>
        <v>482</v>
      </c>
      <c r="H5521" s="362"/>
      <c r="I5521" s="362"/>
      <c r="J5521" s="362"/>
    </row>
    <row r="5522" spans="1:10" x14ac:dyDescent="0.25">
      <c r="A5522" s="362"/>
      <c r="B5522" s="611">
        <v>44450</v>
      </c>
      <c r="C5522" s="362" t="s">
        <v>89</v>
      </c>
      <c r="D5522" s="562">
        <v>119258905</v>
      </c>
      <c r="E5522" s="562">
        <v>42195695</v>
      </c>
      <c r="F5522" s="562">
        <v>161454500</v>
      </c>
      <c r="G5522" s="562">
        <f t="shared" si="292"/>
        <v>100</v>
      </c>
      <c r="H5522" s="362"/>
      <c r="I5522" s="362"/>
      <c r="J5522" s="362"/>
    </row>
    <row r="5523" spans="1:10" x14ac:dyDescent="0.25">
      <c r="A5523" s="362"/>
      <c r="B5523" s="611">
        <v>44450</v>
      </c>
      <c r="C5523" s="362" t="s">
        <v>81</v>
      </c>
      <c r="D5523" s="562">
        <v>118632425</v>
      </c>
      <c r="E5523" s="562">
        <v>57327514</v>
      </c>
      <c r="F5523" s="562">
        <f>108456100+67503900</f>
        <v>175960000</v>
      </c>
      <c r="G5523" s="562">
        <f t="shared" si="292"/>
        <v>-61</v>
      </c>
      <c r="H5523" s="362"/>
      <c r="I5523" s="362"/>
      <c r="J5523" s="362"/>
    </row>
    <row r="5524" spans="1:10" x14ac:dyDescent="0.25">
      <c r="A5524" s="362"/>
      <c r="B5524" s="611">
        <v>44450</v>
      </c>
      <c r="C5524" s="362" t="s">
        <v>84</v>
      </c>
      <c r="D5524" s="562">
        <v>195392086</v>
      </c>
      <c r="E5524" s="562">
        <v>10791146</v>
      </c>
      <c r="F5524" s="562">
        <v>206183300</v>
      </c>
      <c r="G5524" s="562">
        <f t="shared" si="292"/>
        <v>-68</v>
      </c>
      <c r="H5524" s="362"/>
      <c r="I5524" s="362"/>
      <c r="J5524" s="362"/>
    </row>
    <row r="5525" spans="1:10" x14ac:dyDescent="0.25">
      <c r="A5525" s="362"/>
      <c r="B5525" s="611">
        <v>44450</v>
      </c>
      <c r="C5525" s="362" t="s">
        <v>4751</v>
      </c>
      <c r="D5525" s="562">
        <v>260902685</v>
      </c>
      <c r="E5525" s="562">
        <v>9457515</v>
      </c>
      <c r="F5525" s="562">
        <v>270360200</v>
      </c>
      <c r="G5525" s="562">
        <f t="shared" si="292"/>
        <v>0</v>
      </c>
      <c r="H5525" s="362"/>
      <c r="I5525" s="362"/>
      <c r="J5525" s="362"/>
    </row>
    <row r="5526" spans="1:10" x14ac:dyDescent="0.25">
      <c r="A5526" s="362"/>
      <c r="B5526" s="611">
        <v>44450</v>
      </c>
      <c r="C5526" s="362" t="s">
        <v>166</v>
      </c>
      <c r="D5526" s="562"/>
      <c r="E5526" s="562"/>
      <c r="F5526" s="562"/>
      <c r="G5526" s="562">
        <f t="shared" si="292"/>
        <v>0</v>
      </c>
      <c r="H5526" s="362"/>
      <c r="I5526" s="362"/>
      <c r="J5526" s="362"/>
    </row>
    <row r="5527" spans="1:10" x14ac:dyDescent="0.25">
      <c r="A5527" s="362"/>
      <c r="B5527" s="611">
        <v>44450</v>
      </c>
      <c r="C5527" s="362" t="s">
        <v>3435</v>
      </c>
      <c r="D5527" s="562"/>
      <c r="E5527" s="562"/>
      <c r="F5527" s="562"/>
      <c r="G5527" s="562">
        <f t="shared" si="292"/>
        <v>0</v>
      </c>
      <c r="H5527" s="362"/>
      <c r="I5527" s="362"/>
      <c r="J5527" s="362"/>
    </row>
    <row r="5528" spans="1:10" x14ac:dyDescent="0.25">
      <c r="A5528" s="362"/>
      <c r="B5528" s="611">
        <v>44450</v>
      </c>
      <c r="C5528" s="370" t="s">
        <v>85</v>
      </c>
      <c r="D5528" s="562">
        <v>22914100</v>
      </c>
      <c r="E5528" s="562"/>
      <c r="F5528" s="562">
        <v>22914100</v>
      </c>
      <c r="G5528" s="562">
        <f t="shared" si="292"/>
        <v>0</v>
      </c>
      <c r="H5528" s="362"/>
      <c r="I5528" s="362"/>
      <c r="J5528" s="362"/>
    </row>
    <row r="5529" spans="1:10" x14ac:dyDescent="0.25">
      <c r="A5529" s="532"/>
      <c r="B5529" s="532"/>
      <c r="C5529" s="532"/>
      <c r="D5529" s="564">
        <f>SUM(D5514:D5528)</f>
        <v>1670468677</v>
      </c>
      <c r="E5529" s="564">
        <f t="shared" ref="E5529:G5529" si="293">SUM(E5514:E5528)</f>
        <v>463103363</v>
      </c>
      <c r="F5529" s="564">
        <f t="shared" si="293"/>
        <v>2133573300</v>
      </c>
      <c r="G5529" s="564">
        <f t="shared" si="293"/>
        <v>-1260</v>
      </c>
      <c r="H5529" s="532"/>
      <c r="I5529" s="532"/>
      <c r="J5529" s="532"/>
    </row>
    <row r="5530" spans="1:10" x14ac:dyDescent="0.25">
      <c r="A5530" s="362"/>
      <c r="B5530" s="611">
        <v>44452</v>
      </c>
      <c r="C5530" s="362" t="s">
        <v>86</v>
      </c>
      <c r="D5530" s="562">
        <v>104359374</v>
      </c>
      <c r="E5530" s="562">
        <v>22128820</v>
      </c>
      <c r="F5530" s="562">
        <v>126488200</v>
      </c>
      <c r="G5530" s="562">
        <f t="shared" si="292"/>
        <v>-6</v>
      </c>
      <c r="H5530" s="362"/>
      <c r="I5530" s="362"/>
      <c r="J5530" s="362"/>
    </row>
    <row r="5531" spans="1:10" x14ac:dyDescent="0.25">
      <c r="A5531" s="362"/>
      <c r="B5531" s="611">
        <v>44452</v>
      </c>
      <c r="C5531" s="362" t="s">
        <v>87</v>
      </c>
      <c r="D5531" s="562">
        <v>98271733</v>
      </c>
      <c r="E5531" s="562">
        <v>122752924</v>
      </c>
      <c r="F5531" s="562">
        <v>221024700</v>
      </c>
      <c r="G5531" s="562">
        <f t="shared" si="292"/>
        <v>-43</v>
      </c>
      <c r="H5531" s="362"/>
      <c r="I5531" s="362"/>
      <c r="J5531" s="362"/>
    </row>
    <row r="5532" spans="1:10" x14ac:dyDescent="0.25">
      <c r="A5532" s="362"/>
      <c r="B5532" s="611">
        <v>44452</v>
      </c>
      <c r="C5532" s="362" t="s">
        <v>88</v>
      </c>
      <c r="D5532" s="562">
        <v>277206259</v>
      </c>
      <c r="E5532" s="562">
        <v>35718267</v>
      </c>
      <c r="F5532" s="562">
        <v>312924600</v>
      </c>
      <c r="G5532" s="562">
        <f t="shared" si="292"/>
        <v>-74</v>
      </c>
      <c r="H5532" s="362"/>
      <c r="I5532" s="362"/>
      <c r="J5532" s="362"/>
    </row>
    <row r="5533" spans="1:10" x14ac:dyDescent="0.25">
      <c r="A5533" s="362"/>
      <c r="B5533" s="611">
        <v>44452</v>
      </c>
      <c r="C5533" s="362" t="s">
        <v>82</v>
      </c>
      <c r="D5533" s="562">
        <v>54744485</v>
      </c>
      <c r="E5533" s="562"/>
      <c r="F5533" s="562">
        <v>54744500</v>
      </c>
      <c r="G5533" s="562">
        <f t="shared" si="292"/>
        <v>-15</v>
      </c>
      <c r="H5533" s="362"/>
      <c r="I5533" s="362"/>
      <c r="J5533" s="362"/>
    </row>
    <row r="5534" spans="1:10" x14ac:dyDescent="0.25">
      <c r="A5534" s="362"/>
      <c r="B5534" s="611">
        <v>44452</v>
      </c>
      <c r="C5534" s="362" t="s">
        <v>80</v>
      </c>
      <c r="D5534" s="562">
        <v>264807700</v>
      </c>
      <c r="E5534" s="562"/>
      <c r="F5534" s="562">
        <v>264807700</v>
      </c>
      <c r="G5534" s="562">
        <f t="shared" si="292"/>
        <v>0</v>
      </c>
      <c r="H5534" s="362"/>
      <c r="I5534" s="362"/>
      <c r="J5534" s="362"/>
    </row>
    <row r="5535" spans="1:10" x14ac:dyDescent="0.25">
      <c r="A5535" s="362"/>
      <c r="B5535" s="611">
        <v>44452</v>
      </c>
      <c r="C5535" s="362" t="s">
        <v>83</v>
      </c>
      <c r="D5535" s="562">
        <v>258319054</v>
      </c>
      <c r="E5535" s="562">
        <v>39013942</v>
      </c>
      <c r="F5535" s="562">
        <v>297333000</v>
      </c>
      <c r="G5535" s="562">
        <f t="shared" si="292"/>
        <v>-4</v>
      </c>
      <c r="H5535" s="362"/>
      <c r="I5535" s="362"/>
      <c r="J5535" s="362"/>
    </row>
    <row r="5536" spans="1:10" x14ac:dyDescent="0.25">
      <c r="A5536" s="362"/>
      <c r="B5536" s="611">
        <v>44452</v>
      </c>
      <c r="C5536" s="362" t="s">
        <v>78</v>
      </c>
      <c r="D5536" s="562">
        <v>99119235</v>
      </c>
      <c r="E5536" s="562">
        <v>2145165</v>
      </c>
      <c r="F5536" s="562">
        <v>101264400</v>
      </c>
      <c r="G5536" s="562">
        <f t="shared" si="292"/>
        <v>0</v>
      </c>
      <c r="H5536" s="362"/>
      <c r="I5536" s="362"/>
      <c r="J5536" s="362"/>
    </row>
    <row r="5537" spans="1:10" x14ac:dyDescent="0.25">
      <c r="A5537" s="362"/>
      <c r="B5537" s="611">
        <v>44452</v>
      </c>
      <c r="C5537" s="362" t="s">
        <v>141</v>
      </c>
      <c r="D5537" s="562">
        <v>89300577</v>
      </c>
      <c r="E5537" s="562"/>
      <c r="F5537" s="562">
        <v>89300700</v>
      </c>
      <c r="G5537" s="562">
        <f t="shared" si="292"/>
        <v>-123</v>
      </c>
      <c r="H5537" s="362"/>
      <c r="I5537" s="362"/>
      <c r="J5537" s="362"/>
    </row>
    <row r="5538" spans="1:10" x14ac:dyDescent="0.25">
      <c r="A5538" s="362"/>
      <c r="B5538" s="611">
        <v>44452</v>
      </c>
      <c r="C5538" s="362" t="s">
        <v>89</v>
      </c>
      <c r="D5538" s="562">
        <v>143701351</v>
      </c>
      <c r="E5538" s="562">
        <v>69288849</v>
      </c>
      <c r="F5538" s="562">
        <v>212990200</v>
      </c>
      <c r="G5538" s="562">
        <f t="shared" si="292"/>
        <v>0</v>
      </c>
      <c r="H5538" s="362"/>
      <c r="I5538" s="362"/>
      <c r="J5538" s="362"/>
    </row>
    <row r="5539" spans="1:10" x14ac:dyDescent="0.25">
      <c r="A5539" s="362"/>
      <c r="B5539" s="611">
        <v>44452</v>
      </c>
      <c r="C5539" s="362" t="s">
        <v>81</v>
      </c>
      <c r="D5539" s="562">
        <v>61404940</v>
      </c>
      <c r="E5539" s="562">
        <v>14566706</v>
      </c>
      <c r="F5539" s="562">
        <v>75971700</v>
      </c>
      <c r="G5539" s="562">
        <f t="shared" si="292"/>
        <v>-54</v>
      </c>
      <c r="H5539" s="362"/>
      <c r="I5539" s="362"/>
      <c r="J5539" s="362"/>
    </row>
    <row r="5540" spans="1:10" x14ac:dyDescent="0.25">
      <c r="A5540" s="362"/>
      <c r="B5540" s="611">
        <v>44452</v>
      </c>
      <c r="C5540" s="362" t="s">
        <v>84</v>
      </c>
      <c r="D5540" s="562">
        <v>187149533</v>
      </c>
      <c r="E5540" s="562">
        <v>11671457</v>
      </c>
      <c r="F5540" s="562">
        <v>198821000</v>
      </c>
      <c r="G5540" s="562">
        <f t="shared" si="292"/>
        <v>-10</v>
      </c>
      <c r="H5540" s="362"/>
      <c r="I5540" s="362"/>
      <c r="J5540" s="362"/>
    </row>
    <row r="5541" spans="1:10" x14ac:dyDescent="0.25">
      <c r="A5541" s="362"/>
      <c r="B5541" s="611">
        <v>44452</v>
      </c>
      <c r="C5541" s="362" t="s">
        <v>4751</v>
      </c>
      <c r="D5541" s="562">
        <v>211422699</v>
      </c>
      <c r="E5541" s="562">
        <v>9893601</v>
      </c>
      <c r="F5541" s="562">
        <v>221316300</v>
      </c>
      <c r="G5541" s="562">
        <f t="shared" si="292"/>
        <v>0</v>
      </c>
      <c r="H5541" s="362"/>
      <c r="I5541" s="362"/>
      <c r="J5541" s="362"/>
    </row>
    <row r="5542" spans="1:10" x14ac:dyDescent="0.25">
      <c r="A5542" s="362"/>
      <c r="B5542" s="611">
        <v>44452</v>
      </c>
      <c r="C5542" s="362" t="s">
        <v>166</v>
      </c>
      <c r="D5542" s="562">
        <v>76541583</v>
      </c>
      <c r="E5542" s="562"/>
      <c r="F5542" s="562">
        <v>76541500</v>
      </c>
      <c r="G5542" s="562">
        <f t="shared" si="292"/>
        <v>83</v>
      </c>
      <c r="H5542" s="362"/>
      <c r="I5542" s="362"/>
      <c r="J5542" s="362"/>
    </row>
    <row r="5543" spans="1:10" x14ac:dyDescent="0.25">
      <c r="A5543" s="362"/>
      <c r="B5543" s="611">
        <v>44452</v>
      </c>
      <c r="C5543" s="362" t="s">
        <v>3435</v>
      </c>
      <c r="D5543" s="562">
        <v>27172429</v>
      </c>
      <c r="E5543" s="562"/>
      <c r="F5543" s="562">
        <v>27172500</v>
      </c>
      <c r="G5543" s="562">
        <f t="shared" si="292"/>
        <v>-71</v>
      </c>
      <c r="H5543" s="362"/>
      <c r="I5543" s="362"/>
      <c r="J5543" s="362"/>
    </row>
    <row r="5544" spans="1:10" x14ac:dyDescent="0.25">
      <c r="A5544" s="362"/>
      <c r="B5544" s="611">
        <v>44452</v>
      </c>
      <c r="C5544" s="370" t="s">
        <v>85</v>
      </c>
      <c r="D5544" s="562">
        <v>56129700</v>
      </c>
      <c r="E5544" s="562"/>
      <c r="F5544" s="562">
        <v>56129700</v>
      </c>
      <c r="G5544" s="562">
        <f t="shared" si="292"/>
        <v>0</v>
      </c>
      <c r="H5544" s="362"/>
      <c r="I5544" s="362"/>
      <c r="J5544" s="362"/>
    </row>
    <row r="5545" spans="1:10" x14ac:dyDescent="0.25">
      <c r="A5545" s="532"/>
      <c r="B5545" s="532"/>
      <c r="C5545" s="532"/>
      <c r="D5545" s="564">
        <f>SUM(D5530:D5544)</f>
        <v>2009650652</v>
      </c>
      <c r="E5545" s="564">
        <f t="shared" ref="E5545:G5545" si="294">SUM(E5530:E5544)</f>
        <v>327179731</v>
      </c>
      <c r="F5545" s="564">
        <f t="shared" si="294"/>
        <v>2336830700</v>
      </c>
      <c r="G5545" s="564">
        <f t="shared" si="294"/>
        <v>-317</v>
      </c>
      <c r="H5545" s="532"/>
      <c r="I5545" s="532"/>
      <c r="J5545" s="532"/>
    </row>
    <row r="5546" spans="1:10" x14ac:dyDescent="0.25">
      <c r="A5546" s="362"/>
      <c r="B5546" s="611">
        <v>44453</v>
      </c>
      <c r="C5546" s="362" t="s">
        <v>86</v>
      </c>
      <c r="D5546" s="562">
        <v>132159518</v>
      </c>
      <c r="E5546" s="562">
        <v>38596963</v>
      </c>
      <c r="F5546" s="562">
        <v>170756400</v>
      </c>
      <c r="G5546" s="562">
        <f t="shared" si="292"/>
        <v>81</v>
      </c>
      <c r="H5546" s="362"/>
      <c r="I5546" s="362"/>
      <c r="J5546" s="362"/>
    </row>
    <row r="5547" spans="1:10" x14ac:dyDescent="0.25">
      <c r="A5547" s="362"/>
      <c r="B5547" s="611">
        <v>44453</v>
      </c>
      <c r="C5547" s="362" t="s">
        <v>87</v>
      </c>
      <c r="D5547" s="562">
        <v>162018417</v>
      </c>
      <c r="E5547" s="562">
        <v>89687548</v>
      </c>
      <c r="F5547" s="562">
        <v>251706000</v>
      </c>
      <c r="G5547" s="562">
        <f t="shared" si="292"/>
        <v>-35</v>
      </c>
      <c r="H5547" s="362"/>
      <c r="I5547" s="362"/>
      <c r="J5547" s="362"/>
    </row>
    <row r="5548" spans="1:10" x14ac:dyDescent="0.25">
      <c r="A5548" s="362"/>
      <c r="B5548" s="611">
        <v>44453</v>
      </c>
      <c r="C5548" s="362" t="s">
        <v>88</v>
      </c>
      <c r="D5548" s="562">
        <v>170895000</v>
      </c>
      <c r="E5548" s="562">
        <v>124158582</v>
      </c>
      <c r="F5548" s="562">
        <v>295053600</v>
      </c>
      <c r="G5548" s="562">
        <f t="shared" si="292"/>
        <v>-18</v>
      </c>
      <c r="H5548" s="362"/>
      <c r="I5548" s="362"/>
      <c r="J5548" s="362"/>
    </row>
    <row r="5549" spans="1:10" x14ac:dyDescent="0.25">
      <c r="A5549" s="362"/>
      <c r="B5549" s="611">
        <v>44453</v>
      </c>
      <c r="C5549" s="362" t="s">
        <v>82</v>
      </c>
      <c r="D5549" s="562">
        <v>72535001</v>
      </c>
      <c r="E5549" s="562"/>
      <c r="F5549" s="562">
        <v>72535000</v>
      </c>
      <c r="G5549" s="562">
        <f t="shared" si="292"/>
        <v>1</v>
      </c>
      <c r="H5549" s="362"/>
      <c r="I5549" s="362"/>
      <c r="J5549" s="362"/>
    </row>
    <row r="5550" spans="1:10" x14ac:dyDescent="0.25">
      <c r="A5550" s="362"/>
      <c r="B5550" s="611">
        <v>44453</v>
      </c>
      <c r="C5550" s="362" t="s">
        <v>80</v>
      </c>
      <c r="D5550" s="562">
        <v>256899903</v>
      </c>
      <c r="E5550" s="562"/>
      <c r="F5550" s="562">
        <v>256899900</v>
      </c>
      <c r="G5550" s="562">
        <f t="shared" si="292"/>
        <v>3</v>
      </c>
      <c r="H5550" s="362"/>
      <c r="I5550" s="362"/>
      <c r="J5550" s="362"/>
    </row>
    <row r="5551" spans="1:10" x14ac:dyDescent="0.25">
      <c r="A5551" s="362"/>
      <c r="B5551" s="611">
        <v>44453</v>
      </c>
      <c r="C5551" s="362" t="s">
        <v>83</v>
      </c>
      <c r="D5551" s="562">
        <v>214289754</v>
      </c>
      <c r="E5551" s="562">
        <v>57505476</v>
      </c>
      <c r="F5551" s="562">
        <v>271795300</v>
      </c>
      <c r="G5551" s="562">
        <f t="shared" si="292"/>
        <v>-70</v>
      </c>
      <c r="H5551" s="362"/>
      <c r="I5551" s="362"/>
      <c r="J5551" s="362"/>
    </row>
    <row r="5552" spans="1:10" x14ac:dyDescent="0.25">
      <c r="A5552" s="362"/>
      <c r="B5552" s="611">
        <v>44453</v>
      </c>
      <c r="C5552" s="362" t="s">
        <v>78</v>
      </c>
      <c r="D5552" s="562">
        <v>160739624</v>
      </c>
      <c r="E5552" s="562">
        <v>6049773</v>
      </c>
      <c r="F5552" s="562">
        <v>166789400</v>
      </c>
      <c r="G5552" s="562">
        <f t="shared" si="292"/>
        <v>-3</v>
      </c>
      <c r="H5552" s="362"/>
      <c r="I5552" s="362"/>
      <c r="J5552" s="362"/>
    </row>
    <row r="5553" spans="1:10" x14ac:dyDescent="0.25">
      <c r="A5553" s="362"/>
      <c r="B5553" s="611">
        <v>44453</v>
      </c>
      <c r="C5553" s="362" t="s">
        <v>141</v>
      </c>
      <c r="D5553" s="562">
        <v>68945455</v>
      </c>
      <c r="E5553" s="562">
        <v>248652</v>
      </c>
      <c r="F5553" s="562">
        <v>69194200</v>
      </c>
      <c r="G5553" s="562">
        <f t="shared" si="292"/>
        <v>-93</v>
      </c>
      <c r="H5553" s="362"/>
      <c r="I5553" s="362"/>
      <c r="J5553" s="362"/>
    </row>
    <row r="5554" spans="1:10" x14ac:dyDescent="0.25">
      <c r="A5554" s="362"/>
      <c r="B5554" s="611">
        <v>44453</v>
      </c>
      <c r="C5554" s="362" t="s">
        <v>89</v>
      </c>
      <c r="D5554" s="562">
        <v>119264081</v>
      </c>
      <c r="E5554" s="562">
        <v>6566019</v>
      </c>
      <c r="F5554" s="562">
        <v>125830100</v>
      </c>
      <c r="G5554" s="562">
        <f t="shared" si="292"/>
        <v>0</v>
      </c>
      <c r="H5554" s="362"/>
      <c r="I5554" s="362"/>
      <c r="J5554" s="362"/>
    </row>
    <row r="5555" spans="1:10" x14ac:dyDescent="0.25">
      <c r="A5555" s="362"/>
      <c r="B5555" s="611">
        <v>44453</v>
      </c>
      <c r="C5555" s="362" t="s">
        <v>81</v>
      </c>
      <c r="D5555" s="562">
        <v>84404605</v>
      </c>
      <c r="E5555" s="562">
        <v>12092181</v>
      </c>
      <c r="F5555" s="562">
        <v>96496800</v>
      </c>
      <c r="G5555" s="562">
        <f t="shared" si="292"/>
        <v>-14</v>
      </c>
      <c r="H5555" s="362"/>
      <c r="I5555" s="362"/>
      <c r="J5555" s="362"/>
    </row>
    <row r="5556" spans="1:10" x14ac:dyDescent="0.25">
      <c r="A5556" s="362"/>
      <c r="B5556" s="611">
        <v>44453</v>
      </c>
      <c r="C5556" s="362" t="s">
        <v>84</v>
      </c>
      <c r="D5556" s="562">
        <v>290573926</v>
      </c>
      <c r="E5556" s="562">
        <v>13495752</v>
      </c>
      <c r="F5556" s="562">
        <v>304069700</v>
      </c>
      <c r="G5556" s="562">
        <f t="shared" si="292"/>
        <v>-22</v>
      </c>
      <c r="H5556" s="362"/>
      <c r="I5556" s="362"/>
      <c r="J5556" s="362"/>
    </row>
    <row r="5557" spans="1:10" x14ac:dyDescent="0.25">
      <c r="A5557" s="362"/>
      <c r="B5557" s="611">
        <v>44453</v>
      </c>
      <c r="C5557" s="362" t="s">
        <v>4751</v>
      </c>
      <c r="D5557" s="562">
        <v>303522189</v>
      </c>
      <c r="E5557" s="562">
        <v>13568011</v>
      </c>
      <c r="F5557" s="562">
        <v>317090200</v>
      </c>
      <c r="G5557" s="562">
        <f t="shared" si="292"/>
        <v>0</v>
      </c>
      <c r="H5557" s="362"/>
      <c r="I5557" s="362"/>
      <c r="J5557" s="362"/>
    </row>
    <row r="5558" spans="1:10" x14ac:dyDescent="0.25">
      <c r="A5558" s="362"/>
      <c r="B5558" s="611">
        <v>44453</v>
      </c>
      <c r="C5558" s="362" t="s">
        <v>166</v>
      </c>
      <c r="D5558" s="562">
        <v>93294564</v>
      </c>
      <c r="E5558" s="562"/>
      <c r="F5558" s="562">
        <v>93294600</v>
      </c>
      <c r="G5558" s="562">
        <f t="shared" si="292"/>
        <v>-36</v>
      </c>
      <c r="H5558" s="362"/>
      <c r="I5558" s="362"/>
      <c r="J5558" s="362"/>
    </row>
    <row r="5559" spans="1:10" x14ac:dyDescent="0.25">
      <c r="A5559" s="362"/>
      <c r="B5559" s="611">
        <v>44453</v>
      </c>
      <c r="C5559" s="362" t="s">
        <v>3435</v>
      </c>
      <c r="D5559" s="562">
        <v>46379986</v>
      </c>
      <c r="E5559" s="562"/>
      <c r="F5559" s="562">
        <v>46380000</v>
      </c>
      <c r="G5559" s="562">
        <f t="shared" si="292"/>
        <v>-14</v>
      </c>
      <c r="H5559" s="362"/>
      <c r="I5559" s="362"/>
      <c r="J5559" s="362"/>
    </row>
    <row r="5560" spans="1:10" x14ac:dyDescent="0.25">
      <c r="A5560" s="362"/>
      <c r="B5560" s="611">
        <v>44453</v>
      </c>
      <c r="C5560" s="370" t="s">
        <v>85</v>
      </c>
      <c r="D5560" s="562">
        <v>28919100</v>
      </c>
      <c r="E5560" s="562"/>
      <c r="F5560" s="562">
        <v>28919100</v>
      </c>
      <c r="G5560" s="562">
        <f t="shared" si="292"/>
        <v>0</v>
      </c>
      <c r="H5560" s="362"/>
      <c r="I5560" s="362"/>
      <c r="J5560" s="362"/>
    </row>
    <row r="5561" spans="1:10" x14ac:dyDescent="0.25">
      <c r="A5561" s="532"/>
      <c r="B5561" s="532"/>
      <c r="C5561" s="532"/>
      <c r="D5561" s="564">
        <f>SUM(D5546:D5560)</f>
        <v>2204841123</v>
      </c>
      <c r="E5561" s="564">
        <f t="shared" ref="E5561:G5561" si="295">SUM(E5546:E5560)</f>
        <v>361968957</v>
      </c>
      <c r="F5561" s="564">
        <f t="shared" si="295"/>
        <v>2566810300</v>
      </c>
      <c r="G5561" s="564">
        <f t="shared" si="295"/>
        <v>-220</v>
      </c>
      <c r="H5561" s="532"/>
      <c r="I5561" s="532"/>
      <c r="J5561" s="532"/>
    </row>
    <row r="5562" spans="1:10" x14ac:dyDescent="0.25">
      <c r="A5562" s="362"/>
      <c r="B5562" s="611">
        <v>44454</v>
      </c>
      <c r="C5562" s="362" t="s">
        <v>86</v>
      </c>
      <c r="D5562" s="562">
        <v>113261777</v>
      </c>
      <c r="E5562" s="562">
        <v>37587435</v>
      </c>
      <c r="F5562" s="562"/>
      <c r="G5562" s="562">
        <f t="shared" si="292"/>
        <v>150849212</v>
      </c>
      <c r="H5562" s="362"/>
      <c r="I5562" s="362"/>
      <c r="J5562" s="362"/>
    </row>
    <row r="5563" spans="1:10" x14ac:dyDescent="0.25">
      <c r="A5563" s="362"/>
      <c r="B5563" s="611">
        <v>44454</v>
      </c>
      <c r="C5563" s="362" t="s">
        <v>87</v>
      </c>
      <c r="D5563" s="562">
        <v>86821968</v>
      </c>
      <c r="E5563" s="562">
        <v>74106152</v>
      </c>
      <c r="F5563" s="562"/>
      <c r="G5563" s="562">
        <f t="shared" si="292"/>
        <v>160928120</v>
      </c>
      <c r="H5563" s="362"/>
      <c r="I5563" s="362"/>
      <c r="J5563" s="362"/>
    </row>
    <row r="5564" spans="1:10" x14ac:dyDescent="0.25">
      <c r="A5564" s="362"/>
      <c r="B5564" s="611">
        <v>44454</v>
      </c>
      <c r="C5564" s="362" t="s">
        <v>88</v>
      </c>
      <c r="D5564" s="562">
        <v>280622911</v>
      </c>
      <c r="E5564" s="562">
        <v>4532162</v>
      </c>
      <c r="F5564" s="562"/>
      <c r="G5564" s="562">
        <f t="shared" si="292"/>
        <v>285155073</v>
      </c>
      <c r="H5564" s="362"/>
      <c r="I5564" s="362"/>
      <c r="J5564" s="362"/>
    </row>
    <row r="5565" spans="1:10" x14ac:dyDescent="0.25">
      <c r="A5565" s="362"/>
      <c r="B5565" s="611">
        <v>44454</v>
      </c>
      <c r="C5565" s="362" t="s">
        <v>82</v>
      </c>
      <c r="D5565" s="562">
        <v>103727994</v>
      </c>
      <c r="E5565" s="562">
        <v>2250600</v>
      </c>
      <c r="F5565" s="562"/>
      <c r="G5565" s="562">
        <f t="shared" si="292"/>
        <v>105978594</v>
      </c>
      <c r="H5565" s="362"/>
      <c r="I5565" s="362"/>
      <c r="J5565" s="362"/>
    </row>
    <row r="5566" spans="1:10" x14ac:dyDescent="0.25">
      <c r="A5566" s="362"/>
      <c r="B5566" s="611">
        <v>44454</v>
      </c>
      <c r="C5566" s="362" t="s">
        <v>80</v>
      </c>
      <c r="D5566" s="562">
        <v>268390958</v>
      </c>
      <c r="E5566" s="562"/>
      <c r="F5566" s="562"/>
      <c r="G5566" s="562">
        <f t="shared" si="292"/>
        <v>268390958</v>
      </c>
      <c r="H5566" s="362"/>
      <c r="I5566" s="362"/>
      <c r="J5566" s="362"/>
    </row>
    <row r="5567" spans="1:10" x14ac:dyDescent="0.25">
      <c r="A5567" s="362"/>
      <c r="B5567" s="611">
        <v>44454</v>
      </c>
      <c r="C5567" s="362" t="s">
        <v>83</v>
      </c>
      <c r="D5567" s="562">
        <v>233947524</v>
      </c>
      <c r="E5567" s="562">
        <v>216270876</v>
      </c>
      <c r="F5567" s="562"/>
      <c r="G5567" s="562">
        <f t="shared" si="292"/>
        <v>450218400</v>
      </c>
      <c r="H5567" s="362"/>
      <c r="I5567" s="362"/>
      <c r="J5567" s="362"/>
    </row>
    <row r="5568" spans="1:10" x14ac:dyDescent="0.25">
      <c r="A5568" s="362"/>
      <c r="B5568" s="611">
        <v>44454</v>
      </c>
      <c r="C5568" s="362" t="s">
        <v>78</v>
      </c>
      <c r="D5568" s="562">
        <v>122333426</v>
      </c>
      <c r="E5568" s="562">
        <v>1390674</v>
      </c>
      <c r="F5568" s="562"/>
      <c r="G5568" s="562">
        <f t="shared" si="292"/>
        <v>123724100</v>
      </c>
      <c r="H5568" s="362"/>
      <c r="I5568" s="362"/>
      <c r="J5568" s="362"/>
    </row>
    <row r="5569" spans="1:10" x14ac:dyDescent="0.25">
      <c r="A5569" s="362"/>
      <c r="B5569" s="611">
        <v>44454</v>
      </c>
      <c r="C5569" s="362" t="s">
        <v>141</v>
      </c>
      <c r="D5569" s="562">
        <v>106074777</v>
      </c>
      <c r="E5569" s="562"/>
      <c r="F5569" s="562"/>
      <c r="G5569" s="562">
        <f t="shared" si="292"/>
        <v>106074777</v>
      </c>
      <c r="H5569" s="362"/>
      <c r="I5569" s="362"/>
      <c r="J5569" s="362"/>
    </row>
    <row r="5570" spans="1:10" x14ac:dyDescent="0.25">
      <c r="A5570" s="362"/>
      <c r="B5570" s="611">
        <v>44454</v>
      </c>
      <c r="C5570" s="362" t="s">
        <v>89</v>
      </c>
      <c r="D5570" s="562">
        <v>151259232</v>
      </c>
      <c r="E5570" s="562">
        <v>19108168</v>
      </c>
      <c r="F5570" s="562"/>
      <c r="G5570" s="562">
        <f t="shared" si="292"/>
        <v>170367400</v>
      </c>
      <c r="H5570" s="362"/>
      <c r="I5570" s="362"/>
      <c r="J5570" s="362"/>
    </row>
    <row r="5571" spans="1:10" x14ac:dyDescent="0.25">
      <c r="A5571" s="362"/>
      <c r="B5571" s="611">
        <v>44454</v>
      </c>
      <c r="C5571" s="362" t="s">
        <v>81</v>
      </c>
      <c r="D5571" s="562">
        <v>52889642</v>
      </c>
      <c r="E5571" s="562">
        <v>12263312</v>
      </c>
      <c r="F5571" s="562"/>
      <c r="G5571" s="562">
        <f t="shared" si="292"/>
        <v>65152954</v>
      </c>
      <c r="H5571" s="362"/>
      <c r="I5571" s="362"/>
      <c r="J5571" s="362"/>
    </row>
    <row r="5572" spans="1:10" x14ac:dyDescent="0.25">
      <c r="A5572" s="362"/>
      <c r="B5572" s="611">
        <v>44454</v>
      </c>
      <c r="C5572" s="362" t="s">
        <v>84</v>
      </c>
      <c r="D5572" s="562">
        <v>375202118</v>
      </c>
      <c r="E5572" s="562">
        <v>7255283</v>
      </c>
      <c r="F5572" s="562"/>
      <c r="G5572" s="562">
        <f t="shared" si="292"/>
        <v>382457401</v>
      </c>
      <c r="H5572" s="362"/>
      <c r="I5572" s="362"/>
      <c r="J5572" s="362"/>
    </row>
    <row r="5573" spans="1:10" x14ac:dyDescent="0.25">
      <c r="A5573" s="362"/>
      <c r="B5573" s="611">
        <v>44454</v>
      </c>
      <c r="C5573" s="362" t="s">
        <v>4751</v>
      </c>
      <c r="D5573" s="562">
        <v>125008677</v>
      </c>
      <c r="E5573" s="562">
        <v>6664223</v>
      </c>
      <c r="F5573" s="562"/>
      <c r="G5573" s="562">
        <f t="shared" si="292"/>
        <v>131672900</v>
      </c>
      <c r="H5573" s="362"/>
      <c r="I5573" s="362"/>
      <c r="J5573" s="362"/>
    </row>
    <row r="5574" spans="1:10" x14ac:dyDescent="0.25">
      <c r="A5574" s="362"/>
      <c r="B5574" s="611">
        <v>44454</v>
      </c>
      <c r="C5574" s="362" t="s">
        <v>166</v>
      </c>
      <c r="D5574" s="562">
        <v>61763419</v>
      </c>
      <c r="E5574" s="562"/>
      <c r="F5574" s="562"/>
      <c r="G5574" s="562">
        <f t="shared" si="292"/>
        <v>61763419</v>
      </c>
      <c r="H5574" s="362"/>
      <c r="I5574" s="362"/>
      <c r="J5574" s="362"/>
    </row>
    <row r="5575" spans="1:10" x14ac:dyDescent="0.25">
      <c r="A5575" s="362"/>
      <c r="B5575" s="611">
        <v>44454</v>
      </c>
      <c r="C5575" s="362" t="s">
        <v>3435</v>
      </c>
      <c r="D5575" s="562">
        <v>46811463</v>
      </c>
      <c r="E5575" s="562"/>
      <c r="F5575" s="562"/>
      <c r="G5575" s="562">
        <f t="shared" si="292"/>
        <v>46811463</v>
      </c>
      <c r="H5575" s="362"/>
      <c r="I5575" s="362"/>
      <c r="J5575" s="362"/>
    </row>
    <row r="5576" spans="1:10" x14ac:dyDescent="0.25">
      <c r="A5576" s="362"/>
      <c r="B5576" s="611">
        <v>44454</v>
      </c>
      <c r="C5576" s="370" t="s">
        <v>85</v>
      </c>
      <c r="D5576" s="562">
        <v>42453000</v>
      </c>
      <c r="E5576" s="562"/>
      <c r="F5576" s="562"/>
      <c r="G5576" s="562">
        <f t="shared" si="292"/>
        <v>42453000</v>
      </c>
      <c r="H5576" s="362"/>
      <c r="I5576" s="362"/>
      <c r="J5576" s="362"/>
    </row>
    <row r="5577" spans="1:10" x14ac:dyDescent="0.25">
      <c r="A5577" s="532"/>
      <c r="B5577" s="532"/>
      <c r="C5577" s="532"/>
      <c r="D5577" s="564">
        <f>SUM(D5562:D5576)</f>
        <v>2170568886</v>
      </c>
      <c r="E5577" s="564">
        <f t="shared" ref="E5577:G5577" si="296">SUM(E5562:E5576)</f>
        <v>381428885</v>
      </c>
      <c r="F5577" s="564">
        <f t="shared" si="296"/>
        <v>0</v>
      </c>
      <c r="G5577" s="564">
        <f t="shared" si="296"/>
        <v>2551997771</v>
      </c>
      <c r="H5577" s="532"/>
      <c r="I5577" s="532"/>
      <c r="J5577" s="532"/>
    </row>
    <row r="5578" spans="1:10" x14ac:dyDescent="0.25">
      <c r="A5578" s="362"/>
      <c r="B5578" s="611">
        <v>44455</v>
      </c>
      <c r="C5578" s="362" t="s">
        <v>86</v>
      </c>
      <c r="D5578" s="562">
        <v>177411645</v>
      </c>
      <c r="E5578" s="562">
        <v>134074521</v>
      </c>
      <c r="F5578" s="562"/>
      <c r="G5578" s="562">
        <f t="shared" si="292"/>
        <v>311486166</v>
      </c>
      <c r="H5578" s="362"/>
      <c r="I5578" s="362"/>
      <c r="J5578" s="362"/>
    </row>
    <row r="5579" spans="1:10" x14ac:dyDescent="0.25">
      <c r="A5579" s="362"/>
      <c r="B5579" s="611">
        <v>44455</v>
      </c>
      <c r="C5579" s="362" t="s">
        <v>87</v>
      </c>
      <c r="D5579" s="562">
        <v>90853740</v>
      </c>
      <c r="E5579" s="562">
        <v>92438099</v>
      </c>
      <c r="F5579" s="562"/>
      <c r="G5579" s="562">
        <f t="shared" si="292"/>
        <v>183291839</v>
      </c>
      <c r="H5579" s="362"/>
      <c r="I5579" s="362"/>
      <c r="J5579" s="362"/>
    </row>
    <row r="5580" spans="1:10" x14ac:dyDescent="0.25">
      <c r="A5580" s="362"/>
      <c r="B5580" s="611">
        <v>44455</v>
      </c>
      <c r="C5580" s="362" t="s">
        <v>88</v>
      </c>
      <c r="D5580" s="562">
        <v>174724723</v>
      </c>
      <c r="E5580" s="562">
        <v>70997104</v>
      </c>
      <c r="F5580" s="562"/>
      <c r="G5580" s="562">
        <f t="shared" ref="G5580:G5643" si="297">D5580+E5580-F5580</f>
        <v>245721827</v>
      </c>
      <c r="H5580" s="362"/>
      <c r="I5580" s="362"/>
      <c r="J5580" s="362"/>
    </row>
    <row r="5581" spans="1:10" x14ac:dyDescent="0.25">
      <c r="A5581" s="362"/>
      <c r="B5581" s="611">
        <v>44455</v>
      </c>
      <c r="C5581" s="362" t="s">
        <v>82</v>
      </c>
      <c r="D5581" s="562">
        <v>165556539</v>
      </c>
      <c r="E5581" s="562">
        <v>7006980</v>
      </c>
      <c r="F5581" s="562"/>
      <c r="G5581" s="562">
        <f t="shared" si="297"/>
        <v>172563519</v>
      </c>
      <c r="H5581" s="362"/>
      <c r="I5581" s="362"/>
      <c r="J5581" s="362"/>
    </row>
    <row r="5582" spans="1:10" x14ac:dyDescent="0.25">
      <c r="A5582" s="362"/>
      <c r="B5582" s="611">
        <v>44455</v>
      </c>
      <c r="C5582" s="362" t="s">
        <v>80</v>
      </c>
      <c r="D5582" s="562">
        <v>198841300</v>
      </c>
      <c r="E5582" s="562"/>
      <c r="F5582" s="562"/>
      <c r="G5582" s="562">
        <f t="shared" si="297"/>
        <v>198841300</v>
      </c>
      <c r="H5582" s="362"/>
      <c r="I5582" s="362"/>
      <c r="J5582" s="362"/>
    </row>
    <row r="5583" spans="1:10" x14ac:dyDescent="0.25">
      <c r="A5583" s="362"/>
      <c r="B5583" s="611">
        <v>44455</v>
      </c>
      <c r="C5583" s="362" t="s">
        <v>83</v>
      </c>
      <c r="D5583" s="562">
        <v>139321557</v>
      </c>
      <c r="E5583" s="562">
        <v>19544658</v>
      </c>
      <c r="F5583" s="562"/>
      <c r="G5583" s="562">
        <f t="shared" si="297"/>
        <v>158866215</v>
      </c>
      <c r="H5583" s="362"/>
      <c r="I5583" s="362"/>
      <c r="J5583" s="362"/>
    </row>
    <row r="5584" spans="1:10" x14ac:dyDescent="0.25">
      <c r="A5584" s="362"/>
      <c r="B5584" s="611">
        <v>44455</v>
      </c>
      <c r="C5584" s="362" t="s">
        <v>78</v>
      </c>
      <c r="D5584" s="562">
        <v>112865081</v>
      </c>
      <c r="E5584" s="562">
        <v>660519</v>
      </c>
      <c r="F5584" s="562"/>
      <c r="G5584" s="562">
        <f t="shared" si="297"/>
        <v>113525600</v>
      </c>
      <c r="H5584" s="362"/>
      <c r="I5584" s="362"/>
      <c r="J5584" s="362"/>
    </row>
    <row r="5585" spans="1:10" x14ac:dyDescent="0.25">
      <c r="A5585" s="362"/>
      <c r="B5585" s="611">
        <v>44455</v>
      </c>
      <c r="C5585" s="362" t="s">
        <v>141</v>
      </c>
      <c r="D5585" s="562">
        <v>64569337</v>
      </c>
      <c r="E5585" s="562">
        <v>40620</v>
      </c>
      <c r="F5585" s="562"/>
      <c r="G5585" s="562">
        <f t="shared" si="297"/>
        <v>64609957</v>
      </c>
      <c r="H5585" s="362"/>
      <c r="I5585" s="362"/>
      <c r="J5585" s="362"/>
    </row>
    <row r="5586" spans="1:10" x14ac:dyDescent="0.25">
      <c r="A5586" s="362"/>
      <c r="B5586" s="611">
        <v>44455</v>
      </c>
      <c r="C5586" s="362" t="s">
        <v>89</v>
      </c>
      <c r="D5586" s="562">
        <v>122555364</v>
      </c>
      <c r="E5586" s="562">
        <v>19815336</v>
      </c>
      <c r="F5586" s="562"/>
      <c r="G5586" s="562">
        <f t="shared" si="297"/>
        <v>142370700</v>
      </c>
      <c r="H5586" s="362"/>
      <c r="I5586" s="362"/>
      <c r="J5586" s="362"/>
    </row>
    <row r="5587" spans="1:10" x14ac:dyDescent="0.25">
      <c r="A5587" s="362"/>
      <c r="B5587" s="611">
        <v>44455</v>
      </c>
      <c r="C5587" s="362" t="s">
        <v>81</v>
      </c>
      <c r="D5587" s="562">
        <v>155709799</v>
      </c>
      <c r="E5587" s="562">
        <v>57166045</v>
      </c>
      <c r="F5587" s="562"/>
      <c r="G5587" s="562">
        <f t="shared" si="297"/>
        <v>212875844</v>
      </c>
      <c r="H5587" s="362"/>
      <c r="I5587" s="362"/>
      <c r="J5587" s="362"/>
    </row>
    <row r="5588" spans="1:10" x14ac:dyDescent="0.25">
      <c r="A5588" s="362"/>
      <c r="B5588" s="611">
        <v>44455</v>
      </c>
      <c r="C5588" s="362" t="s">
        <v>84</v>
      </c>
      <c r="D5588" s="562">
        <v>216450519</v>
      </c>
      <c r="E5588" s="562">
        <v>20817191</v>
      </c>
      <c r="F5588" s="562"/>
      <c r="G5588" s="562">
        <f t="shared" si="297"/>
        <v>237267710</v>
      </c>
      <c r="H5588" s="362"/>
      <c r="I5588" s="362"/>
      <c r="J5588" s="362"/>
    </row>
    <row r="5589" spans="1:10" x14ac:dyDescent="0.25">
      <c r="A5589" s="362"/>
      <c r="B5589" s="611">
        <v>44455</v>
      </c>
      <c r="C5589" s="362" t="s">
        <v>4751</v>
      </c>
      <c r="D5589" s="562">
        <v>166402509</v>
      </c>
      <c r="E5589" s="562">
        <v>9128291</v>
      </c>
      <c r="F5589" s="562"/>
      <c r="G5589" s="562">
        <f t="shared" si="297"/>
        <v>175530800</v>
      </c>
      <c r="H5589" s="362"/>
      <c r="I5589" s="362"/>
      <c r="J5589" s="362"/>
    </row>
    <row r="5590" spans="1:10" x14ac:dyDescent="0.25">
      <c r="A5590" s="362"/>
      <c r="B5590" s="611">
        <v>44455</v>
      </c>
      <c r="C5590" s="362" t="s">
        <v>166</v>
      </c>
      <c r="D5590" s="562">
        <v>101211866</v>
      </c>
      <c r="E5590" s="562"/>
      <c r="F5590" s="562"/>
      <c r="G5590" s="562">
        <f t="shared" si="297"/>
        <v>101211866</v>
      </c>
      <c r="H5590" s="362"/>
      <c r="I5590" s="362"/>
      <c r="J5590" s="362"/>
    </row>
    <row r="5591" spans="1:10" x14ac:dyDescent="0.25">
      <c r="A5591" s="362"/>
      <c r="B5591" s="611">
        <v>44455</v>
      </c>
      <c r="C5591" s="362" t="s">
        <v>3435</v>
      </c>
      <c r="D5591" s="562">
        <v>75176426</v>
      </c>
      <c r="E5591" s="562"/>
      <c r="F5591" s="562"/>
      <c r="G5591" s="562">
        <f t="shared" si="297"/>
        <v>75176426</v>
      </c>
      <c r="H5591" s="362"/>
      <c r="I5591" s="362"/>
      <c r="J5591" s="362"/>
    </row>
    <row r="5592" spans="1:10" x14ac:dyDescent="0.25">
      <c r="A5592" s="362"/>
      <c r="B5592" s="611">
        <v>44455</v>
      </c>
      <c r="C5592" s="370" t="s">
        <v>85</v>
      </c>
      <c r="D5592" s="562">
        <v>20655400</v>
      </c>
      <c r="E5592" s="562"/>
      <c r="F5592" s="562"/>
      <c r="G5592" s="562">
        <f t="shared" si="297"/>
        <v>20655400</v>
      </c>
      <c r="H5592" s="362"/>
      <c r="I5592" s="362"/>
      <c r="J5592" s="362"/>
    </row>
    <row r="5593" spans="1:10" x14ac:dyDescent="0.25">
      <c r="A5593" s="532"/>
      <c r="B5593" s="532"/>
      <c r="C5593" s="532"/>
      <c r="D5593" s="564">
        <f>SUM(D5578:D5592)</f>
        <v>1982305805</v>
      </c>
      <c r="E5593" s="564">
        <f t="shared" ref="E5593:G5593" si="298">SUM(E5578:E5592)</f>
        <v>431689364</v>
      </c>
      <c r="F5593" s="564">
        <f t="shared" si="298"/>
        <v>0</v>
      </c>
      <c r="G5593" s="564">
        <f t="shared" si="298"/>
        <v>2413995169</v>
      </c>
      <c r="H5593" s="532"/>
      <c r="I5593" s="532"/>
      <c r="J5593" s="532"/>
    </row>
    <row r="5594" spans="1:10" x14ac:dyDescent="0.25">
      <c r="A5594" s="362"/>
      <c r="B5594" s="611">
        <v>44456</v>
      </c>
      <c r="C5594" s="362" t="s">
        <v>86</v>
      </c>
      <c r="D5594" s="562">
        <v>60659383</v>
      </c>
      <c r="E5594" s="562">
        <v>22428857</v>
      </c>
      <c r="F5594" s="562">
        <v>83088300</v>
      </c>
      <c r="G5594" s="562">
        <f t="shared" si="297"/>
        <v>-60</v>
      </c>
      <c r="H5594" s="362"/>
      <c r="I5594" s="362"/>
      <c r="J5594" s="362"/>
    </row>
    <row r="5595" spans="1:10" x14ac:dyDescent="0.25">
      <c r="A5595" s="362"/>
      <c r="B5595" s="611">
        <v>44456</v>
      </c>
      <c r="C5595" s="362" t="s">
        <v>87</v>
      </c>
      <c r="D5595" s="562">
        <v>87507010</v>
      </c>
      <c r="E5595" s="562">
        <v>114752118</v>
      </c>
      <c r="F5595" s="562">
        <v>202259100</v>
      </c>
      <c r="G5595" s="562">
        <f t="shared" si="297"/>
        <v>28</v>
      </c>
      <c r="H5595" s="362"/>
      <c r="I5595" s="362"/>
      <c r="J5595" s="362"/>
    </row>
    <row r="5596" spans="1:10" x14ac:dyDescent="0.25">
      <c r="A5596" s="362"/>
      <c r="B5596" s="611">
        <v>44456</v>
      </c>
      <c r="C5596" s="362" t="s">
        <v>88</v>
      </c>
      <c r="D5596" s="562">
        <v>152967367</v>
      </c>
      <c r="E5596" s="562">
        <v>90941256</v>
      </c>
      <c r="F5596" s="562">
        <v>243908700</v>
      </c>
      <c r="G5596" s="562">
        <f t="shared" si="297"/>
        <v>-77</v>
      </c>
      <c r="H5596" s="362"/>
      <c r="I5596" s="362"/>
      <c r="J5596" s="362"/>
    </row>
    <row r="5597" spans="1:10" x14ac:dyDescent="0.25">
      <c r="A5597" s="362"/>
      <c r="B5597" s="611">
        <v>44456</v>
      </c>
      <c r="C5597" s="362" t="s">
        <v>82</v>
      </c>
      <c r="D5597" s="562">
        <v>72729949</v>
      </c>
      <c r="E5597" s="562">
        <v>2070420</v>
      </c>
      <c r="F5597" s="562">
        <v>74800400</v>
      </c>
      <c r="G5597" s="562">
        <f t="shared" si="297"/>
        <v>-31</v>
      </c>
      <c r="H5597" s="362"/>
      <c r="I5597" s="362"/>
      <c r="J5597" s="362"/>
    </row>
    <row r="5598" spans="1:10" x14ac:dyDescent="0.25">
      <c r="A5598" s="362"/>
      <c r="B5598" s="611">
        <v>44456</v>
      </c>
      <c r="C5598" s="362" t="s">
        <v>80</v>
      </c>
      <c r="D5598" s="562">
        <v>317498363</v>
      </c>
      <c r="E5598" s="562">
        <v>51813600</v>
      </c>
      <c r="F5598" s="562">
        <v>369311600</v>
      </c>
      <c r="G5598" s="562">
        <f t="shared" si="297"/>
        <v>363</v>
      </c>
      <c r="H5598" s="362"/>
      <c r="I5598" s="362"/>
      <c r="J5598" s="362"/>
    </row>
    <row r="5599" spans="1:10" x14ac:dyDescent="0.25">
      <c r="A5599" s="362"/>
      <c r="B5599" s="611">
        <v>44456</v>
      </c>
      <c r="C5599" s="362" t="s">
        <v>83</v>
      </c>
      <c r="D5599" s="562">
        <v>130762076</v>
      </c>
      <c r="E5599" s="562">
        <v>85966187</v>
      </c>
      <c r="F5599" s="562">
        <v>216728300</v>
      </c>
      <c r="G5599" s="562">
        <f t="shared" si="297"/>
        <v>-37</v>
      </c>
      <c r="H5599" s="362"/>
      <c r="I5599" s="362"/>
      <c r="J5599" s="362"/>
    </row>
    <row r="5600" spans="1:10" x14ac:dyDescent="0.25">
      <c r="A5600" s="362"/>
      <c r="B5600" s="611">
        <v>44456</v>
      </c>
      <c r="C5600" s="362" t="s">
        <v>78</v>
      </c>
      <c r="D5600" s="562">
        <v>122343394</v>
      </c>
      <c r="E5600" s="562">
        <v>5347406</v>
      </c>
      <c r="F5600" s="562">
        <v>127690800</v>
      </c>
      <c r="G5600" s="562">
        <f t="shared" si="297"/>
        <v>0</v>
      </c>
      <c r="H5600" s="362"/>
      <c r="I5600" s="362"/>
      <c r="J5600" s="362"/>
    </row>
    <row r="5601" spans="1:10" x14ac:dyDescent="0.25">
      <c r="A5601" s="362"/>
      <c r="B5601" s="611">
        <v>44456</v>
      </c>
      <c r="C5601" s="362" t="s">
        <v>141</v>
      </c>
      <c r="D5601" s="562">
        <v>71583378</v>
      </c>
      <c r="E5601" s="562"/>
      <c r="F5601" s="562">
        <v>71583400</v>
      </c>
      <c r="G5601" s="562">
        <f t="shared" si="297"/>
        <v>-22</v>
      </c>
      <c r="H5601" s="362"/>
      <c r="I5601" s="362"/>
      <c r="J5601" s="362"/>
    </row>
    <row r="5602" spans="1:10" x14ac:dyDescent="0.25">
      <c r="A5602" s="362"/>
      <c r="B5602" s="611">
        <v>44456</v>
      </c>
      <c r="C5602" s="362" t="s">
        <v>89</v>
      </c>
      <c r="D5602" s="562">
        <v>131580591</v>
      </c>
      <c r="E5602" s="562">
        <v>49918309</v>
      </c>
      <c r="F5602" s="562">
        <v>181494900</v>
      </c>
      <c r="G5602" s="562">
        <f t="shared" si="297"/>
        <v>4000</v>
      </c>
      <c r="H5602" s="362"/>
      <c r="I5602" s="362"/>
      <c r="J5602" s="362"/>
    </row>
    <row r="5603" spans="1:10" x14ac:dyDescent="0.25">
      <c r="A5603" s="362"/>
      <c r="B5603" s="611">
        <v>44456</v>
      </c>
      <c r="C5603" s="362" t="s">
        <v>81</v>
      </c>
      <c r="D5603" s="562">
        <v>62350211</v>
      </c>
      <c r="E5603" s="562">
        <v>9426180</v>
      </c>
      <c r="F5603" s="562">
        <v>71776400</v>
      </c>
      <c r="G5603" s="562">
        <f t="shared" si="297"/>
        <v>-9</v>
      </c>
      <c r="H5603" s="362"/>
      <c r="I5603" s="362"/>
      <c r="J5603" s="362"/>
    </row>
    <row r="5604" spans="1:10" x14ac:dyDescent="0.25">
      <c r="A5604" s="362"/>
      <c r="B5604" s="611">
        <v>44456</v>
      </c>
      <c r="C5604" s="362" t="s">
        <v>84</v>
      </c>
      <c r="D5604" s="562">
        <v>156119667</v>
      </c>
      <c r="E5604" s="562">
        <v>6743786</v>
      </c>
      <c r="F5604" s="562">
        <v>162863500</v>
      </c>
      <c r="G5604" s="562">
        <f t="shared" si="297"/>
        <v>-47</v>
      </c>
      <c r="H5604" s="362"/>
      <c r="I5604" s="362"/>
      <c r="J5604" s="362"/>
    </row>
    <row r="5605" spans="1:10" x14ac:dyDescent="0.25">
      <c r="A5605" s="362"/>
      <c r="B5605" s="611">
        <v>44456</v>
      </c>
      <c r="C5605" s="362" t="s">
        <v>4751</v>
      </c>
      <c r="D5605" s="562">
        <v>163279116</v>
      </c>
      <c r="E5605" s="562">
        <v>26673284</v>
      </c>
      <c r="F5605" s="562">
        <v>189952400</v>
      </c>
      <c r="G5605" s="562">
        <f t="shared" si="297"/>
        <v>0</v>
      </c>
      <c r="H5605" s="362"/>
      <c r="I5605" s="362"/>
      <c r="J5605" s="362"/>
    </row>
    <row r="5606" spans="1:10" x14ac:dyDescent="0.25">
      <c r="A5606" s="362"/>
      <c r="B5606" s="611">
        <v>44456</v>
      </c>
      <c r="C5606" s="362" t="s">
        <v>166</v>
      </c>
      <c r="D5606" s="562">
        <v>34095468</v>
      </c>
      <c r="E5606" s="562"/>
      <c r="F5606" s="562">
        <v>34095500</v>
      </c>
      <c r="G5606" s="562">
        <f t="shared" si="297"/>
        <v>-32</v>
      </c>
      <c r="H5606" s="362"/>
      <c r="I5606" s="362"/>
      <c r="J5606" s="362"/>
    </row>
    <row r="5607" spans="1:10" x14ac:dyDescent="0.25">
      <c r="A5607" s="362"/>
      <c r="B5607" s="611">
        <v>44456</v>
      </c>
      <c r="C5607" s="362" t="s">
        <v>3435</v>
      </c>
      <c r="D5607" s="562">
        <v>86982863</v>
      </c>
      <c r="E5607" s="562"/>
      <c r="F5607" s="562">
        <v>86982900</v>
      </c>
      <c r="G5607" s="562">
        <f t="shared" si="297"/>
        <v>-37</v>
      </c>
      <c r="H5607" s="362"/>
      <c r="I5607" s="362"/>
      <c r="J5607" s="362"/>
    </row>
    <row r="5608" spans="1:10" x14ac:dyDescent="0.25">
      <c r="A5608" s="362"/>
      <c r="B5608" s="611">
        <v>44456</v>
      </c>
      <c r="C5608" s="370" t="s">
        <v>85</v>
      </c>
      <c r="D5608" s="562">
        <v>24079400</v>
      </c>
      <c r="E5608" s="562"/>
      <c r="F5608" s="562">
        <v>24079400</v>
      </c>
      <c r="G5608" s="562">
        <f t="shared" si="297"/>
        <v>0</v>
      </c>
      <c r="H5608" s="362"/>
      <c r="I5608" s="362"/>
      <c r="J5608" s="362"/>
    </row>
    <row r="5609" spans="1:10" x14ac:dyDescent="0.25">
      <c r="A5609" s="532"/>
      <c r="B5609" s="532"/>
      <c r="C5609" s="532"/>
      <c r="D5609" s="564">
        <f>SUM(D5594:D5608)</f>
        <v>1674538236</v>
      </c>
      <c r="E5609" s="564">
        <f t="shared" ref="E5609:G5609" si="299">SUM(E5594:E5608)</f>
        <v>466081403</v>
      </c>
      <c r="F5609" s="564">
        <f t="shared" si="299"/>
        <v>2140615600</v>
      </c>
      <c r="G5609" s="564">
        <f t="shared" si="299"/>
        <v>4039</v>
      </c>
      <c r="H5609" s="532"/>
      <c r="I5609" s="532"/>
      <c r="J5609" s="532"/>
    </row>
    <row r="5610" spans="1:10" x14ac:dyDescent="0.25">
      <c r="A5610" s="362"/>
      <c r="B5610" s="611">
        <v>44457</v>
      </c>
      <c r="C5610" s="362" t="s">
        <v>86</v>
      </c>
      <c r="D5610" s="562">
        <v>75960880</v>
      </c>
      <c r="E5610" s="562">
        <v>9248529</v>
      </c>
      <c r="F5610" s="562">
        <v>85209400</v>
      </c>
      <c r="G5610" s="562">
        <f t="shared" si="297"/>
        <v>9</v>
      </c>
      <c r="H5610" s="362"/>
      <c r="I5610" s="362"/>
      <c r="J5610" s="362"/>
    </row>
    <row r="5611" spans="1:10" x14ac:dyDescent="0.25">
      <c r="A5611" s="362"/>
      <c r="B5611" s="611">
        <v>44457</v>
      </c>
      <c r="C5611" s="362" t="s">
        <v>87</v>
      </c>
      <c r="D5611" s="562">
        <v>97659136</v>
      </c>
      <c r="E5611" s="562">
        <v>43506826</v>
      </c>
      <c r="F5611" s="562">
        <f>113154500+28009400</f>
        <v>141163900</v>
      </c>
      <c r="G5611" s="562">
        <f t="shared" si="297"/>
        <v>2062</v>
      </c>
      <c r="H5611" s="362"/>
      <c r="I5611" s="362"/>
      <c r="J5611" s="362"/>
    </row>
    <row r="5612" spans="1:10" x14ac:dyDescent="0.25">
      <c r="A5612" s="362"/>
      <c r="B5612" s="611">
        <v>44457</v>
      </c>
      <c r="C5612" s="362" t="s">
        <v>88</v>
      </c>
      <c r="D5612" s="562">
        <v>348104489</v>
      </c>
      <c r="E5612" s="562">
        <v>11439568</v>
      </c>
      <c r="F5612" s="562">
        <v>359544100</v>
      </c>
      <c r="G5612" s="562">
        <f t="shared" si="297"/>
        <v>-43</v>
      </c>
      <c r="H5612" s="562"/>
      <c r="I5612" s="362"/>
      <c r="J5612" s="362"/>
    </row>
    <row r="5613" spans="1:10" x14ac:dyDescent="0.25">
      <c r="A5613" s="362"/>
      <c r="B5613" s="611">
        <v>44457</v>
      </c>
      <c r="C5613" s="362" t="s">
        <v>82</v>
      </c>
      <c r="D5613" s="562">
        <v>36914781</v>
      </c>
      <c r="E5613" s="562">
        <v>8782110</v>
      </c>
      <c r="F5613" s="562">
        <v>45696900</v>
      </c>
      <c r="G5613" s="562">
        <f t="shared" si="297"/>
        <v>-9</v>
      </c>
      <c r="H5613" s="562"/>
      <c r="I5613" s="362"/>
      <c r="J5613" s="362"/>
    </row>
    <row r="5614" spans="1:10" x14ac:dyDescent="0.25">
      <c r="A5614" s="362"/>
      <c r="B5614" s="611">
        <v>44457</v>
      </c>
      <c r="C5614" s="362" t="s">
        <v>80</v>
      </c>
      <c r="D5614" s="562">
        <v>270268560</v>
      </c>
      <c r="E5614" s="562">
        <v>46223340</v>
      </c>
      <c r="F5614" s="562">
        <v>316491900</v>
      </c>
      <c r="G5614" s="562">
        <f t="shared" si="297"/>
        <v>0</v>
      </c>
      <c r="H5614" s="562"/>
      <c r="I5614" s="362"/>
      <c r="J5614" s="362"/>
    </row>
    <row r="5615" spans="1:10" x14ac:dyDescent="0.25">
      <c r="A5615" s="362"/>
      <c r="B5615" s="611">
        <v>44457</v>
      </c>
      <c r="C5615" s="362" t="s">
        <v>83</v>
      </c>
      <c r="D5615" s="562">
        <v>222779643</v>
      </c>
      <c r="E5615" s="562">
        <v>116815274</v>
      </c>
      <c r="F5615" s="562">
        <v>339595000</v>
      </c>
      <c r="G5615" s="562">
        <f t="shared" si="297"/>
        <v>-83</v>
      </c>
      <c r="H5615" s="562"/>
      <c r="I5615" s="362"/>
      <c r="J5615" s="362"/>
    </row>
    <row r="5616" spans="1:10" x14ac:dyDescent="0.25">
      <c r="A5616" s="362"/>
      <c r="B5616" s="611">
        <v>44457</v>
      </c>
      <c r="C5616" s="362" t="s">
        <v>78</v>
      </c>
      <c r="D5616" s="562">
        <v>163947693</v>
      </c>
      <c r="E5616" s="562">
        <v>8699507</v>
      </c>
      <c r="F5616" s="562">
        <v>172647200</v>
      </c>
      <c r="G5616" s="562">
        <f t="shared" si="297"/>
        <v>0</v>
      </c>
      <c r="H5616" s="562"/>
      <c r="I5616" s="362"/>
      <c r="J5616" s="362"/>
    </row>
    <row r="5617" spans="1:10" x14ac:dyDescent="0.25">
      <c r="A5617" s="362"/>
      <c r="B5617" s="611">
        <v>44457</v>
      </c>
      <c r="C5617" s="362" t="s">
        <v>141</v>
      </c>
      <c r="D5617" s="562">
        <v>38660141</v>
      </c>
      <c r="E5617" s="562"/>
      <c r="F5617" s="562">
        <v>38660200</v>
      </c>
      <c r="G5617" s="562">
        <f t="shared" si="297"/>
        <v>-59</v>
      </c>
      <c r="H5617" s="562"/>
      <c r="I5617" s="362"/>
      <c r="J5617" s="362"/>
    </row>
    <row r="5618" spans="1:10" x14ac:dyDescent="0.25">
      <c r="A5618" s="362"/>
      <c r="B5618" s="611">
        <v>44457</v>
      </c>
      <c r="C5618" s="362" t="s">
        <v>89</v>
      </c>
      <c r="D5618" s="562">
        <v>88351740</v>
      </c>
      <c r="E5618" s="562">
        <v>67956960</v>
      </c>
      <c r="F5618" s="562">
        <v>156308600</v>
      </c>
      <c r="G5618" s="562">
        <f t="shared" si="297"/>
        <v>100</v>
      </c>
      <c r="H5618" s="562"/>
      <c r="I5618" s="362"/>
      <c r="J5618" s="362"/>
    </row>
    <row r="5619" spans="1:10" x14ac:dyDescent="0.25">
      <c r="A5619" s="362"/>
      <c r="B5619" s="611">
        <v>44457</v>
      </c>
      <c r="C5619" s="362" t="s">
        <v>81</v>
      </c>
      <c r="D5619" s="562">
        <v>88283281</v>
      </c>
      <c r="E5619" s="562">
        <v>29573389</v>
      </c>
      <c r="F5619" s="562">
        <f>47082200+70774500</f>
        <v>117856700</v>
      </c>
      <c r="G5619" s="562">
        <f t="shared" si="297"/>
        <v>-30</v>
      </c>
      <c r="H5619" s="562"/>
      <c r="I5619" s="362"/>
      <c r="J5619" s="362"/>
    </row>
    <row r="5620" spans="1:10" x14ac:dyDescent="0.25">
      <c r="A5620" s="362"/>
      <c r="B5620" s="611">
        <v>44457</v>
      </c>
      <c r="C5620" s="362" t="s">
        <v>84</v>
      </c>
      <c r="D5620" s="562">
        <v>207818561</v>
      </c>
      <c r="E5620" s="562">
        <v>7591210</v>
      </c>
      <c r="F5620" s="562">
        <v>215409800</v>
      </c>
      <c r="G5620" s="562">
        <f t="shared" si="297"/>
        <v>-29</v>
      </c>
      <c r="H5620" s="562"/>
      <c r="I5620" s="362"/>
      <c r="J5620" s="362"/>
    </row>
    <row r="5621" spans="1:10" x14ac:dyDescent="0.25">
      <c r="A5621" s="362"/>
      <c r="B5621" s="611">
        <v>44457</v>
      </c>
      <c r="C5621" s="362" t="s">
        <v>4751</v>
      </c>
      <c r="D5621" s="562">
        <v>178864922</v>
      </c>
      <c r="E5621" s="562">
        <v>7103578</v>
      </c>
      <c r="F5621" s="562">
        <v>185968500</v>
      </c>
      <c r="G5621" s="562">
        <f t="shared" si="297"/>
        <v>0</v>
      </c>
      <c r="H5621" s="562"/>
      <c r="I5621" s="362"/>
      <c r="J5621" s="362"/>
    </row>
    <row r="5622" spans="1:10" x14ac:dyDescent="0.25">
      <c r="A5622" s="362"/>
      <c r="B5622" s="611">
        <v>44457</v>
      </c>
      <c r="C5622" s="362" t="s">
        <v>166</v>
      </c>
      <c r="D5622" s="562"/>
      <c r="E5622" s="562"/>
      <c r="F5622" s="562"/>
      <c r="G5622" s="562">
        <f t="shared" si="297"/>
        <v>0</v>
      </c>
      <c r="H5622" s="562"/>
      <c r="I5622" s="362"/>
      <c r="J5622" s="362"/>
    </row>
    <row r="5623" spans="1:10" x14ac:dyDescent="0.25">
      <c r="A5623" s="362"/>
      <c r="B5623" s="611">
        <v>44457</v>
      </c>
      <c r="C5623" s="362" t="s">
        <v>3435</v>
      </c>
      <c r="D5623" s="562"/>
      <c r="E5623" s="562"/>
      <c r="F5623" s="562"/>
      <c r="G5623" s="562">
        <f t="shared" si="297"/>
        <v>0</v>
      </c>
      <c r="H5623" s="562"/>
      <c r="I5623" s="362"/>
      <c r="J5623" s="362"/>
    </row>
    <row r="5624" spans="1:10" x14ac:dyDescent="0.25">
      <c r="A5624" s="362"/>
      <c r="B5624" s="611">
        <v>44457</v>
      </c>
      <c r="C5624" s="370" t="s">
        <v>85</v>
      </c>
      <c r="D5624" s="562">
        <v>25798900</v>
      </c>
      <c r="E5624" s="562"/>
      <c r="F5624" s="562">
        <v>25798900</v>
      </c>
      <c r="G5624" s="562">
        <f t="shared" si="297"/>
        <v>0</v>
      </c>
      <c r="H5624" s="562"/>
      <c r="I5624" s="362"/>
      <c r="J5624" s="362"/>
    </row>
    <row r="5625" spans="1:10" x14ac:dyDescent="0.25">
      <c r="A5625" s="532"/>
      <c r="B5625" s="532"/>
      <c r="C5625" s="532"/>
      <c r="D5625" s="564">
        <f>SUM(D5610:D5624)</f>
        <v>1843412727</v>
      </c>
      <c r="E5625" s="564">
        <f t="shared" ref="E5625:G5625" si="300">SUM(E5610:E5624)</f>
        <v>356940291</v>
      </c>
      <c r="F5625" s="564">
        <f t="shared" si="300"/>
        <v>2200351100</v>
      </c>
      <c r="G5625" s="564">
        <f t="shared" si="300"/>
        <v>1918</v>
      </c>
      <c r="H5625" s="564"/>
      <c r="I5625" s="532"/>
      <c r="J5625" s="532"/>
    </row>
    <row r="5626" spans="1:10" x14ac:dyDescent="0.25">
      <c r="A5626" s="362"/>
      <c r="B5626" s="611">
        <v>44459</v>
      </c>
      <c r="C5626" s="362" t="s">
        <v>86</v>
      </c>
      <c r="D5626" s="562">
        <v>56337739</v>
      </c>
      <c r="E5626" s="562">
        <v>85440092</v>
      </c>
      <c r="F5626" s="562"/>
      <c r="G5626" s="562">
        <f t="shared" si="297"/>
        <v>141777831</v>
      </c>
      <c r="H5626" s="562"/>
      <c r="I5626" s="362"/>
      <c r="J5626" s="362"/>
    </row>
    <row r="5627" spans="1:10" x14ac:dyDescent="0.25">
      <c r="A5627" s="362"/>
      <c r="B5627" s="611">
        <v>44459</v>
      </c>
      <c r="C5627" s="362" t="s">
        <v>87</v>
      </c>
      <c r="D5627" s="562">
        <v>106960461</v>
      </c>
      <c r="E5627" s="562">
        <v>11890655</v>
      </c>
      <c r="F5627" s="562"/>
      <c r="G5627" s="562">
        <f t="shared" si="297"/>
        <v>118851116</v>
      </c>
      <c r="H5627" s="562"/>
      <c r="I5627" s="362"/>
      <c r="J5627" s="362"/>
    </row>
    <row r="5628" spans="1:10" x14ac:dyDescent="0.25">
      <c r="A5628" s="362"/>
      <c r="B5628" s="611">
        <v>44459</v>
      </c>
      <c r="C5628" s="362" t="s">
        <v>88</v>
      </c>
      <c r="D5628" s="562">
        <v>141605005</v>
      </c>
      <c r="E5628" s="562">
        <v>58404092</v>
      </c>
      <c r="F5628" s="562"/>
      <c r="G5628" s="562">
        <f t="shared" si="297"/>
        <v>200009097</v>
      </c>
      <c r="H5628" s="562"/>
      <c r="I5628" s="362"/>
      <c r="J5628" s="362"/>
    </row>
    <row r="5629" spans="1:10" x14ac:dyDescent="0.25">
      <c r="A5629" s="362"/>
      <c r="B5629" s="611">
        <v>44459</v>
      </c>
      <c r="C5629" s="362" t="s">
        <v>82</v>
      </c>
      <c r="D5629" s="562">
        <v>47967832</v>
      </c>
      <c r="E5629" s="562">
        <v>2275248</v>
      </c>
      <c r="F5629" s="562"/>
      <c r="G5629" s="562">
        <f t="shared" si="297"/>
        <v>50243080</v>
      </c>
      <c r="H5629" s="562"/>
      <c r="I5629" s="362"/>
      <c r="J5629" s="362"/>
    </row>
    <row r="5630" spans="1:10" x14ac:dyDescent="0.25">
      <c r="A5630" s="362"/>
      <c r="B5630" s="611">
        <v>44459</v>
      </c>
      <c r="C5630" s="362" t="s">
        <v>80</v>
      </c>
      <c r="D5630" s="562">
        <v>240773700</v>
      </c>
      <c r="E5630" s="562"/>
      <c r="F5630" s="562"/>
      <c r="G5630" s="562">
        <f t="shared" si="297"/>
        <v>240773700</v>
      </c>
      <c r="H5630" s="562"/>
      <c r="I5630" s="362"/>
      <c r="J5630" s="362"/>
    </row>
    <row r="5631" spans="1:10" x14ac:dyDescent="0.25">
      <c r="A5631" s="362"/>
      <c r="B5631" s="611">
        <v>44459</v>
      </c>
      <c r="C5631" s="362" t="s">
        <v>83</v>
      </c>
      <c r="D5631" s="562">
        <v>217548078</v>
      </c>
      <c r="E5631" s="562">
        <v>118106665</v>
      </c>
      <c r="F5631" s="562"/>
      <c r="G5631" s="562">
        <f t="shared" si="297"/>
        <v>335654743</v>
      </c>
      <c r="H5631" s="562"/>
      <c r="I5631" s="362"/>
      <c r="J5631" s="362"/>
    </row>
    <row r="5632" spans="1:10" x14ac:dyDescent="0.25">
      <c r="A5632" s="362"/>
      <c r="B5632" s="611">
        <v>44459</v>
      </c>
      <c r="C5632" s="362" t="s">
        <v>78</v>
      </c>
      <c r="D5632" s="562">
        <v>195039167</v>
      </c>
      <c r="E5632" s="562">
        <v>768733</v>
      </c>
      <c r="F5632" s="562"/>
      <c r="G5632" s="562">
        <f t="shared" si="297"/>
        <v>195807900</v>
      </c>
      <c r="H5632" s="562"/>
      <c r="I5632" s="362"/>
      <c r="J5632" s="362"/>
    </row>
    <row r="5633" spans="1:10" x14ac:dyDescent="0.25">
      <c r="A5633" s="362"/>
      <c r="B5633" s="611">
        <v>44459</v>
      </c>
      <c r="C5633" s="362" t="s">
        <v>141</v>
      </c>
      <c r="D5633" s="562">
        <v>48000974</v>
      </c>
      <c r="E5633" s="562">
        <v>18486927</v>
      </c>
      <c r="F5633" s="562"/>
      <c r="G5633" s="562">
        <f t="shared" si="297"/>
        <v>66487901</v>
      </c>
      <c r="H5633" s="562"/>
      <c r="I5633" s="362"/>
      <c r="J5633" s="362"/>
    </row>
    <row r="5634" spans="1:10" x14ac:dyDescent="0.25">
      <c r="A5634" s="362"/>
      <c r="B5634" s="611">
        <v>44459</v>
      </c>
      <c r="C5634" s="362" t="s">
        <v>89</v>
      </c>
      <c r="D5634" s="562">
        <v>154695478</v>
      </c>
      <c r="E5634" s="562">
        <v>105290122</v>
      </c>
      <c r="F5634" s="562"/>
      <c r="G5634" s="562">
        <f t="shared" si="297"/>
        <v>259985600</v>
      </c>
      <c r="H5634" s="562"/>
      <c r="I5634" s="362"/>
      <c r="J5634" s="362"/>
    </row>
    <row r="5635" spans="1:10" x14ac:dyDescent="0.25">
      <c r="A5635" s="362"/>
      <c r="B5635" s="611">
        <v>44459</v>
      </c>
      <c r="C5635" s="362" t="s">
        <v>81</v>
      </c>
      <c r="D5635" s="562">
        <v>124676057</v>
      </c>
      <c r="E5635" s="562">
        <v>13788675</v>
      </c>
      <c r="F5635" s="562"/>
      <c r="G5635" s="562">
        <f t="shared" si="297"/>
        <v>138464732</v>
      </c>
      <c r="H5635" s="562"/>
      <c r="I5635" s="362"/>
      <c r="J5635" s="362"/>
    </row>
    <row r="5636" spans="1:10" x14ac:dyDescent="0.25">
      <c r="A5636" s="362"/>
      <c r="B5636" s="611">
        <v>44459</v>
      </c>
      <c r="C5636" s="362" t="s">
        <v>84</v>
      </c>
      <c r="D5636" s="562">
        <v>265180793</v>
      </c>
      <c r="E5636" s="562">
        <v>8728654</v>
      </c>
      <c r="F5636" s="562"/>
      <c r="G5636" s="562">
        <f t="shared" si="297"/>
        <v>273909447</v>
      </c>
      <c r="H5636" s="562"/>
      <c r="I5636" s="362"/>
      <c r="J5636" s="362"/>
    </row>
    <row r="5637" spans="1:10" x14ac:dyDescent="0.25">
      <c r="A5637" s="362"/>
      <c r="B5637" s="611">
        <v>44459</v>
      </c>
      <c r="C5637" s="362" t="s">
        <v>4751</v>
      </c>
      <c r="D5637" s="562">
        <v>221270541</v>
      </c>
      <c r="E5637" s="562">
        <v>12411959</v>
      </c>
      <c r="F5637" s="562"/>
      <c r="G5637" s="562">
        <f t="shared" si="297"/>
        <v>233682500</v>
      </c>
      <c r="H5637" s="562"/>
      <c r="I5637" s="362"/>
      <c r="J5637" s="362"/>
    </row>
    <row r="5638" spans="1:10" x14ac:dyDescent="0.25">
      <c r="A5638" s="362"/>
      <c r="B5638" s="611">
        <v>44459</v>
      </c>
      <c r="C5638" s="362" t="s">
        <v>166</v>
      </c>
      <c r="D5638" s="562">
        <v>57984884</v>
      </c>
      <c r="E5638" s="562"/>
      <c r="F5638" s="562"/>
      <c r="G5638" s="562">
        <f t="shared" si="297"/>
        <v>57984884</v>
      </c>
      <c r="H5638" s="562"/>
      <c r="I5638" s="362"/>
      <c r="J5638" s="362"/>
    </row>
    <row r="5639" spans="1:10" x14ac:dyDescent="0.25">
      <c r="A5639" s="362"/>
      <c r="B5639" s="611">
        <v>44459</v>
      </c>
      <c r="C5639" s="362" t="s">
        <v>3435</v>
      </c>
      <c r="D5639" s="562">
        <v>43362954</v>
      </c>
      <c r="E5639" s="562"/>
      <c r="F5639" s="562"/>
      <c r="G5639" s="562">
        <f t="shared" si="297"/>
        <v>43362954</v>
      </c>
      <c r="H5639" s="562"/>
      <c r="I5639" s="362"/>
      <c r="J5639" s="362"/>
    </row>
    <row r="5640" spans="1:10" x14ac:dyDescent="0.25">
      <c r="A5640" s="362"/>
      <c r="B5640" s="611">
        <v>44459</v>
      </c>
      <c r="C5640" s="370" t="s">
        <v>85</v>
      </c>
      <c r="D5640" s="562">
        <v>61207900</v>
      </c>
      <c r="E5640" s="562"/>
      <c r="F5640" s="562"/>
      <c r="G5640" s="562">
        <f t="shared" si="297"/>
        <v>61207900</v>
      </c>
      <c r="H5640" s="562"/>
      <c r="I5640" s="362"/>
      <c r="J5640" s="362"/>
    </row>
    <row r="5641" spans="1:10" x14ac:dyDescent="0.25">
      <c r="A5641" s="532"/>
      <c r="B5641" s="532"/>
      <c r="C5641" s="532"/>
      <c r="D5641" s="564">
        <f>SUM(D5626:D5640)</f>
        <v>1982611563</v>
      </c>
      <c r="E5641" s="564">
        <f t="shared" ref="E5641:G5641" si="301">SUM(E5626:E5640)</f>
        <v>435591822</v>
      </c>
      <c r="F5641" s="564">
        <f t="shared" si="301"/>
        <v>0</v>
      </c>
      <c r="G5641" s="564">
        <f t="shared" si="301"/>
        <v>2418203385</v>
      </c>
      <c r="H5641" s="564"/>
      <c r="I5641" s="532"/>
      <c r="J5641" s="532"/>
    </row>
    <row r="5642" spans="1:10" x14ac:dyDescent="0.25">
      <c r="A5642" s="362"/>
      <c r="B5642" s="611">
        <v>44460</v>
      </c>
      <c r="C5642" s="362" t="s">
        <v>86</v>
      </c>
      <c r="D5642" s="562">
        <v>80994730</v>
      </c>
      <c r="E5642" s="562">
        <v>50540266</v>
      </c>
      <c r="F5642" s="562">
        <v>131535500</v>
      </c>
      <c r="G5642" s="562">
        <f t="shared" si="297"/>
        <v>-504</v>
      </c>
      <c r="H5642" s="562"/>
      <c r="I5642" s="362"/>
      <c r="J5642" s="362"/>
    </row>
    <row r="5643" spans="1:10" x14ac:dyDescent="0.25">
      <c r="A5643" s="362"/>
      <c r="B5643" s="611">
        <v>44460</v>
      </c>
      <c r="C5643" s="362" t="s">
        <v>87</v>
      </c>
      <c r="D5643" s="562">
        <v>90691442</v>
      </c>
      <c r="E5643" s="562">
        <v>99454359</v>
      </c>
      <c r="F5643" s="562">
        <v>190145900</v>
      </c>
      <c r="G5643" s="562">
        <f t="shared" si="297"/>
        <v>-99</v>
      </c>
      <c r="H5643" s="562"/>
      <c r="I5643" s="362"/>
      <c r="J5643" s="362"/>
    </row>
    <row r="5644" spans="1:10" x14ac:dyDescent="0.25">
      <c r="A5644" s="362"/>
      <c r="B5644" s="611">
        <v>44460</v>
      </c>
      <c r="C5644" s="362" t="s">
        <v>88</v>
      </c>
      <c r="D5644" s="562">
        <v>144622196</v>
      </c>
      <c r="E5644" s="562">
        <v>118087100</v>
      </c>
      <c r="F5644" s="562">
        <v>262709400</v>
      </c>
      <c r="G5644" s="562">
        <f t="shared" ref="G5644:G5707" si="302">D5644+E5644-F5644</f>
        <v>-104</v>
      </c>
      <c r="H5644" s="562"/>
      <c r="I5644" s="362"/>
      <c r="J5644" s="362"/>
    </row>
    <row r="5645" spans="1:10" x14ac:dyDescent="0.25">
      <c r="A5645" s="362"/>
      <c r="B5645" s="611">
        <v>44460</v>
      </c>
      <c r="C5645" s="362" t="s">
        <v>82</v>
      </c>
      <c r="D5645" s="562">
        <v>68889914</v>
      </c>
      <c r="E5645" s="562">
        <v>12721504</v>
      </c>
      <c r="F5645" s="562">
        <v>81611500</v>
      </c>
      <c r="G5645" s="562">
        <f t="shared" si="302"/>
        <v>-82</v>
      </c>
      <c r="H5645" s="562"/>
      <c r="I5645" s="362"/>
      <c r="J5645" s="362"/>
    </row>
    <row r="5646" spans="1:10" x14ac:dyDescent="0.25">
      <c r="A5646" s="362"/>
      <c r="B5646" s="611">
        <v>44460</v>
      </c>
      <c r="C5646" s="362" t="s">
        <v>80</v>
      </c>
      <c r="D5646" s="562">
        <v>245274177</v>
      </c>
      <c r="E5646" s="562"/>
      <c r="F5646" s="562">
        <v>245307200</v>
      </c>
      <c r="G5646" s="562">
        <f t="shared" si="302"/>
        <v>-33023</v>
      </c>
      <c r="H5646" s="562"/>
      <c r="I5646" s="362"/>
      <c r="J5646" s="362"/>
    </row>
    <row r="5647" spans="1:10" x14ac:dyDescent="0.25">
      <c r="A5647" s="362"/>
      <c r="B5647" s="611">
        <v>44460</v>
      </c>
      <c r="C5647" s="362" t="s">
        <v>83</v>
      </c>
      <c r="D5647" s="562">
        <v>262750503</v>
      </c>
      <c r="E5647" s="562">
        <v>136398325</v>
      </c>
      <c r="F5647" s="562">
        <v>399148800</v>
      </c>
      <c r="G5647" s="562">
        <f t="shared" si="302"/>
        <v>28</v>
      </c>
      <c r="H5647" s="562"/>
      <c r="I5647" s="362"/>
      <c r="J5647" s="362"/>
    </row>
    <row r="5648" spans="1:10" x14ac:dyDescent="0.25">
      <c r="A5648" s="362"/>
      <c r="B5648" s="611">
        <v>44460</v>
      </c>
      <c r="C5648" s="362" t="s">
        <v>78</v>
      </c>
      <c r="D5648" s="562">
        <v>88975753</v>
      </c>
      <c r="E5648" s="562">
        <v>1515547</v>
      </c>
      <c r="F5648" s="562">
        <v>90491300</v>
      </c>
      <c r="G5648" s="562">
        <f t="shared" si="302"/>
        <v>0</v>
      </c>
      <c r="H5648" s="562"/>
      <c r="I5648" s="362"/>
      <c r="J5648" s="362"/>
    </row>
    <row r="5649" spans="1:10" x14ac:dyDescent="0.25">
      <c r="A5649" s="362"/>
      <c r="B5649" s="611">
        <v>44460</v>
      </c>
      <c r="C5649" s="362" t="s">
        <v>141</v>
      </c>
      <c r="D5649" s="562">
        <v>83070819</v>
      </c>
      <c r="E5649" s="562">
        <v>245434</v>
      </c>
      <c r="F5649" s="562">
        <v>83315300</v>
      </c>
      <c r="G5649" s="562">
        <f t="shared" si="302"/>
        <v>953</v>
      </c>
      <c r="H5649" s="562"/>
      <c r="I5649" s="362"/>
      <c r="J5649" s="362"/>
    </row>
    <row r="5650" spans="1:10" x14ac:dyDescent="0.25">
      <c r="A5650" s="362"/>
      <c r="B5650" s="611">
        <v>44460</v>
      </c>
      <c r="C5650" s="362" t="s">
        <v>89</v>
      </c>
      <c r="D5650" s="562">
        <v>172230144</v>
      </c>
      <c r="E5650" s="562">
        <v>47588556</v>
      </c>
      <c r="F5650" s="562">
        <v>219819000</v>
      </c>
      <c r="G5650" s="562">
        <f t="shared" si="302"/>
        <v>-300</v>
      </c>
      <c r="H5650" s="562"/>
      <c r="I5650" s="362"/>
      <c r="J5650" s="362"/>
    </row>
    <row r="5651" spans="1:10" x14ac:dyDescent="0.25">
      <c r="A5651" s="362"/>
      <c r="B5651" s="611">
        <v>44460</v>
      </c>
      <c r="C5651" s="362" t="s">
        <v>81</v>
      </c>
      <c r="D5651" s="562">
        <v>102757618</v>
      </c>
      <c r="E5651" s="562">
        <v>10526608</v>
      </c>
      <c r="F5651" s="562">
        <v>113284300</v>
      </c>
      <c r="G5651" s="562">
        <f t="shared" si="302"/>
        <v>-74</v>
      </c>
      <c r="H5651" s="562"/>
      <c r="I5651" s="362"/>
      <c r="J5651" s="362"/>
    </row>
    <row r="5652" spans="1:10" x14ac:dyDescent="0.25">
      <c r="A5652" s="362"/>
      <c r="B5652" s="611">
        <v>44460</v>
      </c>
      <c r="C5652" s="362" t="s">
        <v>84</v>
      </c>
      <c r="D5652" s="562">
        <v>243372295</v>
      </c>
      <c r="E5652" s="562">
        <v>10586956</v>
      </c>
      <c r="F5652" s="562">
        <v>253959300</v>
      </c>
      <c r="G5652" s="562">
        <f t="shared" si="302"/>
        <v>-49</v>
      </c>
      <c r="H5652" s="562"/>
      <c r="I5652" s="362"/>
      <c r="J5652" s="362"/>
    </row>
    <row r="5653" spans="1:10" x14ac:dyDescent="0.25">
      <c r="A5653" s="362"/>
      <c r="B5653" s="611">
        <v>44460</v>
      </c>
      <c r="C5653" s="362" t="s">
        <v>4751</v>
      </c>
      <c r="D5653" s="562">
        <v>192020111</v>
      </c>
      <c r="E5653" s="562">
        <v>15249589</v>
      </c>
      <c r="F5653" s="562">
        <v>207268700</v>
      </c>
      <c r="G5653" s="562">
        <f t="shared" si="302"/>
        <v>1000</v>
      </c>
      <c r="H5653" s="562"/>
      <c r="I5653" s="362"/>
      <c r="J5653" s="362"/>
    </row>
    <row r="5654" spans="1:10" x14ac:dyDescent="0.25">
      <c r="A5654" s="362"/>
      <c r="B5654" s="611">
        <v>44460</v>
      </c>
      <c r="C5654" s="362" t="s">
        <v>166</v>
      </c>
      <c r="D5654" s="562">
        <v>67819132</v>
      </c>
      <c r="E5654" s="562"/>
      <c r="F5654" s="562">
        <v>67819200</v>
      </c>
      <c r="G5654" s="562">
        <f t="shared" si="302"/>
        <v>-68</v>
      </c>
      <c r="H5654" s="562"/>
      <c r="I5654" s="362"/>
      <c r="J5654" s="362"/>
    </row>
    <row r="5655" spans="1:10" x14ac:dyDescent="0.25">
      <c r="A5655" s="362"/>
      <c r="B5655" s="611">
        <v>44460</v>
      </c>
      <c r="C5655" s="362" t="s">
        <v>3435</v>
      </c>
      <c r="D5655" s="562">
        <v>101437156</v>
      </c>
      <c r="E5655" s="562"/>
      <c r="F5655" s="562">
        <v>101437200</v>
      </c>
      <c r="G5655" s="562">
        <f t="shared" si="302"/>
        <v>-44</v>
      </c>
      <c r="H5655" s="562"/>
      <c r="I5655" s="362"/>
      <c r="J5655" s="362"/>
    </row>
    <row r="5656" spans="1:10" x14ac:dyDescent="0.25">
      <c r="A5656" s="362"/>
      <c r="B5656" s="611">
        <v>44460</v>
      </c>
      <c r="C5656" s="370" t="s">
        <v>85</v>
      </c>
      <c r="D5656" s="562">
        <v>30807800</v>
      </c>
      <c r="E5656" s="562"/>
      <c r="F5656" s="562">
        <v>30807800</v>
      </c>
      <c r="G5656" s="562">
        <f t="shared" si="302"/>
        <v>0</v>
      </c>
      <c r="H5656" s="562"/>
      <c r="I5656" s="362"/>
      <c r="J5656" s="362"/>
    </row>
    <row r="5657" spans="1:10" x14ac:dyDescent="0.25">
      <c r="A5657" s="532"/>
      <c r="B5657" s="587"/>
      <c r="C5657" s="532"/>
      <c r="D5657" s="632">
        <f>SUM(D5642:D5656)</f>
        <v>1975713790</v>
      </c>
      <c r="E5657" s="632">
        <f t="shared" ref="E5657:G5657" si="303">SUM(E5642:E5656)</f>
        <v>502914244</v>
      </c>
      <c r="F5657" s="632">
        <f t="shared" si="303"/>
        <v>2478660400</v>
      </c>
      <c r="G5657" s="632">
        <f t="shared" si="303"/>
        <v>-32366</v>
      </c>
      <c r="H5657" s="564"/>
      <c r="I5657" s="532"/>
      <c r="J5657" s="532"/>
    </row>
    <row r="5658" spans="1:10" x14ac:dyDescent="0.25">
      <c r="A5658" s="362"/>
      <c r="B5658" s="611">
        <v>44461</v>
      </c>
      <c r="C5658" s="362" t="s">
        <v>86</v>
      </c>
      <c r="D5658" s="562">
        <v>67192049</v>
      </c>
      <c r="E5658" s="562">
        <v>24653721</v>
      </c>
      <c r="F5658" s="562">
        <v>91845800</v>
      </c>
      <c r="G5658" s="562">
        <f t="shared" si="302"/>
        <v>-30</v>
      </c>
      <c r="H5658" s="562"/>
      <c r="I5658" s="362"/>
      <c r="J5658" s="362"/>
    </row>
    <row r="5659" spans="1:10" x14ac:dyDescent="0.25">
      <c r="A5659" s="362"/>
      <c r="B5659" s="611">
        <v>44461</v>
      </c>
      <c r="C5659" s="362" t="s">
        <v>87</v>
      </c>
      <c r="D5659" s="562">
        <v>100327814</v>
      </c>
      <c r="E5659" s="562">
        <v>118390928</v>
      </c>
      <c r="F5659" s="562">
        <v>218718800</v>
      </c>
      <c r="G5659" s="562">
        <f t="shared" si="302"/>
        <v>-58</v>
      </c>
      <c r="H5659" s="562"/>
      <c r="I5659" s="362"/>
      <c r="J5659" s="362"/>
    </row>
    <row r="5660" spans="1:10" x14ac:dyDescent="0.25">
      <c r="A5660" s="362"/>
      <c r="B5660" s="611">
        <v>44461</v>
      </c>
      <c r="C5660" s="362" t="s">
        <v>88</v>
      </c>
      <c r="D5660" s="562">
        <v>240779282</v>
      </c>
      <c r="E5660" s="562">
        <v>52943884</v>
      </c>
      <c r="F5660" s="562">
        <v>293723200</v>
      </c>
      <c r="G5660" s="562">
        <f t="shared" si="302"/>
        <v>-34</v>
      </c>
      <c r="H5660" s="562"/>
      <c r="I5660" s="362"/>
      <c r="J5660" s="362"/>
    </row>
    <row r="5661" spans="1:10" x14ac:dyDescent="0.25">
      <c r="A5661" s="362"/>
      <c r="B5661" s="611">
        <v>44461</v>
      </c>
      <c r="C5661" s="362" t="s">
        <v>82</v>
      </c>
      <c r="D5661" s="562">
        <v>61513438</v>
      </c>
      <c r="E5661" s="562"/>
      <c r="F5661" s="562">
        <v>61513500</v>
      </c>
      <c r="G5661" s="562">
        <f t="shared" si="302"/>
        <v>-62</v>
      </c>
      <c r="H5661" s="362"/>
      <c r="I5661" s="362"/>
      <c r="J5661" s="362"/>
    </row>
    <row r="5662" spans="1:10" x14ac:dyDescent="0.25">
      <c r="A5662" s="362"/>
      <c r="B5662" s="611">
        <v>44461</v>
      </c>
      <c r="C5662" s="362" t="s">
        <v>80</v>
      </c>
      <c r="D5662" s="562">
        <v>225774501</v>
      </c>
      <c r="E5662" s="562"/>
      <c r="F5662" s="562">
        <v>225824400</v>
      </c>
      <c r="G5662" s="562">
        <f t="shared" si="302"/>
        <v>-49899</v>
      </c>
      <c r="H5662" s="362"/>
      <c r="I5662" s="362"/>
      <c r="J5662" s="362"/>
    </row>
    <row r="5663" spans="1:10" x14ac:dyDescent="0.25">
      <c r="A5663" s="362"/>
      <c r="B5663" s="611">
        <v>44461</v>
      </c>
      <c r="C5663" s="362" t="s">
        <v>83</v>
      </c>
      <c r="D5663" s="562">
        <v>137721099</v>
      </c>
      <c r="E5663" s="562">
        <v>32661569</v>
      </c>
      <c r="F5663" s="562">
        <v>170382700</v>
      </c>
      <c r="G5663" s="562">
        <f t="shared" si="302"/>
        <v>-32</v>
      </c>
      <c r="H5663" s="362"/>
      <c r="I5663" s="362"/>
      <c r="J5663" s="362"/>
    </row>
    <row r="5664" spans="1:10" x14ac:dyDescent="0.25">
      <c r="A5664" s="362"/>
      <c r="B5664" s="611">
        <v>44461</v>
      </c>
      <c r="C5664" s="362" t="s">
        <v>78</v>
      </c>
      <c r="D5664" s="562">
        <v>139862632</v>
      </c>
      <c r="E5664" s="562">
        <v>1520168</v>
      </c>
      <c r="F5664" s="562">
        <v>141382800</v>
      </c>
      <c r="G5664" s="562">
        <f t="shared" si="302"/>
        <v>0</v>
      </c>
      <c r="H5664" s="362"/>
      <c r="I5664" s="362"/>
      <c r="J5664" s="362"/>
    </row>
    <row r="5665" spans="1:10" x14ac:dyDescent="0.25">
      <c r="A5665" s="362"/>
      <c r="B5665" s="611">
        <v>44461</v>
      </c>
      <c r="C5665" s="362" t="s">
        <v>141</v>
      </c>
      <c r="D5665" s="562">
        <v>74196828</v>
      </c>
      <c r="E5665" s="562">
        <v>123094</v>
      </c>
      <c r="F5665" s="562">
        <v>74320100</v>
      </c>
      <c r="G5665" s="562">
        <f t="shared" si="302"/>
        <v>-178</v>
      </c>
      <c r="H5665" s="362"/>
      <c r="I5665" s="362"/>
      <c r="J5665" s="362"/>
    </row>
    <row r="5666" spans="1:10" x14ac:dyDescent="0.25">
      <c r="A5666" s="362"/>
      <c r="B5666" s="611">
        <v>44461</v>
      </c>
      <c r="C5666" s="362" t="s">
        <v>89</v>
      </c>
      <c r="D5666" s="562">
        <v>139566126</v>
      </c>
      <c r="E5666" s="562">
        <v>40385774</v>
      </c>
      <c r="F5666" s="562">
        <v>179951900</v>
      </c>
      <c r="G5666" s="562">
        <f t="shared" si="302"/>
        <v>0</v>
      </c>
      <c r="H5666" s="362"/>
      <c r="I5666" s="362"/>
      <c r="J5666" s="362"/>
    </row>
    <row r="5667" spans="1:10" x14ac:dyDescent="0.25">
      <c r="A5667" s="362"/>
      <c r="B5667" s="611">
        <v>44461</v>
      </c>
      <c r="C5667" s="362" t="s">
        <v>81</v>
      </c>
      <c r="D5667" s="562">
        <v>140359114</v>
      </c>
      <c r="E5667" s="562">
        <v>8155389</v>
      </c>
      <c r="F5667" s="562">
        <v>148514500</v>
      </c>
      <c r="G5667" s="562">
        <f t="shared" si="302"/>
        <v>3</v>
      </c>
      <c r="H5667" s="362"/>
      <c r="I5667" s="362"/>
      <c r="J5667" s="362"/>
    </row>
    <row r="5668" spans="1:10" x14ac:dyDescent="0.25">
      <c r="A5668" s="362"/>
      <c r="B5668" s="611">
        <v>44461</v>
      </c>
      <c r="C5668" s="362" t="s">
        <v>84</v>
      </c>
      <c r="D5668" s="562">
        <v>290518709</v>
      </c>
      <c r="E5668" s="562">
        <v>6359591</v>
      </c>
      <c r="F5668" s="562">
        <v>296878300</v>
      </c>
      <c r="G5668" s="562">
        <f t="shared" si="302"/>
        <v>0</v>
      </c>
      <c r="H5668" s="362"/>
      <c r="I5668" s="362"/>
      <c r="J5668" s="362"/>
    </row>
    <row r="5669" spans="1:10" x14ac:dyDescent="0.25">
      <c r="A5669" s="362"/>
      <c r="B5669" s="611">
        <v>44461</v>
      </c>
      <c r="C5669" s="362" t="s">
        <v>4751</v>
      </c>
      <c r="D5669" s="562">
        <v>203693201</v>
      </c>
      <c r="E5669" s="562">
        <v>8256099</v>
      </c>
      <c r="F5669" s="562">
        <v>211949300</v>
      </c>
      <c r="G5669" s="562">
        <f t="shared" si="302"/>
        <v>0</v>
      </c>
      <c r="H5669" s="362"/>
      <c r="I5669" s="362"/>
      <c r="J5669" s="362"/>
    </row>
    <row r="5670" spans="1:10" x14ac:dyDescent="0.25">
      <c r="A5670" s="362"/>
      <c r="B5670" s="611">
        <v>44461</v>
      </c>
      <c r="C5670" s="362" t="s">
        <v>166</v>
      </c>
      <c r="D5670" s="562">
        <v>78441610</v>
      </c>
      <c r="E5670" s="562"/>
      <c r="F5670" s="562">
        <v>78441600</v>
      </c>
      <c r="G5670" s="562">
        <f t="shared" si="302"/>
        <v>10</v>
      </c>
      <c r="H5670" s="362"/>
      <c r="I5670" s="362"/>
      <c r="J5670" s="362"/>
    </row>
    <row r="5671" spans="1:10" x14ac:dyDescent="0.25">
      <c r="A5671" s="362"/>
      <c r="B5671" s="611">
        <v>44461</v>
      </c>
      <c r="C5671" s="362" t="s">
        <v>3435</v>
      </c>
      <c r="D5671" s="562">
        <v>90394675</v>
      </c>
      <c r="E5671" s="562"/>
      <c r="F5671" s="562">
        <v>90394700</v>
      </c>
      <c r="G5671" s="562">
        <f t="shared" si="302"/>
        <v>-25</v>
      </c>
      <c r="H5671" s="362"/>
      <c r="I5671" s="362"/>
      <c r="J5671" s="362"/>
    </row>
    <row r="5672" spans="1:10" x14ac:dyDescent="0.25">
      <c r="A5672" s="362"/>
      <c r="B5672" s="611">
        <v>44461</v>
      </c>
      <c r="C5672" s="370" t="s">
        <v>85</v>
      </c>
      <c r="D5672" s="562">
        <v>39839800</v>
      </c>
      <c r="E5672" s="562"/>
      <c r="F5672" s="562">
        <v>39839800</v>
      </c>
      <c r="G5672" s="562">
        <f t="shared" si="302"/>
        <v>0</v>
      </c>
      <c r="H5672" s="362"/>
      <c r="I5672" s="362"/>
      <c r="J5672" s="362"/>
    </row>
    <row r="5673" spans="1:10" x14ac:dyDescent="0.25">
      <c r="A5673" s="532"/>
      <c r="B5673" s="532"/>
      <c r="C5673" s="532"/>
      <c r="D5673" s="564">
        <f>SUM(D5658:D5672)</f>
        <v>2030180878</v>
      </c>
      <c r="E5673" s="564">
        <f t="shared" ref="E5673" si="304">SUM(E5658:E5672)</f>
        <v>293450217</v>
      </c>
      <c r="F5673" s="564">
        <f>SUM(F5658:F5672)</f>
        <v>2323681400</v>
      </c>
      <c r="G5673" s="564">
        <f>SUM(G5658:G5672)</f>
        <v>-50305</v>
      </c>
      <c r="H5673" s="532"/>
      <c r="I5673" s="532"/>
      <c r="J5673" s="532"/>
    </row>
    <row r="5674" spans="1:10" x14ac:dyDescent="0.25">
      <c r="A5674" s="362"/>
      <c r="B5674" s="611">
        <v>44462</v>
      </c>
      <c r="C5674" s="362" t="s">
        <v>86</v>
      </c>
      <c r="D5674" s="562">
        <v>61887809</v>
      </c>
      <c r="E5674" s="562">
        <v>48795392</v>
      </c>
      <c r="F5674" s="562"/>
      <c r="G5674" s="562">
        <f t="shared" si="302"/>
        <v>110683201</v>
      </c>
      <c r="H5674" s="362"/>
      <c r="I5674" s="362"/>
      <c r="J5674" s="362"/>
    </row>
    <row r="5675" spans="1:10" x14ac:dyDescent="0.25">
      <c r="A5675" s="362"/>
      <c r="B5675" s="611">
        <v>44462</v>
      </c>
      <c r="C5675" s="362" t="s">
        <v>87</v>
      </c>
      <c r="D5675" s="562">
        <v>87914111</v>
      </c>
      <c r="E5675" s="562">
        <v>152259835</v>
      </c>
      <c r="F5675" s="562"/>
      <c r="G5675" s="562">
        <f t="shared" si="302"/>
        <v>240173946</v>
      </c>
      <c r="H5675" s="362"/>
      <c r="I5675" s="362"/>
      <c r="J5675" s="362"/>
    </row>
    <row r="5676" spans="1:10" x14ac:dyDescent="0.25">
      <c r="A5676" s="362"/>
      <c r="B5676" s="611">
        <v>44462</v>
      </c>
      <c r="C5676" s="362" t="s">
        <v>88</v>
      </c>
      <c r="D5676" s="562">
        <v>196231953</v>
      </c>
      <c r="E5676" s="562">
        <v>234498401</v>
      </c>
      <c r="F5676" s="562"/>
      <c r="G5676" s="562">
        <f t="shared" si="302"/>
        <v>430730354</v>
      </c>
      <c r="H5676" s="362"/>
      <c r="I5676" s="362"/>
      <c r="J5676" s="362"/>
    </row>
    <row r="5677" spans="1:10" x14ac:dyDescent="0.25">
      <c r="A5677" s="362"/>
      <c r="B5677" s="611">
        <v>44462</v>
      </c>
      <c r="C5677" s="362" t="s">
        <v>82</v>
      </c>
      <c r="D5677" s="562">
        <v>95997833</v>
      </c>
      <c r="E5677" s="562">
        <v>2519300</v>
      </c>
      <c r="F5677" s="562"/>
      <c r="G5677" s="562">
        <f t="shared" si="302"/>
        <v>98517133</v>
      </c>
      <c r="H5677" s="362"/>
      <c r="I5677" s="362"/>
      <c r="J5677" s="362"/>
    </row>
    <row r="5678" spans="1:10" x14ac:dyDescent="0.25">
      <c r="A5678" s="362"/>
      <c r="B5678" s="611">
        <v>44462</v>
      </c>
      <c r="C5678" s="362" t="s">
        <v>80</v>
      </c>
      <c r="D5678" s="562">
        <v>191849053</v>
      </c>
      <c r="E5678" s="562">
        <v>2854800</v>
      </c>
      <c r="F5678" s="562"/>
      <c r="G5678" s="562">
        <f t="shared" si="302"/>
        <v>194703853</v>
      </c>
      <c r="H5678" s="362"/>
      <c r="I5678" s="362"/>
      <c r="J5678" s="362"/>
    </row>
    <row r="5679" spans="1:10" x14ac:dyDescent="0.25">
      <c r="A5679" s="362"/>
      <c r="B5679" s="611">
        <v>44462</v>
      </c>
      <c r="C5679" s="362" t="s">
        <v>83</v>
      </c>
      <c r="D5679" s="562">
        <v>220366435</v>
      </c>
      <c r="E5679" s="562">
        <v>38470734</v>
      </c>
      <c r="F5679" s="562"/>
      <c r="G5679" s="562">
        <f t="shared" si="302"/>
        <v>258837169</v>
      </c>
      <c r="H5679" s="362"/>
      <c r="I5679" s="362"/>
      <c r="J5679" s="362"/>
    </row>
    <row r="5680" spans="1:10" x14ac:dyDescent="0.25">
      <c r="A5680" s="362"/>
      <c r="B5680" s="611">
        <v>44462</v>
      </c>
      <c r="C5680" s="362" t="s">
        <v>78</v>
      </c>
      <c r="D5680" s="562">
        <v>135327813</v>
      </c>
      <c r="E5680" s="562">
        <v>2080187</v>
      </c>
      <c r="F5680" s="562"/>
      <c r="G5680" s="562">
        <f t="shared" si="302"/>
        <v>137408000</v>
      </c>
      <c r="H5680" s="362"/>
      <c r="I5680" s="362"/>
      <c r="J5680" s="362"/>
    </row>
    <row r="5681" spans="1:10" x14ac:dyDescent="0.25">
      <c r="A5681" s="362"/>
      <c r="B5681" s="611">
        <v>44462</v>
      </c>
      <c r="C5681" s="362" t="s">
        <v>141</v>
      </c>
      <c r="D5681" s="562">
        <v>124571241</v>
      </c>
      <c r="E5681" s="562"/>
      <c r="F5681" s="562"/>
      <c r="G5681" s="562">
        <f t="shared" si="302"/>
        <v>124571241</v>
      </c>
      <c r="H5681" s="362"/>
      <c r="I5681" s="362"/>
      <c r="J5681" s="362"/>
    </row>
    <row r="5682" spans="1:10" x14ac:dyDescent="0.25">
      <c r="A5682" s="362"/>
      <c r="B5682" s="611">
        <v>44462</v>
      </c>
      <c r="C5682" s="362" t="s">
        <v>89</v>
      </c>
      <c r="D5682" s="562">
        <v>190243568</v>
      </c>
      <c r="E5682" s="562">
        <v>8911332</v>
      </c>
      <c r="F5682" s="562"/>
      <c r="G5682" s="562">
        <f t="shared" si="302"/>
        <v>199154900</v>
      </c>
      <c r="H5682" s="362"/>
      <c r="I5682" s="362"/>
      <c r="J5682" s="362"/>
    </row>
    <row r="5683" spans="1:10" x14ac:dyDescent="0.25">
      <c r="A5683" s="362"/>
      <c r="B5683" s="611">
        <v>44462</v>
      </c>
      <c r="C5683" s="362" t="s">
        <v>81</v>
      </c>
      <c r="D5683" s="562">
        <v>58180780</v>
      </c>
      <c r="E5683" s="562">
        <v>15942765</v>
      </c>
      <c r="F5683" s="562"/>
      <c r="G5683" s="562">
        <f t="shared" si="302"/>
        <v>74123545</v>
      </c>
      <c r="H5683" s="362"/>
      <c r="I5683" s="362"/>
      <c r="J5683" s="362"/>
    </row>
    <row r="5684" spans="1:10" x14ac:dyDescent="0.25">
      <c r="A5684" s="362"/>
      <c r="B5684" s="611">
        <v>44462</v>
      </c>
      <c r="C5684" s="362" t="s">
        <v>84</v>
      </c>
      <c r="D5684" s="562">
        <v>252783451</v>
      </c>
      <c r="E5684" s="562">
        <v>18583260</v>
      </c>
      <c r="F5684" s="562"/>
      <c r="G5684" s="562">
        <f t="shared" si="302"/>
        <v>271366711</v>
      </c>
      <c r="H5684" s="362"/>
      <c r="I5684" s="362"/>
      <c r="J5684" s="362"/>
    </row>
    <row r="5685" spans="1:10" x14ac:dyDescent="0.25">
      <c r="A5685" s="362"/>
      <c r="B5685" s="611">
        <v>44462</v>
      </c>
      <c r="C5685" s="362" t="s">
        <v>4751</v>
      </c>
      <c r="D5685" s="562">
        <v>292034315</v>
      </c>
      <c r="E5685" s="562">
        <v>6837685</v>
      </c>
      <c r="F5685" s="562"/>
      <c r="G5685" s="562">
        <f t="shared" si="302"/>
        <v>298872000</v>
      </c>
      <c r="H5685" s="362"/>
      <c r="I5685" s="362"/>
      <c r="J5685" s="362"/>
    </row>
    <row r="5686" spans="1:10" x14ac:dyDescent="0.25">
      <c r="A5686" s="362"/>
      <c r="B5686" s="611">
        <v>44462</v>
      </c>
      <c r="C5686" s="362" t="s">
        <v>166</v>
      </c>
      <c r="D5686" s="562">
        <v>71434321</v>
      </c>
      <c r="E5686" s="562"/>
      <c r="F5686" s="562"/>
      <c r="G5686" s="562">
        <f t="shared" si="302"/>
        <v>71434321</v>
      </c>
      <c r="H5686" s="362"/>
      <c r="I5686" s="362"/>
      <c r="J5686" s="362"/>
    </row>
    <row r="5687" spans="1:10" x14ac:dyDescent="0.25">
      <c r="A5687" s="362"/>
      <c r="B5687" s="611">
        <v>44462</v>
      </c>
      <c r="C5687" s="362" t="s">
        <v>3435</v>
      </c>
      <c r="D5687" s="562">
        <v>45287810</v>
      </c>
      <c r="E5687" s="562"/>
      <c r="F5687" s="562"/>
      <c r="G5687" s="562">
        <f t="shared" si="302"/>
        <v>45287810</v>
      </c>
      <c r="H5687" s="362"/>
      <c r="I5687" s="362"/>
      <c r="J5687" s="362"/>
    </row>
    <row r="5688" spans="1:10" x14ac:dyDescent="0.25">
      <c r="A5688" s="362"/>
      <c r="B5688" s="611">
        <v>44462</v>
      </c>
      <c r="C5688" s="370" t="s">
        <v>85</v>
      </c>
      <c r="D5688" s="562">
        <v>27365200</v>
      </c>
      <c r="E5688" s="562"/>
      <c r="F5688" s="562"/>
      <c r="G5688" s="562">
        <f t="shared" si="302"/>
        <v>27365200</v>
      </c>
      <c r="H5688" s="362"/>
      <c r="I5688" s="362"/>
      <c r="J5688" s="362"/>
    </row>
    <row r="5689" spans="1:10" x14ac:dyDescent="0.25">
      <c r="A5689" s="532"/>
      <c r="B5689" s="532"/>
      <c r="C5689" s="532"/>
      <c r="D5689" s="564">
        <f>SUM(D5674:D5688)</f>
        <v>2051475693</v>
      </c>
      <c r="E5689" s="564">
        <f t="shared" ref="E5689:G5689" si="305">SUM(E5674:E5688)</f>
        <v>531753691</v>
      </c>
      <c r="F5689" s="564">
        <f t="shared" si="305"/>
        <v>0</v>
      </c>
      <c r="G5689" s="564">
        <f t="shared" si="305"/>
        <v>2583229384</v>
      </c>
      <c r="H5689" s="532"/>
      <c r="I5689" s="532"/>
      <c r="J5689" s="532"/>
    </row>
    <row r="5690" spans="1:10" x14ac:dyDescent="0.25">
      <c r="A5690" s="362"/>
      <c r="B5690" s="611">
        <v>44463</v>
      </c>
      <c r="C5690" s="362" t="s">
        <v>86</v>
      </c>
      <c r="D5690" s="562">
        <v>88320004</v>
      </c>
      <c r="E5690" s="562">
        <v>102053573</v>
      </c>
      <c r="F5690" s="562">
        <v>190373600</v>
      </c>
      <c r="G5690" s="562">
        <f t="shared" si="302"/>
        <v>-23</v>
      </c>
      <c r="H5690" s="362"/>
      <c r="I5690" s="362"/>
      <c r="J5690" s="362"/>
    </row>
    <row r="5691" spans="1:10" x14ac:dyDescent="0.25">
      <c r="A5691" s="362"/>
      <c r="B5691" s="611">
        <v>44463</v>
      </c>
      <c r="C5691" s="362" t="s">
        <v>87</v>
      </c>
      <c r="D5691" s="562">
        <v>133882841</v>
      </c>
      <c r="E5691" s="562">
        <v>137045157</v>
      </c>
      <c r="F5691" s="562">
        <v>270927900</v>
      </c>
      <c r="G5691" s="562">
        <f t="shared" si="302"/>
        <v>98</v>
      </c>
      <c r="H5691" s="362"/>
      <c r="I5691" s="362"/>
      <c r="J5691" s="362"/>
    </row>
    <row r="5692" spans="1:10" x14ac:dyDescent="0.25">
      <c r="A5692" s="362"/>
      <c r="B5692" s="611">
        <v>44463</v>
      </c>
      <c r="C5692" s="362" t="s">
        <v>88</v>
      </c>
      <c r="D5692" s="562">
        <v>139921103</v>
      </c>
      <c r="E5692" s="562">
        <v>43586154</v>
      </c>
      <c r="F5692" s="562">
        <v>183507300</v>
      </c>
      <c r="G5692" s="562">
        <f t="shared" si="302"/>
        <v>-43</v>
      </c>
      <c r="H5692" s="362"/>
      <c r="I5692" s="362"/>
      <c r="J5692" s="362"/>
    </row>
    <row r="5693" spans="1:10" x14ac:dyDescent="0.25">
      <c r="A5693" s="362"/>
      <c r="B5693" s="611">
        <v>44463</v>
      </c>
      <c r="C5693" s="362" t="s">
        <v>82</v>
      </c>
      <c r="D5693" s="562">
        <v>61870918</v>
      </c>
      <c r="E5693" s="562">
        <v>3683640</v>
      </c>
      <c r="F5693" s="562">
        <v>65554600</v>
      </c>
      <c r="G5693" s="562">
        <f t="shared" si="302"/>
        <v>-42</v>
      </c>
      <c r="H5693" s="362"/>
      <c r="I5693" s="362"/>
      <c r="J5693" s="362"/>
    </row>
    <row r="5694" spans="1:10" x14ac:dyDescent="0.25">
      <c r="A5694" s="362"/>
      <c r="B5694" s="611">
        <v>44463</v>
      </c>
      <c r="C5694" s="362" t="s">
        <v>80</v>
      </c>
      <c r="D5694" s="562">
        <v>253196418</v>
      </c>
      <c r="E5694" s="562"/>
      <c r="F5694" s="562">
        <v>253245300</v>
      </c>
      <c r="G5694" s="562">
        <f t="shared" si="302"/>
        <v>-48882</v>
      </c>
      <c r="H5694" s="362"/>
      <c r="I5694" s="362"/>
      <c r="J5694" s="362"/>
    </row>
    <row r="5695" spans="1:10" x14ac:dyDescent="0.25">
      <c r="A5695" s="362"/>
      <c r="B5695" s="611">
        <v>44463</v>
      </c>
      <c r="C5695" s="362" t="s">
        <v>83</v>
      </c>
      <c r="D5695" s="562">
        <v>240042501</v>
      </c>
      <c r="E5695" s="562">
        <v>29041407</v>
      </c>
      <c r="F5695" s="562">
        <v>269084000</v>
      </c>
      <c r="G5695" s="562">
        <f t="shared" si="302"/>
        <v>-92</v>
      </c>
      <c r="H5695" s="362"/>
      <c r="I5695" s="362"/>
      <c r="J5695" s="362"/>
    </row>
    <row r="5696" spans="1:10" x14ac:dyDescent="0.25">
      <c r="A5696" s="362"/>
      <c r="B5696" s="611">
        <v>44463</v>
      </c>
      <c r="C5696" s="362" t="s">
        <v>78</v>
      </c>
      <c r="D5696" s="562">
        <v>105107454</v>
      </c>
      <c r="E5696" s="562">
        <v>617746</v>
      </c>
      <c r="F5696" s="562">
        <v>105725200</v>
      </c>
      <c r="G5696" s="562">
        <f t="shared" si="302"/>
        <v>0</v>
      </c>
      <c r="H5696" s="362"/>
      <c r="I5696" s="362"/>
      <c r="J5696" s="362"/>
    </row>
    <row r="5697" spans="1:10" x14ac:dyDescent="0.25">
      <c r="A5697" s="362"/>
      <c r="B5697" s="611">
        <v>44463</v>
      </c>
      <c r="C5697" s="362" t="s">
        <v>141</v>
      </c>
      <c r="D5697" s="562">
        <v>50584306</v>
      </c>
      <c r="E5697" s="562"/>
      <c r="F5697" s="562">
        <v>50584400</v>
      </c>
      <c r="G5697" s="562">
        <f t="shared" si="302"/>
        <v>-94</v>
      </c>
      <c r="H5697" s="362"/>
      <c r="I5697" s="362"/>
      <c r="J5697" s="362"/>
    </row>
    <row r="5698" spans="1:10" x14ac:dyDescent="0.25">
      <c r="A5698" s="362"/>
      <c r="B5698" s="611">
        <v>44463</v>
      </c>
      <c r="C5698" s="362" t="s">
        <v>89</v>
      </c>
      <c r="D5698" s="562">
        <v>137665596</v>
      </c>
      <c r="E5698" s="562">
        <v>39658104</v>
      </c>
      <c r="F5698" s="562">
        <v>177323600</v>
      </c>
      <c r="G5698" s="562">
        <f t="shared" si="302"/>
        <v>100</v>
      </c>
      <c r="H5698" s="362"/>
      <c r="I5698" s="362"/>
      <c r="J5698" s="362"/>
    </row>
    <row r="5699" spans="1:10" x14ac:dyDescent="0.25">
      <c r="A5699" s="362"/>
      <c r="B5699" s="611">
        <v>44463</v>
      </c>
      <c r="C5699" s="362" t="s">
        <v>81</v>
      </c>
      <c r="D5699" s="562">
        <v>61329826</v>
      </c>
      <c r="E5699" s="562">
        <v>63231450</v>
      </c>
      <c r="F5699" s="562">
        <v>124555300</v>
      </c>
      <c r="G5699" s="562">
        <f t="shared" si="302"/>
        <v>5976</v>
      </c>
      <c r="H5699" s="362"/>
      <c r="I5699" s="362"/>
      <c r="J5699" s="362"/>
    </row>
    <row r="5700" spans="1:10" x14ac:dyDescent="0.25">
      <c r="A5700" s="362"/>
      <c r="B5700" s="611">
        <v>44463</v>
      </c>
      <c r="C5700" s="362" t="s">
        <v>84</v>
      </c>
      <c r="D5700" s="562">
        <v>247842021</v>
      </c>
      <c r="E5700" s="562">
        <v>3296204</v>
      </c>
      <c r="F5700" s="562">
        <v>251138200</v>
      </c>
      <c r="G5700" s="562">
        <f t="shared" si="302"/>
        <v>25</v>
      </c>
      <c r="H5700" s="362"/>
      <c r="I5700" s="362"/>
      <c r="J5700" s="362"/>
    </row>
    <row r="5701" spans="1:10" x14ac:dyDescent="0.25">
      <c r="A5701" s="362"/>
      <c r="B5701" s="611">
        <v>44463</v>
      </c>
      <c r="C5701" s="362" t="s">
        <v>4751</v>
      </c>
      <c r="D5701" s="562">
        <v>142587908</v>
      </c>
      <c r="E5701" s="562">
        <v>22945992</v>
      </c>
      <c r="F5701" s="562">
        <v>165533900</v>
      </c>
      <c r="G5701" s="562">
        <f t="shared" si="302"/>
        <v>0</v>
      </c>
      <c r="H5701" s="362"/>
      <c r="I5701" s="362"/>
      <c r="J5701" s="362"/>
    </row>
    <row r="5702" spans="1:10" x14ac:dyDescent="0.25">
      <c r="A5702" s="362"/>
      <c r="B5702" s="611">
        <v>44463</v>
      </c>
      <c r="C5702" s="362" t="s">
        <v>166</v>
      </c>
      <c r="D5702" s="562">
        <v>37665038</v>
      </c>
      <c r="E5702" s="562"/>
      <c r="F5702" s="562">
        <v>37665000</v>
      </c>
      <c r="G5702" s="562">
        <f t="shared" si="302"/>
        <v>38</v>
      </c>
      <c r="H5702" s="362"/>
      <c r="I5702" s="362"/>
      <c r="J5702" s="362"/>
    </row>
    <row r="5703" spans="1:10" x14ac:dyDescent="0.25">
      <c r="A5703" s="362"/>
      <c r="B5703" s="611">
        <v>44463</v>
      </c>
      <c r="C5703" s="362" t="s">
        <v>3435</v>
      </c>
      <c r="D5703" s="562">
        <v>100909097</v>
      </c>
      <c r="E5703" s="562"/>
      <c r="F5703" s="562">
        <v>100909100</v>
      </c>
      <c r="G5703" s="562">
        <f t="shared" si="302"/>
        <v>-3</v>
      </c>
      <c r="H5703" s="362"/>
      <c r="I5703" s="362"/>
      <c r="J5703" s="362"/>
    </row>
    <row r="5704" spans="1:10" x14ac:dyDescent="0.25">
      <c r="A5704" s="362"/>
      <c r="B5704" s="611">
        <v>44463</v>
      </c>
      <c r="C5704" s="370" t="s">
        <v>85</v>
      </c>
      <c r="D5704" s="562">
        <v>17551600</v>
      </c>
      <c r="E5704" s="562"/>
      <c r="F5704" s="562">
        <f>17551600</f>
        <v>17551600</v>
      </c>
      <c r="G5704" s="562">
        <f t="shared" si="302"/>
        <v>0</v>
      </c>
      <c r="H5704" s="362"/>
      <c r="I5704" s="362"/>
      <c r="J5704" s="362"/>
    </row>
    <row r="5705" spans="1:10" x14ac:dyDescent="0.25">
      <c r="A5705" s="532"/>
      <c r="B5705" s="532"/>
      <c r="C5705" s="532"/>
      <c r="D5705" s="564">
        <f>SUM(D5690:D5704)</f>
        <v>1818476631</v>
      </c>
      <c r="E5705" s="564">
        <f t="shared" ref="E5705:G5705" si="306">SUM(E5690:E5704)</f>
        <v>445159427</v>
      </c>
      <c r="F5705" s="564">
        <f t="shared" si="306"/>
        <v>2263679000</v>
      </c>
      <c r="G5705" s="564">
        <f t="shared" si="306"/>
        <v>-42942</v>
      </c>
      <c r="H5705" s="532"/>
      <c r="I5705" s="532"/>
      <c r="J5705" s="532"/>
    </row>
    <row r="5706" spans="1:10" x14ac:dyDescent="0.25">
      <c r="A5706" s="362"/>
      <c r="B5706" s="611">
        <v>44464</v>
      </c>
      <c r="C5706" s="362" t="s">
        <v>86</v>
      </c>
      <c r="D5706" s="562">
        <v>72197196</v>
      </c>
      <c r="E5706" s="562">
        <v>33092881</v>
      </c>
      <c r="F5706" s="562">
        <v>105290000</v>
      </c>
      <c r="G5706" s="562">
        <f t="shared" si="302"/>
        <v>77</v>
      </c>
      <c r="H5706" s="362"/>
      <c r="I5706" s="362"/>
      <c r="J5706" s="362"/>
    </row>
    <row r="5707" spans="1:10" x14ac:dyDescent="0.25">
      <c r="A5707" s="362"/>
      <c r="B5707" s="611">
        <v>44464</v>
      </c>
      <c r="C5707" s="362" t="s">
        <v>87</v>
      </c>
      <c r="D5707" s="562">
        <v>79122990</v>
      </c>
      <c r="E5707" s="562">
        <v>78894078</v>
      </c>
      <c r="F5707" s="562">
        <v>158017000</v>
      </c>
      <c r="G5707" s="562">
        <f t="shared" si="302"/>
        <v>68</v>
      </c>
      <c r="H5707" s="362"/>
      <c r="I5707" s="362"/>
      <c r="J5707" s="362"/>
    </row>
    <row r="5708" spans="1:10" x14ac:dyDescent="0.25">
      <c r="A5708" s="362"/>
      <c r="B5708" s="611">
        <v>44464</v>
      </c>
      <c r="C5708" s="362" t="s">
        <v>88</v>
      </c>
      <c r="D5708" s="562">
        <v>112441680</v>
      </c>
      <c r="E5708" s="562">
        <v>20823948</v>
      </c>
      <c r="F5708" s="562">
        <v>133265700</v>
      </c>
      <c r="G5708" s="562">
        <f t="shared" ref="G5708:G5771" si="307">D5708+E5708-F5708</f>
        <v>-72</v>
      </c>
      <c r="H5708" s="362"/>
      <c r="I5708" s="362"/>
      <c r="J5708" s="362"/>
    </row>
    <row r="5709" spans="1:10" x14ac:dyDescent="0.25">
      <c r="A5709" s="362"/>
      <c r="B5709" s="611">
        <v>44464</v>
      </c>
      <c r="C5709" s="362" t="s">
        <v>82</v>
      </c>
      <c r="D5709" s="562">
        <v>75106107</v>
      </c>
      <c r="E5709" s="562">
        <v>49771120</v>
      </c>
      <c r="F5709" s="562">
        <v>124877300</v>
      </c>
      <c r="G5709" s="562">
        <f t="shared" si="307"/>
        <v>-73</v>
      </c>
      <c r="H5709" s="362"/>
      <c r="I5709" s="362"/>
      <c r="J5709" s="362"/>
    </row>
    <row r="5710" spans="1:10" x14ac:dyDescent="0.25">
      <c r="A5710" s="362"/>
      <c r="B5710" s="611">
        <v>44464</v>
      </c>
      <c r="C5710" s="362" t="s">
        <v>80</v>
      </c>
      <c r="D5710" s="562">
        <v>295247000</v>
      </c>
      <c r="E5710" s="562"/>
      <c r="F5710" s="562">
        <v>295247000</v>
      </c>
      <c r="G5710" s="562">
        <f t="shared" si="307"/>
        <v>0</v>
      </c>
      <c r="H5710" s="362"/>
      <c r="I5710" s="362"/>
      <c r="J5710" s="362"/>
    </row>
    <row r="5711" spans="1:10" x14ac:dyDescent="0.25">
      <c r="A5711" s="362"/>
      <c r="B5711" s="611">
        <v>44464</v>
      </c>
      <c r="C5711" s="362" t="s">
        <v>83</v>
      </c>
      <c r="D5711" s="562">
        <v>255312396</v>
      </c>
      <c r="E5711" s="562">
        <v>231028298</v>
      </c>
      <c r="F5711" s="562">
        <v>486360700</v>
      </c>
      <c r="G5711" s="562">
        <f t="shared" si="307"/>
        <v>-20006</v>
      </c>
      <c r="H5711" s="362"/>
      <c r="I5711" s="362"/>
      <c r="J5711" s="362"/>
    </row>
    <row r="5712" spans="1:10" x14ac:dyDescent="0.25">
      <c r="A5712" s="362"/>
      <c r="B5712" s="611">
        <v>44464</v>
      </c>
      <c r="C5712" s="362" t="s">
        <v>78</v>
      </c>
      <c r="D5712" s="562">
        <v>118805666</v>
      </c>
      <c r="E5712" s="562">
        <v>11375734</v>
      </c>
      <c r="F5712" s="562">
        <v>130181400</v>
      </c>
      <c r="G5712" s="562">
        <f t="shared" si="307"/>
        <v>0</v>
      </c>
      <c r="H5712" s="362"/>
      <c r="I5712" s="362"/>
      <c r="J5712" s="362"/>
    </row>
    <row r="5713" spans="1:10" x14ac:dyDescent="0.25">
      <c r="A5713" s="362"/>
      <c r="B5713" s="611">
        <v>44464</v>
      </c>
      <c r="C5713" s="362" t="s">
        <v>141</v>
      </c>
      <c r="D5713" s="562">
        <v>42189343</v>
      </c>
      <c r="E5713" s="562">
        <v>4569008</v>
      </c>
      <c r="F5713" s="562">
        <v>46758400</v>
      </c>
      <c r="G5713" s="562">
        <f t="shared" si="307"/>
        <v>-49</v>
      </c>
      <c r="H5713" s="362"/>
      <c r="I5713" s="362"/>
      <c r="J5713" s="362"/>
    </row>
    <row r="5714" spans="1:10" x14ac:dyDescent="0.25">
      <c r="A5714" s="362"/>
      <c r="B5714" s="611">
        <v>44464</v>
      </c>
      <c r="C5714" s="362" t="s">
        <v>89</v>
      </c>
      <c r="D5714" s="562">
        <v>96455749</v>
      </c>
      <c r="E5714" s="562">
        <v>70010351</v>
      </c>
      <c r="F5714" s="562">
        <v>166466000</v>
      </c>
      <c r="G5714" s="562">
        <f t="shared" si="307"/>
        <v>100</v>
      </c>
      <c r="H5714" s="362"/>
      <c r="I5714" s="362"/>
      <c r="J5714" s="362"/>
    </row>
    <row r="5715" spans="1:10" x14ac:dyDescent="0.25">
      <c r="A5715" s="362"/>
      <c r="B5715" s="611">
        <v>44464</v>
      </c>
      <c r="C5715" s="362" t="s">
        <v>81</v>
      </c>
      <c r="D5715" s="562">
        <v>125177809</v>
      </c>
      <c r="E5715" s="562">
        <v>11508964</v>
      </c>
      <c r="F5715" s="562">
        <f>36478400+100208400</f>
        <v>136686800</v>
      </c>
      <c r="G5715" s="562">
        <f t="shared" si="307"/>
        <v>-27</v>
      </c>
      <c r="H5715" s="362"/>
      <c r="I5715" s="362"/>
      <c r="J5715" s="362"/>
    </row>
    <row r="5716" spans="1:10" x14ac:dyDescent="0.25">
      <c r="A5716" s="362"/>
      <c r="B5716" s="611">
        <v>44464</v>
      </c>
      <c r="C5716" s="362" t="s">
        <v>84</v>
      </c>
      <c r="D5716" s="562">
        <v>192528466</v>
      </c>
      <c r="E5716" s="562">
        <v>11462080</v>
      </c>
      <c r="F5716" s="562">
        <v>203990500</v>
      </c>
      <c r="G5716" s="562">
        <f t="shared" si="307"/>
        <v>46</v>
      </c>
      <c r="H5716" s="362"/>
      <c r="I5716" s="362"/>
      <c r="J5716" s="362"/>
    </row>
    <row r="5717" spans="1:10" x14ac:dyDescent="0.25">
      <c r="A5717" s="362"/>
      <c r="B5717" s="611">
        <v>44464</v>
      </c>
      <c r="C5717" s="362" t="s">
        <v>4751</v>
      </c>
      <c r="D5717" s="562">
        <v>182836046</v>
      </c>
      <c r="E5717" s="562">
        <v>6951754</v>
      </c>
      <c r="F5717" s="562">
        <v>189787800</v>
      </c>
      <c r="G5717" s="562">
        <f t="shared" si="307"/>
        <v>0</v>
      </c>
      <c r="H5717" s="362"/>
      <c r="I5717" s="362"/>
      <c r="J5717" s="362"/>
    </row>
    <row r="5718" spans="1:10" x14ac:dyDescent="0.25">
      <c r="A5718" s="362"/>
      <c r="B5718" s="611">
        <v>44464</v>
      </c>
      <c r="C5718" s="362" t="s">
        <v>166</v>
      </c>
      <c r="D5718" s="562"/>
      <c r="E5718" s="562"/>
      <c r="F5718" s="562"/>
      <c r="G5718" s="562">
        <f t="shared" si="307"/>
        <v>0</v>
      </c>
      <c r="H5718" s="362"/>
      <c r="I5718" s="362"/>
      <c r="J5718" s="362"/>
    </row>
    <row r="5719" spans="1:10" x14ac:dyDescent="0.25">
      <c r="A5719" s="362"/>
      <c r="B5719" s="611">
        <v>44464</v>
      </c>
      <c r="C5719" s="362" t="s">
        <v>3435</v>
      </c>
      <c r="D5719" s="562"/>
      <c r="E5719" s="562"/>
      <c r="F5719" s="562"/>
      <c r="G5719" s="562">
        <f t="shared" si="307"/>
        <v>0</v>
      </c>
      <c r="H5719" s="362"/>
      <c r="I5719" s="362"/>
      <c r="J5719" s="362"/>
    </row>
    <row r="5720" spans="1:10" x14ac:dyDescent="0.25">
      <c r="A5720" s="362"/>
      <c r="B5720" s="611">
        <v>44464</v>
      </c>
      <c r="C5720" s="370" t="s">
        <v>85</v>
      </c>
      <c r="D5720" s="562">
        <v>16846400</v>
      </c>
      <c r="E5720" s="562"/>
      <c r="F5720" s="562">
        <v>16846400</v>
      </c>
      <c r="G5720" s="562">
        <f t="shared" si="307"/>
        <v>0</v>
      </c>
      <c r="H5720" s="362"/>
      <c r="I5720" s="362"/>
      <c r="J5720" s="362"/>
    </row>
    <row r="5721" spans="1:10" x14ac:dyDescent="0.25">
      <c r="A5721" s="532"/>
      <c r="B5721" s="532"/>
      <c r="C5721" s="532"/>
      <c r="D5721" s="564">
        <f>SUM(D5706:D5720)</f>
        <v>1664266848</v>
      </c>
      <c r="E5721" s="564">
        <f t="shared" ref="E5721:G5721" si="308">SUM(E5706:E5720)</f>
        <v>529488216</v>
      </c>
      <c r="F5721" s="564">
        <f t="shared" si="308"/>
        <v>2193775000</v>
      </c>
      <c r="G5721" s="564">
        <f t="shared" si="308"/>
        <v>-19936</v>
      </c>
      <c r="H5721" s="532"/>
      <c r="I5721" s="532"/>
      <c r="J5721" s="532"/>
    </row>
    <row r="5722" spans="1:10" x14ac:dyDescent="0.25">
      <c r="A5722" s="362"/>
      <c r="B5722" s="611">
        <v>44466</v>
      </c>
      <c r="C5722" s="362" t="s">
        <v>86</v>
      </c>
      <c r="D5722" s="562">
        <v>82558877</v>
      </c>
      <c r="E5722" s="562">
        <v>240230468</v>
      </c>
      <c r="F5722" s="562">
        <v>322789400</v>
      </c>
      <c r="G5722" s="562">
        <f t="shared" si="307"/>
        <v>-55</v>
      </c>
      <c r="H5722" s="362"/>
      <c r="I5722" s="362"/>
      <c r="J5722" s="362"/>
    </row>
    <row r="5723" spans="1:10" x14ac:dyDescent="0.25">
      <c r="A5723" s="362"/>
      <c r="B5723" s="611">
        <v>44466</v>
      </c>
      <c r="C5723" s="362" t="s">
        <v>87</v>
      </c>
      <c r="D5723" s="562">
        <v>175590901</v>
      </c>
      <c r="E5723" s="562">
        <v>20558307</v>
      </c>
      <c r="F5723" s="562">
        <v>196149300</v>
      </c>
      <c r="G5723" s="562">
        <f t="shared" si="307"/>
        <v>-92</v>
      </c>
      <c r="H5723" s="362"/>
      <c r="I5723" s="362"/>
      <c r="J5723" s="362"/>
    </row>
    <row r="5724" spans="1:10" x14ac:dyDescent="0.25">
      <c r="A5724" s="362"/>
      <c r="B5724" s="611">
        <v>44466</v>
      </c>
      <c r="C5724" s="362" t="s">
        <v>88</v>
      </c>
      <c r="D5724" s="562">
        <v>251581758</v>
      </c>
      <c r="E5724" s="562">
        <v>22117352</v>
      </c>
      <c r="F5724" s="562">
        <v>273699200</v>
      </c>
      <c r="G5724" s="562">
        <f t="shared" si="307"/>
        <v>-90</v>
      </c>
      <c r="H5724" s="362"/>
      <c r="I5724" s="362"/>
      <c r="J5724" s="362"/>
    </row>
    <row r="5725" spans="1:10" x14ac:dyDescent="0.25">
      <c r="A5725" s="362"/>
      <c r="B5725" s="611">
        <v>44466</v>
      </c>
      <c r="C5725" s="362" t="s">
        <v>82</v>
      </c>
      <c r="D5725" s="562">
        <v>52436974</v>
      </c>
      <c r="E5725" s="562">
        <v>4382204</v>
      </c>
      <c r="F5725" s="562">
        <v>56819200</v>
      </c>
      <c r="G5725" s="562">
        <f t="shared" si="307"/>
        <v>-22</v>
      </c>
      <c r="H5725" s="362"/>
      <c r="I5725" s="362"/>
      <c r="J5725" s="362"/>
    </row>
    <row r="5726" spans="1:10" x14ac:dyDescent="0.25">
      <c r="A5726" s="362"/>
      <c r="B5726" s="611">
        <v>44466</v>
      </c>
      <c r="C5726" s="362" t="s">
        <v>80</v>
      </c>
      <c r="D5726" s="562">
        <v>232785099</v>
      </c>
      <c r="E5726" s="562"/>
      <c r="F5726" s="562">
        <v>232680000</v>
      </c>
      <c r="G5726" s="562">
        <f t="shared" si="307"/>
        <v>105099</v>
      </c>
      <c r="H5726" s="362"/>
      <c r="I5726" s="362"/>
      <c r="J5726" s="362"/>
    </row>
    <row r="5727" spans="1:10" x14ac:dyDescent="0.25">
      <c r="A5727" s="362"/>
      <c r="B5727" s="611">
        <v>44466</v>
      </c>
      <c r="C5727" s="362" t="s">
        <v>83</v>
      </c>
      <c r="D5727" s="562">
        <v>271675304</v>
      </c>
      <c r="E5727" s="562">
        <v>65411456</v>
      </c>
      <c r="F5727" s="562">
        <v>337086800</v>
      </c>
      <c r="G5727" s="562">
        <f t="shared" si="307"/>
        <v>-40</v>
      </c>
      <c r="H5727" s="362"/>
      <c r="I5727" s="362"/>
      <c r="J5727" s="362"/>
    </row>
    <row r="5728" spans="1:10" x14ac:dyDescent="0.25">
      <c r="A5728" s="362"/>
      <c r="B5728" s="611">
        <v>44466</v>
      </c>
      <c r="C5728" s="362" t="s">
        <v>78</v>
      </c>
      <c r="D5728" s="562">
        <v>124991788</v>
      </c>
      <c r="E5728" s="562">
        <v>2150312</v>
      </c>
      <c r="F5728" s="562">
        <v>127142100</v>
      </c>
      <c r="G5728" s="562">
        <f t="shared" si="307"/>
        <v>0</v>
      </c>
      <c r="H5728" s="362"/>
      <c r="I5728" s="362"/>
      <c r="J5728" s="362"/>
    </row>
    <row r="5729" spans="1:10" x14ac:dyDescent="0.25">
      <c r="A5729" s="362"/>
      <c r="B5729" s="611">
        <v>44466</v>
      </c>
      <c r="C5729" s="362" t="s">
        <v>141</v>
      </c>
      <c r="D5729" s="562">
        <v>132283427</v>
      </c>
      <c r="E5729" s="562"/>
      <c r="F5729" s="562">
        <v>132283500</v>
      </c>
      <c r="G5729" s="562">
        <f t="shared" si="307"/>
        <v>-73</v>
      </c>
      <c r="H5729" s="362"/>
      <c r="I5729" s="362"/>
      <c r="J5729" s="362"/>
    </row>
    <row r="5730" spans="1:10" x14ac:dyDescent="0.25">
      <c r="A5730" s="362"/>
      <c r="B5730" s="611">
        <v>44466</v>
      </c>
      <c r="C5730" s="362" t="s">
        <v>89</v>
      </c>
      <c r="D5730" s="562">
        <v>136302017</v>
      </c>
      <c r="E5730" s="562">
        <v>44209383</v>
      </c>
      <c r="F5730" s="562">
        <v>180511300</v>
      </c>
      <c r="G5730" s="562">
        <f t="shared" si="307"/>
        <v>100</v>
      </c>
      <c r="H5730" s="362"/>
      <c r="I5730" s="362"/>
      <c r="J5730" s="362"/>
    </row>
    <row r="5731" spans="1:10" x14ac:dyDescent="0.25">
      <c r="A5731" s="362"/>
      <c r="B5731" s="611">
        <v>44466</v>
      </c>
      <c r="C5731" s="362" t="s">
        <v>81</v>
      </c>
      <c r="D5731" s="562">
        <v>46711422</v>
      </c>
      <c r="E5731" s="562">
        <v>42901829</v>
      </c>
      <c r="F5731" s="562">
        <v>89613300</v>
      </c>
      <c r="G5731" s="562">
        <f t="shared" si="307"/>
        <v>-49</v>
      </c>
      <c r="H5731" s="362"/>
      <c r="I5731" s="362"/>
      <c r="J5731" s="362"/>
    </row>
    <row r="5732" spans="1:10" x14ac:dyDescent="0.25">
      <c r="A5732" s="362"/>
      <c r="B5732" s="611">
        <v>44466</v>
      </c>
      <c r="C5732" s="362" t="s">
        <v>84</v>
      </c>
      <c r="D5732" s="562">
        <v>264947197</v>
      </c>
      <c r="E5732" s="562">
        <v>9765589</v>
      </c>
      <c r="F5732" s="562">
        <v>274712800</v>
      </c>
      <c r="G5732" s="562">
        <f t="shared" si="307"/>
        <v>-14</v>
      </c>
      <c r="H5732" s="362"/>
      <c r="I5732" s="362"/>
      <c r="J5732" s="362"/>
    </row>
    <row r="5733" spans="1:10" x14ac:dyDescent="0.25">
      <c r="A5733" s="362"/>
      <c r="B5733" s="611">
        <v>44466</v>
      </c>
      <c r="C5733" s="362" t="s">
        <v>4751</v>
      </c>
      <c r="D5733" s="562">
        <v>203562958</v>
      </c>
      <c r="E5733" s="562">
        <v>12085042</v>
      </c>
      <c r="F5733" s="562">
        <v>215648000</v>
      </c>
      <c r="G5733" s="562">
        <f t="shared" si="307"/>
        <v>0</v>
      </c>
      <c r="H5733" s="362"/>
      <c r="I5733" s="362"/>
      <c r="J5733" s="362"/>
    </row>
    <row r="5734" spans="1:10" x14ac:dyDescent="0.25">
      <c r="A5734" s="362"/>
      <c r="B5734" s="611">
        <v>44466</v>
      </c>
      <c r="C5734" s="362" t="s">
        <v>166</v>
      </c>
      <c r="D5734" s="562">
        <v>72471376</v>
      </c>
      <c r="E5734" s="562"/>
      <c r="F5734" s="562">
        <v>72471500</v>
      </c>
      <c r="G5734" s="562">
        <f t="shared" si="307"/>
        <v>-124</v>
      </c>
      <c r="H5734" s="362"/>
      <c r="I5734" s="362"/>
      <c r="J5734" s="362"/>
    </row>
    <row r="5735" spans="1:10" x14ac:dyDescent="0.25">
      <c r="A5735" s="362"/>
      <c r="B5735" s="611">
        <v>44466</v>
      </c>
      <c r="C5735" s="362" t="s">
        <v>3435</v>
      </c>
      <c r="D5735" s="562">
        <v>33667915</v>
      </c>
      <c r="E5735" s="562"/>
      <c r="F5735" s="562">
        <v>33668000</v>
      </c>
      <c r="G5735" s="562">
        <f t="shared" si="307"/>
        <v>-85</v>
      </c>
      <c r="H5735" s="362"/>
      <c r="I5735" s="362"/>
      <c r="J5735" s="362"/>
    </row>
    <row r="5736" spans="1:10" x14ac:dyDescent="0.25">
      <c r="A5736" s="362"/>
      <c r="B5736" s="611">
        <v>44466</v>
      </c>
      <c r="C5736" s="370" t="s">
        <v>85</v>
      </c>
      <c r="D5736" s="562">
        <v>42417300</v>
      </c>
      <c r="E5736" s="562"/>
      <c r="F5736" s="562">
        <v>42417300</v>
      </c>
      <c r="G5736" s="562">
        <f t="shared" si="307"/>
        <v>0</v>
      </c>
      <c r="H5736" s="362"/>
      <c r="I5736" s="362"/>
      <c r="J5736" s="362"/>
    </row>
    <row r="5737" spans="1:10" x14ac:dyDescent="0.25">
      <c r="A5737" s="532"/>
      <c r="B5737" s="532"/>
      <c r="C5737" s="532"/>
      <c r="D5737" s="564">
        <f>SUM(D5722:D5736)</f>
        <v>2123984313</v>
      </c>
      <c r="E5737" s="564">
        <f t="shared" ref="E5737:G5737" si="309">SUM(E5722:E5736)</f>
        <v>463811942</v>
      </c>
      <c r="F5737" s="564">
        <f t="shared" si="309"/>
        <v>2587691700</v>
      </c>
      <c r="G5737" s="564">
        <f t="shared" si="309"/>
        <v>104555</v>
      </c>
      <c r="H5737" s="532"/>
      <c r="I5737" s="532"/>
      <c r="J5737" s="532"/>
    </row>
    <row r="5738" spans="1:10" x14ac:dyDescent="0.25">
      <c r="A5738" s="362"/>
      <c r="B5738" s="611">
        <v>44467</v>
      </c>
      <c r="C5738" s="362" t="s">
        <v>86</v>
      </c>
      <c r="D5738" s="562">
        <v>51170270</v>
      </c>
      <c r="E5738" s="562">
        <v>61009597</v>
      </c>
      <c r="F5738" s="562"/>
      <c r="G5738" s="562">
        <f t="shared" si="307"/>
        <v>112179867</v>
      </c>
      <c r="H5738" s="362"/>
      <c r="I5738" s="362"/>
      <c r="J5738" s="362"/>
    </row>
    <row r="5739" spans="1:10" x14ac:dyDescent="0.25">
      <c r="A5739" s="362"/>
      <c r="B5739" s="611">
        <v>44467</v>
      </c>
      <c r="C5739" s="362" t="s">
        <v>87</v>
      </c>
      <c r="D5739" s="562">
        <v>98895011</v>
      </c>
      <c r="E5739" s="562">
        <v>4495360</v>
      </c>
      <c r="F5739" s="562"/>
      <c r="G5739" s="562">
        <f t="shared" si="307"/>
        <v>103390371</v>
      </c>
      <c r="H5739" s="362"/>
      <c r="I5739" s="362"/>
      <c r="J5739" s="362"/>
    </row>
    <row r="5740" spans="1:10" x14ac:dyDescent="0.25">
      <c r="A5740" s="362"/>
      <c r="B5740" s="611">
        <v>44467</v>
      </c>
      <c r="C5740" s="362" t="s">
        <v>88</v>
      </c>
      <c r="D5740" s="562">
        <v>326994533</v>
      </c>
      <c r="E5740" s="562">
        <v>45703395</v>
      </c>
      <c r="F5740" s="562"/>
      <c r="G5740" s="562">
        <f t="shared" si="307"/>
        <v>372697928</v>
      </c>
      <c r="H5740" s="362"/>
      <c r="I5740" s="362"/>
      <c r="J5740" s="362"/>
    </row>
    <row r="5741" spans="1:10" x14ac:dyDescent="0.25">
      <c r="A5741" s="362"/>
      <c r="B5741" s="611">
        <v>44467</v>
      </c>
      <c r="C5741" s="362" t="s">
        <v>82</v>
      </c>
      <c r="D5741" s="562">
        <v>55750035</v>
      </c>
      <c r="E5741" s="562">
        <v>3002693</v>
      </c>
      <c r="F5741" s="562"/>
      <c r="G5741" s="562">
        <f t="shared" si="307"/>
        <v>58752728</v>
      </c>
      <c r="H5741" s="362"/>
      <c r="I5741" s="362"/>
      <c r="J5741" s="362"/>
    </row>
    <row r="5742" spans="1:10" x14ac:dyDescent="0.25">
      <c r="A5742" s="362"/>
      <c r="B5742" s="611">
        <v>44467</v>
      </c>
      <c r="C5742" s="362" t="s">
        <v>80</v>
      </c>
      <c r="D5742" s="562">
        <v>216447500</v>
      </c>
      <c r="E5742" s="562">
        <v>2138000</v>
      </c>
      <c r="F5742" s="562"/>
      <c r="G5742" s="562">
        <f t="shared" si="307"/>
        <v>218585500</v>
      </c>
      <c r="H5742" s="362"/>
      <c r="I5742" s="362"/>
      <c r="J5742" s="362"/>
    </row>
    <row r="5743" spans="1:10" x14ac:dyDescent="0.25">
      <c r="A5743" s="362"/>
      <c r="B5743" s="611">
        <v>44467</v>
      </c>
      <c r="C5743" s="362" t="s">
        <v>83</v>
      </c>
      <c r="D5743" s="562">
        <v>238702653</v>
      </c>
      <c r="E5743" s="562">
        <v>17040651</v>
      </c>
      <c r="F5743" s="562"/>
      <c r="G5743" s="562">
        <f t="shared" si="307"/>
        <v>255743304</v>
      </c>
      <c r="H5743" s="362"/>
      <c r="I5743" s="362"/>
      <c r="J5743" s="362"/>
    </row>
    <row r="5744" spans="1:10" x14ac:dyDescent="0.25">
      <c r="A5744" s="362"/>
      <c r="B5744" s="611">
        <v>44467</v>
      </c>
      <c r="C5744" s="362" t="s">
        <v>78</v>
      </c>
      <c r="D5744" s="562">
        <v>78094030</v>
      </c>
      <c r="E5744" s="562">
        <v>1687470</v>
      </c>
      <c r="F5744" s="562"/>
      <c r="G5744" s="562">
        <f t="shared" si="307"/>
        <v>79781500</v>
      </c>
      <c r="H5744" s="362"/>
      <c r="I5744" s="362"/>
      <c r="J5744" s="362"/>
    </row>
    <row r="5745" spans="1:12" x14ac:dyDescent="0.25">
      <c r="A5745" s="362"/>
      <c r="B5745" s="611">
        <v>44467</v>
      </c>
      <c r="C5745" s="362" t="s">
        <v>141</v>
      </c>
      <c r="D5745" s="562">
        <v>78277143</v>
      </c>
      <c r="E5745" s="562"/>
      <c r="F5745" s="562"/>
      <c r="G5745" s="562">
        <f t="shared" si="307"/>
        <v>78277143</v>
      </c>
      <c r="H5745" s="362"/>
      <c r="I5745" s="362"/>
      <c r="J5745" s="362"/>
    </row>
    <row r="5746" spans="1:12" x14ac:dyDescent="0.25">
      <c r="A5746" s="362"/>
      <c r="B5746" s="611">
        <v>44467</v>
      </c>
      <c r="C5746" s="362" t="s">
        <v>89</v>
      </c>
      <c r="D5746" s="562">
        <v>100417627</v>
      </c>
      <c r="E5746" s="562">
        <v>3834573</v>
      </c>
      <c r="F5746" s="562"/>
      <c r="G5746" s="562">
        <f t="shared" si="307"/>
        <v>104252200</v>
      </c>
      <c r="H5746" s="362"/>
      <c r="I5746" s="362"/>
      <c r="J5746" s="362"/>
    </row>
    <row r="5747" spans="1:12" x14ac:dyDescent="0.25">
      <c r="A5747" s="362"/>
      <c r="B5747" s="611">
        <v>44467</v>
      </c>
      <c r="C5747" s="362" t="s">
        <v>81</v>
      </c>
      <c r="D5747" s="562">
        <v>140176988</v>
      </c>
      <c r="E5747" s="562">
        <v>7103874</v>
      </c>
      <c r="F5747" s="562"/>
      <c r="G5747" s="562">
        <f t="shared" si="307"/>
        <v>147280862</v>
      </c>
      <c r="H5747" s="362"/>
      <c r="I5747" s="362"/>
      <c r="J5747" s="362"/>
    </row>
    <row r="5748" spans="1:12" x14ac:dyDescent="0.25">
      <c r="A5748" s="362"/>
      <c r="B5748" s="611">
        <v>44467</v>
      </c>
      <c r="C5748" s="362" t="s">
        <v>84</v>
      </c>
      <c r="D5748" s="562">
        <v>194971046</v>
      </c>
      <c r="E5748" s="562">
        <v>40554403</v>
      </c>
      <c r="F5748" s="562"/>
      <c r="G5748" s="562">
        <f t="shared" si="307"/>
        <v>235525449</v>
      </c>
      <c r="H5748" s="362"/>
      <c r="I5748" s="362"/>
      <c r="J5748" s="362"/>
    </row>
    <row r="5749" spans="1:12" x14ac:dyDescent="0.25">
      <c r="A5749" s="362"/>
      <c r="B5749" s="611">
        <v>44467</v>
      </c>
      <c r="C5749" s="362" t="s">
        <v>4751</v>
      </c>
      <c r="D5749" s="562">
        <v>235230734</v>
      </c>
      <c r="E5749" s="562">
        <v>15887466</v>
      </c>
      <c r="F5749" s="562"/>
      <c r="G5749" s="562">
        <f t="shared" si="307"/>
        <v>251118200</v>
      </c>
      <c r="H5749" s="362"/>
      <c r="I5749" s="362"/>
      <c r="J5749" s="362"/>
    </row>
    <row r="5750" spans="1:12" x14ac:dyDescent="0.25">
      <c r="A5750" s="362"/>
      <c r="B5750" s="611">
        <v>44467</v>
      </c>
      <c r="C5750" s="362" t="s">
        <v>166</v>
      </c>
      <c r="D5750" s="562">
        <v>126997785</v>
      </c>
      <c r="E5750" s="562"/>
      <c r="F5750" s="562"/>
      <c r="G5750" s="562">
        <f t="shared" si="307"/>
        <v>126997785</v>
      </c>
      <c r="H5750" s="362"/>
      <c r="I5750" s="362"/>
      <c r="J5750" s="362"/>
    </row>
    <row r="5751" spans="1:12" x14ac:dyDescent="0.25">
      <c r="A5751" s="362"/>
      <c r="B5751" s="611">
        <v>44467</v>
      </c>
      <c r="C5751" s="362" t="s">
        <v>3435</v>
      </c>
      <c r="D5751" s="562">
        <v>43667619</v>
      </c>
      <c r="E5751" s="562"/>
      <c r="F5751" s="562"/>
      <c r="G5751" s="562">
        <f t="shared" si="307"/>
        <v>43667619</v>
      </c>
      <c r="H5751" s="362"/>
      <c r="I5751" s="362"/>
      <c r="J5751" s="362"/>
    </row>
    <row r="5752" spans="1:12" x14ac:dyDescent="0.25">
      <c r="A5752" s="362"/>
      <c r="B5752" s="611">
        <v>44467</v>
      </c>
      <c r="C5752" s="370" t="s">
        <v>85</v>
      </c>
      <c r="D5752" s="562">
        <v>36377100</v>
      </c>
      <c r="E5752" s="562"/>
      <c r="F5752" s="562"/>
      <c r="G5752" s="562">
        <f t="shared" si="307"/>
        <v>36377100</v>
      </c>
      <c r="H5752" s="362"/>
      <c r="I5752" s="362"/>
      <c r="J5752" s="362"/>
    </row>
    <row r="5753" spans="1:12" x14ac:dyDescent="0.25">
      <c r="A5753" s="532"/>
      <c r="B5753" s="532"/>
      <c r="C5753" s="532"/>
      <c r="D5753" s="564">
        <f>SUM(D5738:D5752)</f>
        <v>2022170074</v>
      </c>
      <c r="E5753" s="564">
        <f t="shared" ref="E5753:G5753" si="310">SUM(E5738:E5752)</f>
        <v>202457482</v>
      </c>
      <c r="F5753" s="564">
        <f t="shared" si="310"/>
        <v>0</v>
      </c>
      <c r="G5753" s="564">
        <f t="shared" si="310"/>
        <v>2224627556</v>
      </c>
      <c r="H5753" s="532"/>
      <c r="I5753" s="532"/>
      <c r="J5753" s="532"/>
    </row>
    <row r="5754" spans="1:12" x14ac:dyDescent="0.25">
      <c r="A5754" s="362"/>
      <c r="B5754" s="611">
        <v>44468</v>
      </c>
      <c r="C5754" s="362" t="s">
        <v>86</v>
      </c>
      <c r="D5754" s="562">
        <v>76145078</v>
      </c>
      <c r="E5754" s="562">
        <v>68048816</v>
      </c>
      <c r="F5754" s="562">
        <v>144193800</v>
      </c>
      <c r="G5754" s="562">
        <f t="shared" si="307"/>
        <v>94</v>
      </c>
      <c r="H5754" s="362"/>
      <c r="I5754" s="362"/>
      <c r="J5754" s="362"/>
    </row>
    <row r="5755" spans="1:12" x14ac:dyDescent="0.25">
      <c r="A5755" s="362"/>
      <c r="B5755" s="611">
        <v>44468</v>
      </c>
      <c r="C5755" s="362" t="s">
        <v>87</v>
      </c>
      <c r="D5755" s="562">
        <v>190869850</v>
      </c>
      <c r="E5755" s="562">
        <v>91302441</v>
      </c>
      <c r="F5755" s="562">
        <v>282172200</v>
      </c>
      <c r="G5755" s="562">
        <f t="shared" si="307"/>
        <v>91</v>
      </c>
      <c r="H5755" s="362"/>
      <c r="I5755" s="362"/>
      <c r="J5755" s="362"/>
    </row>
    <row r="5756" spans="1:12" x14ac:dyDescent="0.25">
      <c r="A5756" s="362"/>
      <c r="B5756" s="611">
        <v>44468</v>
      </c>
      <c r="C5756" s="362" t="s">
        <v>88</v>
      </c>
      <c r="D5756" s="562">
        <v>143181734</v>
      </c>
      <c r="E5756" s="562">
        <v>5486995</v>
      </c>
      <c r="F5756" s="562">
        <v>148668800</v>
      </c>
      <c r="G5756" s="562">
        <f t="shared" si="307"/>
        <v>-71</v>
      </c>
      <c r="H5756" s="362"/>
      <c r="I5756" s="362"/>
      <c r="J5756" s="362"/>
    </row>
    <row r="5757" spans="1:12" x14ac:dyDescent="0.25">
      <c r="A5757" s="362"/>
      <c r="B5757" s="611">
        <v>44468</v>
      </c>
      <c r="C5757" s="362" t="s">
        <v>82</v>
      </c>
      <c r="D5757" s="562">
        <v>140111927</v>
      </c>
      <c r="E5757" s="562">
        <v>1212000</v>
      </c>
      <c r="F5757" s="562">
        <v>141324000</v>
      </c>
      <c r="G5757" s="562">
        <f t="shared" si="307"/>
        <v>-73</v>
      </c>
      <c r="H5757" s="362"/>
      <c r="I5757" s="362"/>
      <c r="J5757" s="362"/>
    </row>
    <row r="5758" spans="1:12" x14ac:dyDescent="0.25">
      <c r="A5758" s="362"/>
      <c r="B5758" s="611">
        <v>44468</v>
      </c>
      <c r="C5758" s="362" t="s">
        <v>80</v>
      </c>
      <c r="D5758" s="562">
        <v>276482511</v>
      </c>
      <c r="E5758" s="562">
        <v>86373600</v>
      </c>
      <c r="F5758" s="562">
        <v>362889200</v>
      </c>
      <c r="G5758" s="562">
        <f t="shared" si="307"/>
        <v>-33089</v>
      </c>
      <c r="H5758" s="362"/>
      <c r="I5758" s="362"/>
      <c r="J5758" s="362"/>
      <c r="L5758" t="s">
        <v>6110</v>
      </c>
    </row>
    <row r="5759" spans="1:12" x14ac:dyDescent="0.25">
      <c r="A5759" s="362"/>
      <c r="B5759" s="611">
        <v>44468</v>
      </c>
      <c r="C5759" s="362" t="s">
        <v>83</v>
      </c>
      <c r="D5759" s="562">
        <v>329066214</v>
      </c>
      <c r="E5759" s="562">
        <v>138949513</v>
      </c>
      <c r="F5759" s="562">
        <v>468015800</v>
      </c>
      <c r="G5759" s="562">
        <f t="shared" si="307"/>
        <v>-73</v>
      </c>
      <c r="H5759" s="362"/>
      <c r="I5759" s="362"/>
      <c r="J5759" s="362"/>
      <c r="L5759" t="s">
        <v>6086</v>
      </c>
    </row>
    <row r="5760" spans="1:12" x14ac:dyDescent="0.25">
      <c r="A5760" s="362"/>
      <c r="B5760" s="611">
        <v>44468</v>
      </c>
      <c r="C5760" s="362" t="s">
        <v>78</v>
      </c>
      <c r="D5760" s="562">
        <v>148761591</v>
      </c>
      <c r="E5760" s="562">
        <v>694109</v>
      </c>
      <c r="F5760" s="562">
        <v>149455700</v>
      </c>
      <c r="G5760" s="562">
        <f t="shared" si="307"/>
        <v>0</v>
      </c>
      <c r="H5760" s="362"/>
      <c r="I5760" s="362"/>
      <c r="J5760" s="362"/>
    </row>
    <row r="5761" spans="1:10" x14ac:dyDescent="0.25">
      <c r="A5761" s="362"/>
      <c r="B5761" s="611">
        <v>44468</v>
      </c>
      <c r="C5761" s="362" t="s">
        <v>141</v>
      </c>
      <c r="D5761" s="562">
        <v>132471448</v>
      </c>
      <c r="E5761" s="562"/>
      <c r="F5761" s="562">
        <v>132471300</v>
      </c>
      <c r="G5761" s="562">
        <f t="shared" si="307"/>
        <v>148</v>
      </c>
      <c r="H5761" s="362"/>
      <c r="I5761" s="362"/>
      <c r="J5761" s="362"/>
    </row>
    <row r="5762" spans="1:10" x14ac:dyDescent="0.25">
      <c r="A5762" s="362"/>
      <c r="B5762" s="611">
        <v>44468</v>
      </c>
      <c r="C5762" s="362" t="s">
        <v>89</v>
      </c>
      <c r="D5762" s="562">
        <v>145381805</v>
      </c>
      <c r="E5762" s="562">
        <v>31161295</v>
      </c>
      <c r="F5762" s="562">
        <v>176543100</v>
      </c>
      <c r="G5762" s="562">
        <f t="shared" si="307"/>
        <v>0</v>
      </c>
      <c r="H5762" s="362"/>
      <c r="I5762" s="362"/>
      <c r="J5762" s="362"/>
    </row>
    <row r="5763" spans="1:10" x14ac:dyDescent="0.25">
      <c r="A5763" s="362"/>
      <c r="B5763" s="611">
        <v>44468</v>
      </c>
      <c r="C5763" s="362" t="s">
        <v>81</v>
      </c>
      <c r="D5763" s="562">
        <v>63401574</v>
      </c>
      <c r="E5763" s="562">
        <v>9117083</v>
      </c>
      <c r="F5763" s="562">
        <v>72518700</v>
      </c>
      <c r="G5763" s="562">
        <f t="shared" si="307"/>
        <v>-43</v>
      </c>
      <c r="H5763" s="362"/>
      <c r="I5763" s="362"/>
      <c r="J5763" s="362"/>
    </row>
    <row r="5764" spans="1:10" x14ac:dyDescent="0.25">
      <c r="A5764" s="362"/>
      <c r="B5764" s="611">
        <v>44468</v>
      </c>
      <c r="C5764" s="362" t="s">
        <v>84</v>
      </c>
      <c r="D5764" s="562">
        <v>422110310</v>
      </c>
      <c r="E5764" s="562">
        <v>13292408</v>
      </c>
      <c r="F5764" s="562">
        <v>435402500</v>
      </c>
      <c r="G5764" s="562">
        <f t="shared" si="307"/>
        <v>218</v>
      </c>
      <c r="H5764" s="362"/>
      <c r="I5764" s="362"/>
      <c r="J5764" s="362"/>
    </row>
    <row r="5765" spans="1:10" x14ac:dyDescent="0.25">
      <c r="A5765" s="362"/>
      <c r="B5765" s="611">
        <v>44468</v>
      </c>
      <c r="C5765" s="362" t="s">
        <v>4751</v>
      </c>
      <c r="D5765" s="562">
        <v>141737913</v>
      </c>
      <c r="E5765" s="562">
        <v>10360087</v>
      </c>
      <c r="F5765" s="562">
        <v>152098000</v>
      </c>
      <c r="G5765" s="562">
        <f t="shared" si="307"/>
        <v>0</v>
      </c>
      <c r="H5765" s="362"/>
      <c r="I5765" s="362"/>
      <c r="J5765" s="362"/>
    </row>
    <row r="5766" spans="1:10" x14ac:dyDescent="0.25">
      <c r="A5766" s="362"/>
      <c r="B5766" s="611">
        <v>44468</v>
      </c>
      <c r="C5766" s="362" t="s">
        <v>166</v>
      </c>
      <c r="D5766" s="562">
        <v>52487198</v>
      </c>
      <c r="E5766" s="562"/>
      <c r="F5766" s="562">
        <v>52488000</v>
      </c>
      <c r="G5766" s="562">
        <f t="shared" si="307"/>
        <v>-802</v>
      </c>
      <c r="H5766" s="362"/>
      <c r="I5766" s="362"/>
      <c r="J5766" s="362"/>
    </row>
    <row r="5767" spans="1:10" x14ac:dyDescent="0.25">
      <c r="A5767" s="362"/>
      <c r="B5767" s="611">
        <v>44468</v>
      </c>
      <c r="C5767" s="362" t="s">
        <v>3435</v>
      </c>
      <c r="D5767" s="562">
        <v>29485264</v>
      </c>
      <c r="E5767" s="562"/>
      <c r="F5767" s="562">
        <v>29485300</v>
      </c>
      <c r="G5767" s="562">
        <f t="shared" si="307"/>
        <v>-36</v>
      </c>
      <c r="H5767" s="362"/>
      <c r="I5767" s="362"/>
      <c r="J5767" s="362"/>
    </row>
    <row r="5768" spans="1:10" x14ac:dyDescent="0.25">
      <c r="A5768" s="362"/>
      <c r="B5768" s="611">
        <v>44468</v>
      </c>
      <c r="C5768" s="370" t="s">
        <v>85</v>
      </c>
      <c r="D5768" s="562">
        <v>37725600</v>
      </c>
      <c r="E5768" s="562"/>
      <c r="F5768" s="562">
        <v>37725600</v>
      </c>
      <c r="G5768" s="562">
        <f t="shared" si="307"/>
        <v>0</v>
      </c>
      <c r="H5768" s="362"/>
      <c r="I5768" s="362"/>
      <c r="J5768" s="362"/>
    </row>
    <row r="5769" spans="1:10" x14ac:dyDescent="0.25">
      <c r="A5769" s="532"/>
      <c r="B5769" s="532"/>
      <c r="C5769" s="532"/>
      <c r="D5769" s="564">
        <f>SUM(D5754:D5768)</f>
        <v>2329420017</v>
      </c>
      <c r="E5769" s="564">
        <f t="shared" ref="E5769:G5769" si="311">SUM(E5754:E5768)</f>
        <v>455998347</v>
      </c>
      <c r="F5769" s="564">
        <f t="shared" si="311"/>
        <v>2785452000</v>
      </c>
      <c r="G5769" s="564">
        <f t="shared" si="311"/>
        <v>-33636</v>
      </c>
      <c r="H5769" s="532"/>
      <c r="I5769" s="532"/>
      <c r="J5769" s="532"/>
    </row>
    <row r="5770" spans="1:10" x14ac:dyDescent="0.25">
      <c r="A5770" s="362"/>
      <c r="B5770" s="611">
        <v>44469</v>
      </c>
      <c r="C5770" s="362" t="s">
        <v>86</v>
      </c>
      <c r="D5770" s="562">
        <v>80149988</v>
      </c>
      <c r="E5770" s="562">
        <v>175454016</v>
      </c>
      <c r="F5770" s="562">
        <v>255604000</v>
      </c>
      <c r="G5770" s="562">
        <f t="shared" si="307"/>
        <v>4</v>
      </c>
      <c r="H5770" s="362"/>
      <c r="I5770" s="362"/>
      <c r="J5770" s="362"/>
    </row>
    <row r="5771" spans="1:10" x14ac:dyDescent="0.25">
      <c r="A5771" s="362"/>
      <c r="B5771" s="611">
        <v>44469</v>
      </c>
      <c r="C5771" s="362" t="s">
        <v>87</v>
      </c>
      <c r="D5771" s="562">
        <v>55505393</v>
      </c>
      <c r="E5771" s="562">
        <v>121315896</v>
      </c>
      <c r="F5771" s="562">
        <v>176821400</v>
      </c>
      <c r="G5771" s="562">
        <f t="shared" si="307"/>
        <v>-111</v>
      </c>
      <c r="H5771" s="362"/>
      <c r="I5771" s="362"/>
      <c r="J5771" s="362"/>
    </row>
    <row r="5772" spans="1:10" x14ac:dyDescent="0.25">
      <c r="A5772" s="362"/>
      <c r="B5772" s="611">
        <v>44469</v>
      </c>
      <c r="C5772" s="362" t="s">
        <v>88</v>
      </c>
      <c r="D5772" s="562">
        <v>276987041</v>
      </c>
      <c r="E5772" s="562">
        <v>70444687</v>
      </c>
      <c r="F5772" s="562">
        <v>347431800</v>
      </c>
      <c r="G5772" s="562">
        <f t="shared" ref="G5772:G5835" si="312">D5772+E5772-F5772</f>
        <v>-72</v>
      </c>
      <c r="H5772" s="362"/>
      <c r="I5772" s="362"/>
      <c r="J5772" s="362"/>
    </row>
    <row r="5773" spans="1:10" x14ac:dyDescent="0.25">
      <c r="A5773" s="362"/>
      <c r="B5773" s="611">
        <v>44469</v>
      </c>
      <c r="C5773" s="362" t="s">
        <v>82</v>
      </c>
      <c r="D5773" s="562">
        <v>126591881</v>
      </c>
      <c r="E5773" s="562">
        <v>4352318</v>
      </c>
      <c r="F5773" s="562">
        <v>130944200</v>
      </c>
      <c r="G5773" s="562">
        <f t="shared" si="312"/>
        <v>-1</v>
      </c>
      <c r="H5773" s="362"/>
      <c r="I5773" s="362"/>
      <c r="J5773" s="362"/>
    </row>
    <row r="5774" spans="1:10" x14ac:dyDescent="0.25">
      <c r="A5774" s="362"/>
      <c r="B5774" s="611">
        <v>44469</v>
      </c>
      <c r="C5774" s="362" t="s">
        <v>80</v>
      </c>
      <c r="D5774" s="562">
        <v>301200070</v>
      </c>
      <c r="E5774" s="562"/>
      <c r="F5774" s="562">
        <v>301200400</v>
      </c>
      <c r="G5774" s="562">
        <f t="shared" si="312"/>
        <v>-330</v>
      </c>
      <c r="H5774" s="362"/>
      <c r="I5774" s="362"/>
      <c r="J5774" s="362"/>
    </row>
    <row r="5775" spans="1:10" x14ac:dyDescent="0.25">
      <c r="A5775" s="362"/>
      <c r="B5775" s="611">
        <v>44469</v>
      </c>
      <c r="C5775" s="362" t="s">
        <v>83</v>
      </c>
      <c r="D5775" s="562">
        <v>220167845</v>
      </c>
      <c r="E5775" s="562">
        <v>19402426</v>
      </c>
      <c r="F5775" s="562">
        <v>239570300</v>
      </c>
      <c r="G5775" s="562">
        <f t="shared" si="312"/>
        <v>-29</v>
      </c>
      <c r="H5775" s="362"/>
      <c r="I5775" s="362"/>
      <c r="J5775" s="362"/>
    </row>
    <row r="5776" spans="1:10" x14ac:dyDescent="0.25">
      <c r="A5776" s="362"/>
      <c r="B5776" s="611">
        <v>44469</v>
      </c>
      <c r="C5776" s="362" t="s">
        <v>78</v>
      </c>
      <c r="D5776" s="562">
        <v>143044531</v>
      </c>
      <c r="E5776" s="562">
        <v>2572469</v>
      </c>
      <c r="F5776" s="562">
        <v>145617000</v>
      </c>
      <c r="G5776" s="562">
        <f t="shared" si="312"/>
        <v>0</v>
      </c>
      <c r="H5776" s="362"/>
      <c r="I5776" s="362"/>
      <c r="J5776" s="362"/>
    </row>
    <row r="5777" spans="1:10" x14ac:dyDescent="0.25">
      <c r="A5777" s="362"/>
      <c r="B5777" s="611">
        <v>44469</v>
      </c>
      <c r="C5777" s="362" t="s">
        <v>141</v>
      </c>
      <c r="D5777" s="562">
        <v>66275846</v>
      </c>
      <c r="E5777" s="562">
        <v>428367</v>
      </c>
      <c r="F5777" s="562">
        <v>66704300</v>
      </c>
      <c r="G5777" s="562">
        <f t="shared" si="312"/>
        <v>-87</v>
      </c>
      <c r="H5777" s="362"/>
      <c r="I5777" s="362"/>
      <c r="J5777" s="362"/>
    </row>
    <row r="5778" spans="1:10" x14ac:dyDescent="0.25">
      <c r="A5778" s="362"/>
      <c r="B5778" s="611">
        <v>44469</v>
      </c>
      <c r="C5778" s="362" t="s">
        <v>89</v>
      </c>
      <c r="D5778" s="562">
        <v>145686248</v>
      </c>
      <c r="E5778" s="562">
        <v>12637052</v>
      </c>
      <c r="F5778" s="562">
        <v>158323200</v>
      </c>
      <c r="G5778" s="562">
        <f t="shared" si="312"/>
        <v>100</v>
      </c>
      <c r="H5778" s="362"/>
      <c r="I5778" s="362"/>
      <c r="J5778" s="362"/>
    </row>
    <row r="5779" spans="1:10" x14ac:dyDescent="0.25">
      <c r="A5779" s="362"/>
      <c r="B5779" s="611">
        <v>44469</v>
      </c>
      <c r="C5779" s="362" t="s">
        <v>81</v>
      </c>
      <c r="D5779" s="562">
        <v>73798167</v>
      </c>
      <c r="E5779" s="562">
        <v>102585985</v>
      </c>
      <c r="F5779" s="562">
        <v>176384200</v>
      </c>
      <c r="G5779" s="562">
        <f t="shared" si="312"/>
        <v>-48</v>
      </c>
      <c r="H5779" s="362"/>
      <c r="I5779" s="362"/>
      <c r="J5779" s="362"/>
    </row>
    <row r="5780" spans="1:10" x14ac:dyDescent="0.25">
      <c r="A5780" s="362"/>
      <c r="B5780" s="611">
        <v>44469</v>
      </c>
      <c r="C5780" s="362" t="s">
        <v>84</v>
      </c>
      <c r="D5780" s="562">
        <v>211848742</v>
      </c>
      <c r="E5780" s="562">
        <v>15287660</v>
      </c>
      <c r="F5780" s="562">
        <v>227137100</v>
      </c>
      <c r="G5780" s="562">
        <f t="shared" si="312"/>
        <v>-698</v>
      </c>
      <c r="H5780" s="362"/>
      <c r="I5780" s="362"/>
      <c r="J5780" s="362"/>
    </row>
    <row r="5781" spans="1:10" x14ac:dyDescent="0.25">
      <c r="A5781" s="362"/>
      <c r="B5781" s="611">
        <v>44469</v>
      </c>
      <c r="C5781" s="362" t="s">
        <v>4751</v>
      </c>
      <c r="D5781" s="562">
        <v>131393982</v>
      </c>
      <c r="E5781" s="562">
        <v>12280818</v>
      </c>
      <c r="F5781" s="562">
        <v>143674800</v>
      </c>
      <c r="G5781" s="562">
        <f t="shared" si="312"/>
        <v>0</v>
      </c>
      <c r="H5781" s="362"/>
      <c r="I5781" s="362"/>
      <c r="J5781" s="362"/>
    </row>
    <row r="5782" spans="1:10" x14ac:dyDescent="0.25">
      <c r="A5782" s="362"/>
      <c r="B5782" s="611">
        <v>44469</v>
      </c>
      <c r="C5782" s="362" t="s">
        <v>166</v>
      </c>
      <c r="D5782" s="562">
        <v>74253901</v>
      </c>
      <c r="E5782" s="562"/>
      <c r="F5782" s="562">
        <v>74253900</v>
      </c>
      <c r="G5782" s="562">
        <f t="shared" si="312"/>
        <v>1</v>
      </c>
      <c r="H5782" s="362"/>
      <c r="I5782" s="362"/>
      <c r="J5782" s="362"/>
    </row>
    <row r="5783" spans="1:10" x14ac:dyDescent="0.25">
      <c r="A5783" s="362"/>
      <c r="B5783" s="611">
        <v>44469</v>
      </c>
      <c r="C5783" s="362" t="s">
        <v>3435</v>
      </c>
      <c r="D5783" s="562">
        <v>49007121</v>
      </c>
      <c r="E5783" s="562"/>
      <c r="F5783" s="562">
        <v>49007200</v>
      </c>
      <c r="G5783" s="562">
        <f t="shared" si="312"/>
        <v>-79</v>
      </c>
      <c r="H5783" s="362"/>
      <c r="I5783" s="362"/>
      <c r="J5783" s="362"/>
    </row>
    <row r="5784" spans="1:10" x14ac:dyDescent="0.25">
      <c r="A5784" s="362"/>
      <c r="B5784" s="611">
        <v>44469</v>
      </c>
      <c r="C5784" s="370" t="s">
        <v>85</v>
      </c>
      <c r="D5784" s="562">
        <v>21874100</v>
      </c>
      <c r="E5784" s="562"/>
      <c r="F5784" s="562">
        <v>21874100</v>
      </c>
      <c r="G5784" s="562">
        <f t="shared" si="312"/>
        <v>0</v>
      </c>
      <c r="H5784" s="362"/>
      <c r="I5784" s="362"/>
      <c r="J5784" s="362"/>
    </row>
    <row r="5785" spans="1:10" x14ac:dyDescent="0.25">
      <c r="A5785" s="532"/>
      <c r="B5785" s="532"/>
      <c r="C5785" s="532"/>
      <c r="D5785" s="564">
        <f>SUM(D5770:D5784)</f>
        <v>1977784856</v>
      </c>
      <c r="E5785" s="564">
        <f t="shared" ref="E5785:G5785" si="313">SUM(E5770:E5784)</f>
        <v>536761694</v>
      </c>
      <c r="F5785" s="564">
        <f t="shared" si="313"/>
        <v>2514547900</v>
      </c>
      <c r="G5785" s="564">
        <f t="shared" si="313"/>
        <v>-1350</v>
      </c>
      <c r="H5785" s="532"/>
      <c r="I5785" s="532"/>
      <c r="J5785" s="532"/>
    </row>
    <row r="5786" spans="1:10" x14ac:dyDescent="0.25">
      <c r="A5786" s="362"/>
      <c r="B5786" s="611">
        <v>44470</v>
      </c>
      <c r="C5786" s="362" t="s">
        <v>86</v>
      </c>
      <c r="D5786" s="562">
        <v>82312545</v>
      </c>
      <c r="E5786" s="562">
        <v>51557319</v>
      </c>
      <c r="F5786" s="562">
        <v>133869900</v>
      </c>
      <c r="G5786" s="562">
        <f t="shared" si="312"/>
        <v>-36</v>
      </c>
      <c r="H5786" s="362"/>
      <c r="I5786" s="362"/>
      <c r="J5786" s="362"/>
    </row>
    <row r="5787" spans="1:10" x14ac:dyDescent="0.25">
      <c r="A5787" s="362"/>
      <c r="B5787" s="611">
        <v>44470</v>
      </c>
      <c r="C5787" s="362" t="s">
        <v>87</v>
      </c>
      <c r="D5787" s="562">
        <v>59371937</v>
      </c>
      <c r="E5787" s="562">
        <v>130357595</v>
      </c>
      <c r="F5787" s="562">
        <v>189729600</v>
      </c>
      <c r="G5787" s="562">
        <f t="shared" si="312"/>
        <v>-68</v>
      </c>
      <c r="H5787" s="362"/>
      <c r="I5787" s="362"/>
      <c r="J5787" s="362"/>
    </row>
    <row r="5788" spans="1:10" x14ac:dyDescent="0.25">
      <c r="A5788" s="362"/>
      <c r="B5788" s="611">
        <v>44470</v>
      </c>
      <c r="C5788" s="362" t="s">
        <v>88</v>
      </c>
      <c r="D5788" s="562">
        <v>84893274</v>
      </c>
      <c r="E5788" s="562">
        <v>100803661</v>
      </c>
      <c r="F5788" s="562">
        <v>185697000</v>
      </c>
      <c r="G5788" s="562">
        <f t="shared" si="312"/>
        <v>-65</v>
      </c>
      <c r="H5788" s="362"/>
      <c r="I5788" s="362"/>
      <c r="J5788" s="362"/>
    </row>
    <row r="5789" spans="1:10" x14ac:dyDescent="0.25">
      <c r="A5789" s="362"/>
      <c r="B5789" s="611">
        <v>44470</v>
      </c>
      <c r="C5789" s="362" t="s">
        <v>82</v>
      </c>
      <c r="D5789" s="562">
        <v>73589520</v>
      </c>
      <c r="E5789" s="562">
        <v>6889214</v>
      </c>
      <c r="F5789" s="562">
        <v>80478800</v>
      </c>
      <c r="G5789" s="562">
        <f t="shared" si="312"/>
        <v>-66</v>
      </c>
      <c r="H5789" s="362"/>
      <c r="I5789" s="362"/>
      <c r="J5789" s="362"/>
    </row>
    <row r="5790" spans="1:10" x14ac:dyDescent="0.25">
      <c r="A5790" s="362"/>
      <c r="B5790" s="611">
        <v>44470</v>
      </c>
      <c r="C5790" s="362" t="s">
        <v>80</v>
      </c>
      <c r="D5790" s="562">
        <v>190294094</v>
      </c>
      <c r="E5790" s="562">
        <v>14684206</v>
      </c>
      <c r="F5790" s="562">
        <v>204978300</v>
      </c>
      <c r="G5790" s="562">
        <f t="shared" si="312"/>
        <v>0</v>
      </c>
      <c r="H5790" s="362"/>
      <c r="I5790" s="362"/>
      <c r="J5790" s="362"/>
    </row>
    <row r="5791" spans="1:10" x14ac:dyDescent="0.25">
      <c r="A5791" s="362"/>
      <c r="B5791" s="611">
        <v>44470</v>
      </c>
      <c r="C5791" s="362" t="s">
        <v>83</v>
      </c>
      <c r="D5791" s="562">
        <v>158459911</v>
      </c>
      <c r="E5791" s="562">
        <v>52114728</v>
      </c>
      <c r="F5791" s="562">
        <v>210574700</v>
      </c>
      <c r="G5791" s="562">
        <f t="shared" si="312"/>
        <v>-61</v>
      </c>
      <c r="H5791" s="362"/>
      <c r="I5791" s="362"/>
      <c r="J5791" s="362"/>
    </row>
    <row r="5792" spans="1:10" x14ac:dyDescent="0.25">
      <c r="A5792" s="362"/>
      <c r="B5792" s="611">
        <v>44470</v>
      </c>
      <c r="C5792" s="362" t="s">
        <v>78</v>
      </c>
      <c r="D5792" s="562">
        <v>101797700</v>
      </c>
      <c r="E5792" s="562"/>
      <c r="F5792" s="562">
        <v>101797700</v>
      </c>
      <c r="G5792" s="562">
        <f t="shared" si="312"/>
        <v>0</v>
      </c>
      <c r="H5792" s="362"/>
      <c r="I5792" s="362"/>
      <c r="J5792" s="362"/>
    </row>
    <row r="5793" spans="1:10" x14ac:dyDescent="0.25">
      <c r="A5793" s="362"/>
      <c r="B5793" s="611">
        <v>44470</v>
      </c>
      <c r="C5793" s="362" t="s">
        <v>141</v>
      </c>
      <c r="D5793" s="562">
        <v>67733788</v>
      </c>
      <c r="E5793" s="562"/>
      <c r="F5793" s="562">
        <v>67733800</v>
      </c>
      <c r="G5793" s="562">
        <f t="shared" si="312"/>
        <v>-12</v>
      </c>
      <c r="H5793" s="362"/>
      <c r="I5793" s="362"/>
      <c r="J5793" s="362"/>
    </row>
    <row r="5794" spans="1:10" x14ac:dyDescent="0.25">
      <c r="A5794" s="362"/>
      <c r="B5794" s="611">
        <v>44470</v>
      </c>
      <c r="C5794" s="362" t="s">
        <v>89</v>
      </c>
      <c r="D5794" s="562">
        <v>145539115</v>
      </c>
      <c r="E5794" s="562">
        <v>128687285</v>
      </c>
      <c r="F5794" s="562">
        <v>274226700</v>
      </c>
      <c r="G5794" s="562">
        <f t="shared" si="312"/>
        <v>-300</v>
      </c>
      <c r="H5794" s="362"/>
      <c r="I5794" s="362"/>
      <c r="J5794" s="362"/>
    </row>
    <row r="5795" spans="1:10" x14ac:dyDescent="0.25">
      <c r="A5795" s="362"/>
      <c r="B5795" s="611">
        <v>44470</v>
      </c>
      <c r="C5795" s="362" t="s">
        <v>81</v>
      </c>
      <c r="D5795" s="562">
        <v>58207944</v>
      </c>
      <c r="E5795" s="562">
        <v>10342661</v>
      </c>
      <c r="F5795" s="562">
        <v>68550600</v>
      </c>
      <c r="G5795" s="562">
        <f t="shared" si="312"/>
        <v>5</v>
      </c>
      <c r="H5795" s="362"/>
      <c r="I5795" s="362"/>
      <c r="J5795" s="362"/>
    </row>
    <row r="5796" spans="1:10" x14ac:dyDescent="0.25">
      <c r="A5796" s="362"/>
      <c r="B5796" s="611">
        <v>44470</v>
      </c>
      <c r="C5796" s="362" t="s">
        <v>84</v>
      </c>
      <c r="D5796" s="562">
        <v>169596348</v>
      </c>
      <c r="E5796" s="562">
        <v>15968542</v>
      </c>
      <c r="F5796" s="562">
        <v>185564400</v>
      </c>
      <c r="G5796" s="562">
        <f t="shared" si="312"/>
        <v>490</v>
      </c>
      <c r="H5796" s="362"/>
      <c r="I5796" s="362"/>
      <c r="J5796" s="362"/>
    </row>
    <row r="5797" spans="1:10" x14ac:dyDescent="0.25">
      <c r="A5797" s="362"/>
      <c r="B5797" s="611">
        <v>44470</v>
      </c>
      <c r="C5797" s="362" t="s">
        <v>4751</v>
      </c>
      <c r="D5797" s="562">
        <v>211547380</v>
      </c>
      <c r="E5797" s="562">
        <v>5522820</v>
      </c>
      <c r="F5797" s="562">
        <v>217070200</v>
      </c>
      <c r="G5797" s="562">
        <f t="shared" si="312"/>
        <v>0</v>
      </c>
      <c r="H5797" s="362"/>
      <c r="I5797" s="362"/>
      <c r="J5797" s="362"/>
    </row>
    <row r="5798" spans="1:10" x14ac:dyDescent="0.25">
      <c r="A5798" s="362"/>
      <c r="B5798" s="611">
        <v>44470</v>
      </c>
      <c r="C5798" s="362" t="s">
        <v>166</v>
      </c>
      <c r="D5798" s="562">
        <v>27822708</v>
      </c>
      <c r="E5798" s="562"/>
      <c r="F5798" s="562">
        <v>27822800</v>
      </c>
      <c r="G5798" s="562">
        <f t="shared" si="312"/>
        <v>-92</v>
      </c>
      <c r="H5798" s="362"/>
      <c r="I5798" s="362"/>
      <c r="J5798" s="362"/>
    </row>
    <row r="5799" spans="1:10" x14ac:dyDescent="0.25">
      <c r="A5799" s="362"/>
      <c r="B5799" s="611">
        <v>44470</v>
      </c>
      <c r="C5799" s="362" t="s">
        <v>3435</v>
      </c>
      <c r="D5799" s="562">
        <v>68221714</v>
      </c>
      <c r="E5799" s="562"/>
      <c r="F5799" s="562">
        <v>68221800</v>
      </c>
      <c r="G5799" s="562">
        <f t="shared" si="312"/>
        <v>-86</v>
      </c>
      <c r="H5799" s="362"/>
      <c r="I5799" s="362"/>
      <c r="J5799" s="362"/>
    </row>
    <row r="5800" spans="1:10" x14ac:dyDescent="0.25">
      <c r="A5800" s="362"/>
      <c r="B5800" s="611">
        <v>44470</v>
      </c>
      <c r="C5800" s="370" t="s">
        <v>85</v>
      </c>
      <c r="D5800" s="562">
        <v>21038100</v>
      </c>
      <c r="E5800" s="562"/>
      <c r="F5800" s="562">
        <v>21038100</v>
      </c>
      <c r="G5800" s="562">
        <f t="shared" si="312"/>
        <v>0</v>
      </c>
      <c r="H5800" s="362"/>
      <c r="I5800" s="362"/>
      <c r="J5800" s="362"/>
    </row>
    <row r="5801" spans="1:10" x14ac:dyDescent="0.25">
      <c r="A5801" s="532"/>
      <c r="B5801" s="532"/>
      <c r="C5801" s="532"/>
      <c r="D5801" s="564">
        <f>SUM(D5786:D5800)</f>
        <v>1520426078</v>
      </c>
      <c r="E5801" s="564">
        <f t="shared" ref="E5801:G5801" si="314">SUM(E5786:E5800)</f>
        <v>516928031</v>
      </c>
      <c r="F5801" s="564">
        <f t="shared" si="314"/>
        <v>2037354400</v>
      </c>
      <c r="G5801" s="564">
        <f t="shared" si="314"/>
        <v>-291</v>
      </c>
      <c r="H5801" s="532"/>
      <c r="I5801" s="532"/>
      <c r="J5801" s="532"/>
    </row>
    <row r="5802" spans="1:10" x14ac:dyDescent="0.25">
      <c r="A5802" s="362"/>
      <c r="B5802" s="611">
        <v>44471</v>
      </c>
      <c r="C5802" s="362" t="s">
        <v>86</v>
      </c>
      <c r="D5802" s="562">
        <v>83527186</v>
      </c>
      <c r="E5802" s="562">
        <v>30501105</v>
      </c>
      <c r="F5802" s="562"/>
      <c r="G5802" s="562">
        <f t="shared" si="312"/>
        <v>114028291</v>
      </c>
      <c r="H5802" s="362"/>
      <c r="I5802" s="362"/>
      <c r="J5802" s="362"/>
    </row>
    <row r="5803" spans="1:10" x14ac:dyDescent="0.25">
      <c r="A5803" s="362"/>
      <c r="B5803" s="611">
        <v>44471</v>
      </c>
      <c r="C5803" s="362" t="s">
        <v>87</v>
      </c>
      <c r="D5803" s="562">
        <v>61865423</v>
      </c>
      <c r="E5803" s="562">
        <v>60970850</v>
      </c>
      <c r="F5803" s="562"/>
      <c r="G5803" s="562">
        <f t="shared" si="312"/>
        <v>122836273</v>
      </c>
      <c r="H5803" s="362"/>
      <c r="I5803" s="362"/>
      <c r="J5803" s="362"/>
    </row>
    <row r="5804" spans="1:10" x14ac:dyDescent="0.25">
      <c r="A5804" s="362"/>
      <c r="B5804" s="611">
        <v>44471</v>
      </c>
      <c r="C5804" s="362" t="s">
        <v>88</v>
      </c>
      <c r="D5804" s="562">
        <v>143615039</v>
      </c>
      <c r="E5804" s="562">
        <v>10398371</v>
      </c>
      <c r="F5804" s="562"/>
      <c r="G5804" s="562">
        <f t="shared" si="312"/>
        <v>154013410</v>
      </c>
      <c r="H5804" s="362"/>
      <c r="I5804" s="362"/>
      <c r="J5804" s="362"/>
    </row>
    <row r="5805" spans="1:10" x14ac:dyDescent="0.25">
      <c r="A5805" s="362"/>
      <c r="B5805" s="611">
        <v>44471</v>
      </c>
      <c r="C5805" s="362" t="s">
        <v>82</v>
      </c>
      <c r="D5805" s="562">
        <v>28569239</v>
      </c>
      <c r="E5805" s="562">
        <v>2689698</v>
      </c>
      <c r="F5805" s="562"/>
      <c r="G5805" s="562">
        <f t="shared" si="312"/>
        <v>31258937</v>
      </c>
      <c r="H5805" s="362"/>
      <c r="I5805" s="362"/>
      <c r="J5805" s="362"/>
    </row>
    <row r="5806" spans="1:10" x14ac:dyDescent="0.25">
      <c r="A5806" s="362"/>
      <c r="B5806" s="611">
        <v>44471</v>
      </c>
      <c r="C5806" s="362" t="s">
        <v>80</v>
      </c>
      <c r="D5806" s="562">
        <v>257846800</v>
      </c>
      <c r="E5806" s="562"/>
      <c r="F5806" s="562"/>
      <c r="G5806" s="562">
        <f t="shared" si="312"/>
        <v>257846800</v>
      </c>
      <c r="H5806" s="362"/>
      <c r="I5806" s="362"/>
      <c r="J5806" s="362"/>
    </row>
    <row r="5807" spans="1:10" x14ac:dyDescent="0.25">
      <c r="A5807" s="362"/>
      <c r="B5807" s="611">
        <v>44471</v>
      </c>
      <c r="C5807" s="362" t="s">
        <v>83</v>
      </c>
      <c r="D5807" s="562">
        <v>206282710</v>
      </c>
      <c r="E5807" s="562">
        <v>29547690</v>
      </c>
      <c r="F5807" s="562"/>
      <c r="G5807" s="562">
        <f t="shared" si="312"/>
        <v>235830400</v>
      </c>
      <c r="H5807" s="362"/>
      <c r="I5807" s="362"/>
      <c r="J5807" s="362"/>
    </row>
    <row r="5808" spans="1:10" x14ac:dyDescent="0.25">
      <c r="A5808" s="362"/>
      <c r="B5808" s="611">
        <v>44471</v>
      </c>
      <c r="C5808" s="362" t="s">
        <v>78</v>
      </c>
      <c r="D5808" s="562">
        <v>162936945</v>
      </c>
      <c r="E5808" s="562">
        <v>30149755</v>
      </c>
      <c r="F5808" s="562"/>
      <c r="G5808" s="562">
        <f t="shared" si="312"/>
        <v>193086700</v>
      </c>
      <c r="H5808" s="362"/>
      <c r="I5808" s="362"/>
      <c r="J5808" s="362"/>
    </row>
    <row r="5809" spans="1:10" x14ac:dyDescent="0.25">
      <c r="A5809" s="362"/>
      <c r="B5809" s="611">
        <v>44471</v>
      </c>
      <c r="C5809" s="362" t="s">
        <v>141</v>
      </c>
      <c r="D5809" s="562">
        <v>43692090</v>
      </c>
      <c r="E5809" s="562"/>
      <c r="F5809" s="562"/>
      <c r="G5809" s="562">
        <f t="shared" si="312"/>
        <v>43692090</v>
      </c>
      <c r="H5809" s="362"/>
      <c r="I5809" s="362"/>
      <c r="J5809" s="362"/>
    </row>
    <row r="5810" spans="1:10" x14ac:dyDescent="0.25">
      <c r="A5810" s="362"/>
      <c r="B5810" s="611">
        <v>44471</v>
      </c>
      <c r="C5810" s="362" t="s">
        <v>89</v>
      </c>
      <c r="D5810" s="562">
        <v>83927208</v>
      </c>
      <c r="E5810" s="562">
        <v>18738892</v>
      </c>
      <c r="F5810" s="562"/>
      <c r="G5810" s="562">
        <f t="shared" si="312"/>
        <v>102666100</v>
      </c>
      <c r="H5810" s="362"/>
      <c r="I5810" s="362"/>
      <c r="J5810" s="362"/>
    </row>
    <row r="5811" spans="1:10" x14ac:dyDescent="0.25">
      <c r="A5811" s="362"/>
      <c r="B5811" s="611">
        <v>44471</v>
      </c>
      <c r="C5811" s="362" t="s">
        <v>81</v>
      </c>
      <c r="D5811" s="562">
        <v>73321091</v>
      </c>
      <c r="E5811" s="562">
        <v>11047891</v>
      </c>
      <c r="F5811" s="562"/>
      <c r="G5811" s="562">
        <f t="shared" si="312"/>
        <v>84368982</v>
      </c>
      <c r="H5811" s="362"/>
      <c r="I5811" s="362"/>
      <c r="J5811" s="362"/>
    </row>
    <row r="5812" spans="1:10" x14ac:dyDescent="0.25">
      <c r="A5812" s="362"/>
      <c r="B5812" s="611">
        <v>44471</v>
      </c>
      <c r="C5812" s="362" t="s">
        <v>84</v>
      </c>
      <c r="D5812" s="562">
        <v>138893931</v>
      </c>
      <c r="E5812" s="562">
        <v>16230647</v>
      </c>
      <c r="F5812" s="562"/>
      <c r="G5812" s="562">
        <f t="shared" si="312"/>
        <v>155124578</v>
      </c>
      <c r="H5812" s="362"/>
      <c r="I5812" s="362"/>
      <c r="J5812" s="362"/>
    </row>
    <row r="5813" spans="1:10" x14ac:dyDescent="0.25">
      <c r="A5813" s="362"/>
      <c r="B5813" s="611">
        <v>44471</v>
      </c>
      <c r="C5813" s="362" t="s">
        <v>4751</v>
      </c>
      <c r="D5813" s="562">
        <v>188955377</v>
      </c>
      <c r="E5813" s="562">
        <v>37447623</v>
      </c>
      <c r="F5813" s="562"/>
      <c r="G5813" s="562">
        <f t="shared" si="312"/>
        <v>226403000</v>
      </c>
      <c r="H5813" s="362"/>
      <c r="I5813" s="362"/>
      <c r="J5813" s="362"/>
    </row>
    <row r="5814" spans="1:10" x14ac:dyDescent="0.25">
      <c r="A5814" s="362"/>
      <c r="B5814" s="611">
        <v>44471</v>
      </c>
      <c r="C5814" s="362" t="s">
        <v>166</v>
      </c>
      <c r="D5814" s="562"/>
      <c r="E5814" s="562"/>
      <c r="F5814" s="562"/>
      <c r="G5814" s="562">
        <f t="shared" si="312"/>
        <v>0</v>
      </c>
      <c r="H5814" s="362"/>
      <c r="I5814" s="362"/>
      <c r="J5814" s="362"/>
    </row>
    <row r="5815" spans="1:10" x14ac:dyDescent="0.25">
      <c r="A5815" s="362"/>
      <c r="B5815" s="611">
        <v>44471</v>
      </c>
      <c r="C5815" s="362" t="s">
        <v>3435</v>
      </c>
      <c r="D5815" s="562"/>
      <c r="E5815" s="562"/>
      <c r="F5815" s="562"/>
      <c r="G5815" s="562">
        <f t="shared" si="312"/>
        <v>0</v>
      </c>
      <c r="H5815" s="362"/>
      <c r="I5815" s="362"/>
      <c r="J5815" s="362"/>
    </row>
    <row r="5816" spans="1:10" x14ac:dyDescent="0.25">
      <c r="A5816" s="362"/>
      <c r="B5816" s="611">
        <v>44471</v>
      </c>
      <c r="C5816" s="370" t="s">
        <v>85</v>
      </c>
      <c r="D5816" s="562">
        <v>25091900</v>
      </c>
      <c r="E5816" s="562"/>
      <c r="F5816" s="562"/>
      <c r="G5816" s="562">
        <f t="shared" si="312"/>
        <v>25091900</v>
      </c>
      <c r="H5816" s="362"/>
      <c r="I5816" s="362"/>
      <c r="J5816" s="362"/>
    </row>
    <row r="5817" spans="1:10" x14ac:dyDescent="0.25">
      <c r="A5817" s="532"/>
      <c r="B5817" s="532"/>
      <c r="C5817" s="532"/>
      <c r="D5817" s="564">
        <f>SUM(D5802:D5816)</f>
        <v>1498524939</v>
      </c>
      <c r="E5817" s="564">
        <f t="shared" ref="E5817:G5817" si="315">SUM(E5802:E5816)</f>
        <v>247722522</v>
      </c>
      <c r="F5817" s="564">
        <f t="shared" si="315"/>
        <v>0</v>
      </c>
      <c r="G5817" s="564">
        <f t="shared" si="315"/>
        <v>1746247461</v>
      </c>
      <c r="H5817" s="532"/>
      <c r="I5817" s="532"/>
      <c r="J5817" s="532"/>
    </row>
    <row r="5818" spans="1:10" x14ac:dyDescent="0.25">
      <c r="A5818" s="362"/>
      <c r="B5818" s="611">
        <v>44473</v>
      </c>
      <c r="C5818" s="362" t="s">
        <v>86</v>
      </c>
      <c r="D5818" s="562">
        <v>36130733</v>
      </c>
      <c r="E5818" s="562">
        <v>21015800</v>
      </c>
      <c r="F5818" s="562"/>
      <c r="G5818" s="562">
        <f t="shared" si="312"/>
        <v>57146533</v>
      </c>
      <c r="H5818" s="362"/>
      <c r="I5818" s="362"/>
      <c r="J5818" s="362"/>
    </row>
    <row r="5819" spans="1:10" x14ac:dyDescent="0.25">
      <c r="A5819" s="362"/>
      <c r="B5819" s="611">
        <v>44473</v>
      </c>
      <c r="C5819" s="362" t="s">
        <v>87</v>
      </c>
      <c r="D5819" s="562">
        <v>34271024</v>
      </c>
      <c r="E5819" s="562">
        <v>6872485</v>
      </c>
      <c r="F5819" s="562"/>
      <c r="G5819" s="562">
        <f t="shared" si="312"/>
        <v>41143509</v>
      </c>
      <c r="H5819" s="362"/>
      <c r="I5819" s="362"/>
      <c r="J5819" s="362"/>
    </row>
    <row r="5820" spans="1:10" x14ac:dyDescent="0.25">
      <c r="A5820" s="362"/>
      <c r="B5820" s="611">
        <v>44473</v>
      </c>
      <c r="C5820" s="362" t="s">
        <v>88</v>
      </c>
      <c r="D5820" s="562">
        <v>138072512</v>
      </c>
      <c r="E5820" s="562">
        <v>105038095</v>
      </c>
      <c r="F5820" s="562"/>
      <c r="G5820" s="562">
        <f t="shared" si="312"/>
        <v>243110607</v>
      </c>
      <c r="H5820" s="362"/>
      <c r="I5820" s="362"/>
      <c r="J5820" s="362"/>
    </row>
    <row r="5821" spans="1:10" x14ac:dyDescent="0.25">
      <c r="A5821" s="362"/>
      <c r="B5821" s="611">
        <v>44473</v>
      </c>
      <c r="C5821" s="362" t="s">
        <v>82</v>
      </c>
      <c r="D5821" s="562">
        <v>47376852</v>
      </c>
      <c r="E5821" s="562">
        <v>2332443</v>
      </c>
      <c r="F5821" s="562"/>
      <c r="G5821" s="562">
        <f t="shared" si="312"/>
        <v>49709295</v>
      </c>
      <c r="H5821" s="362"/>
      <c r="I5821" s="362"/>
      <c r="J5821" s="362"/>
    </row>
    <row r="5822" spans="1:10" x14ac:dyDescent="0.25">
      <c r="A5822" s="362"/>
      <c r="B5822" s="611">
        <v>44473</v>
      </c>
      <c r="C5822" s="362" t="s">
        <v>80</v>
      </c>
      <c r="D5822" s="562">
        <v>202524900</v>
      </c>
      <c r="E5822" s="562"/>
      <c r="F5822" s="562"/>
      <c r="G5822" s="562">
        <f t="shared" si="312"/>
        <v>202524900</v>
      </c>
      <c r="H5822" s="362"/>
      <c r="I5822" s="362"/>
      <c r="J5822" s="362"/>
    </row>
    <row r="5823" spans="1:10" x14ac:dyDescent="0.25">
      <c r="A5823" s="362"/>
      <c r="B5823" s="611">
        <v>44473</v>
      </c>
      <c r="C5823" s="362" t="s">
        <v>83</v>
      </c>
      <c r="D5823" s="562">
        <v>183811038</v>
      </c>
      <c r="E5823" s="562">
        <v>8296606</v>
      </c>
      <c r="F5823" s="562"/>
      <c r="G5823" s="562">
        <f t="shared" si="312"/>
        <v>192107644</v>
      </c>
      <c r="H5823" s="362"/>
      <c r="I5823" s="362"/>
      <c r="J5823" s="362"/>
    </row>
    <row r="5824" spans="1:10" x14ac:dyDescent="0.25">
      <c r="A5824" s="362"/>
      <c r="B5824" s="611">
        <v>44473</v>
      </c>
      <c r="C5824" s="362" t="s">
        <v>78</v>
      </c>
      <c r="D5824" s="562">
        <v>103553116</v>
      </c>
      <c r="E5824" s="562">
        <v>2192084</v>
      </c>
      <c r="F5824" s="562"/>
      <c r="G5824" s="562">
        <f t="shared" si="312"/>
        <v>105745200</v>
      </c>
      <c r="H5824" s="362"/>
      <c r="I5824" s="362"/>
      <c r="J5824" s="362"/>
    </row>
    <row r="5825" spans="1:10" x14ac:dyDescent="0.25">
      <c r="A5825" s="362"/>
      <c r="B5825" s="611">
        <v>44473</v>
      </c>
      <c r="C5825" s="362" t="s">
        <v>141</v>
      </c>
      <c r="D5825" s="562">
        <v>41966301</v>
      </c>
      <c r="E5825" s="562"/>
      <c r="F5825" s="562"/>
      <c r="G5825" s="562">
        <f t="shared" si="312"/>
        <v>41966301</v>
      </c>
      <c r="H5825" s="362"/>
      <c r="I5825" s="362"/>
      <c r="J5825" s="362"/>
    </row>
    <row r="5826" spans="1:10" x14ac:dyDescent="0.25">
      <c r="A5826" s="362"/>
      <c r="B5826" s="611">
        <v>44473</v>
      </c>
      <c r="C5826" s="362" t="s">
        <v>89</v>
      </c>
      <c r="D5826" s="562">
        <v>145378008</v>
      </c>
      <c r="E5826" s="562">
        <v>41859052</v>
      </c>
      <c r="F5826" s="562"/>
      <c r="G5826" s="562">
        <f t="shared" si="312"/>
        <v>187237060</v>
      </c>
      <c r="H5826" s="362"/>
      <c r="I5826" s="362"/>
      <c r="J5826" s="362"/>
    </row>
    <row r="5827" spans="1:10" x14ac:dyDescent="0.25">
      <c r="A5827" s="362"/>
      <c r="B5827" s="611">
        <v>44473</v>
      </c>
      <c r="C5827" s="362" t="s">
        <v>81</v>
      </c>
      <c r="D5827" s="562">
        <v>126922652</v>
      </c>
      <c r="E5827" s="562">
        <v>7015421</v>
      </c>
      <c r="F5827" s="562"/>
      <c r="G5827" s="562">
        <f t="shared" si="312"/>
        <v>133938073</v>
      </c>
      <c r="H5827" s="362"/>
      <c r="I5827" s="362"/>
      <c r="J5827" s="362"/>
    </row>
    <row r="5828" spans="1:10" x14ac:dyDescent="0.25">
      <c r="A5828" s="362"/>
      <c r="B5828" s="611">
        <v>44473</v>
      </c>
      <c r="C5828" s="362" t="s">
        <v>84</v>
      </c>
      <c r="D5828" s="562">
        <v>184402734</v>
      </c>
      <c r="E5828" s="562">
        <v>10913594</v>
      </c>
      <c r="F5828" s="562"/>
      <c r="G5828" s="562">
        <f t="shared" si="312"/>
        <v>195316328</v>
      </c>
      <c r="H5828" s="362"/>
      <c r="I5828" s="362"/>
      <c r="J5828" s="362"/>
    </row>
    <row r="5829" spans="1:10" x14ac:dyDescent="0.25">
      <c r="A5829" s="362"/>
      <c r="B5829" s="611">
        <v>44473</v>
      </c>
      <c r="C5829" s="362" t="s">
        <v>4751</v>
      </c>
      <c r="D5829" s="562">
        <v>177243689</v>
      </c>
      <c r="E5829" s="562">
        <v>4964011</v>
      </c>
      <c r="F5829" s="562"/>
      <c r="G5829" s="562">
        <f t="shared" si="312"/>
        <v>182207700</v>
      </c>
      <c r="H5829" s="362"/>
      <c r="I5829" s="362"/>
      <c r="J5829" s="362"/>
    </row>
    <row r="5830" spans="1:10" x14ac:dyDescent="0.25">
      <c r="A5830" s="362"/>
      <c r="B5830" s="611">
        <v>44473</v>
      </c>
      <c r="C5830" s="362" t="s">
        <v>166</v>
      </c>
      <c r="D5830" s="562">
        <v>33770689</v>
      </c>
      <c r="E5830" s="562"/>
      <c r="F5830" s="562"/>
      <c r="G5830" s="562">
        <f t="shared" si="312"/>
        <v>33770689</v>
      </c>
      <c r="H5830" s="362"/>
      <c r="I5830" s="362"/>
      <c r="J5830" s="362"/>
    </row>
    <row r="5831" spans="1:10" x14ac:dyDescent="0.25">
      <c r="A5831" s="362"/>
      <c r="B5831" s="611">
        <v>44473</v>
      </c>
      <c r="C5831" s="362" t="s">
        <v>3435</v>
      </c>
      <c r="D5831" s="562">
        <v>29831510</v>
      </c>
      <c r="E5831" s="562"/>
      <c r="F5831" s="562"/>
      <c r="G5831" s="562">
        <f t="shared" si="312"/>
        <v>29831510</v>
      </c>
      <c r="H5831" s="362"/>
      <c r="I5831" s="362"/>
      <c r="J5831" s="362"/>
    </row>
    <row r="5832" spans="1:10" x14ac:dyDescent="0.25">
      <c r="A5832" s="362"/>
      <c r="B5832" s="611">
        <v>44473</v>
      </c>
      <c r="C5832" s="370" t="s">
        <v>85</v>
      </c>
      <c r="D5832" s="562">
        <v>54899100</v>
      </c>
      <c r="E5832" s="562"/>
      <c r="F5832" s="562"/>
      <c r="G5832" s="562">
        <f t="shared" si="312"/>
        <v>54899100</v>
      </c>
      <c r="H5832" s="362"/>
      <c r="I5832" s="362"/>
      <c r="J5832" s="362"/>
    </row>
    <row r="5833" spans="1:10" x14ac:dyDescent="0.25">
      <c r="A5833" s="532"/>
      <c r="B5833" s="532"/>
      <c r="C5833" s="532"/>
      <c r="D5833" s="564">
        <f>SUM(D5818:D5832)</f>
        <v>1540154858</v>
      </c>
      <c r="E5833" s="564">
        <f t="shared" ref="E5833:G5833" si="316">SUM(E5818:E5832)</f>
        <v>210499591</v>
      </c>
      <c r="F5833" s="564">
        <f t="shared" si="316"/>
        <v>0</v>
      </c>
      <c r="G5833" s="564">
        <f t="shared" si="316"/>
        <v>1750654449</v>
      </c>
      <c r="H5833" s="532"/>
      <c r="I5833" s="532"/>
      <c r="J5833" s="532"/>
    </row>
    <row r="5834" spans="1:10" x14ac:dyDescent="0.25">
      <c r="A5834" s="362"/>
      <c r="B5834" s="611">
        <v>44474</v>
      </c>
      <c r="C5834" s="362" t="s">
        <v>86</v>
      </c>
      <c r="D5834" s="562">
        <v>86459473</v>
      </c>
      <c r="E5834" s="562">
        <v>29896765</v>
      </c>
      <c r="F5834" s="562"/>
      <c r="G5834" s="562">
        <f t="shared" si="312"/>
        <v>116356238</v>
      </c>
      <c r="H5834" s="362"/>
      <c r="I5834" s="362"/>
      <c r="J5834" s="362"/>
    </row>
    <row r="5835" spans="1:10" x14ac:dyDescent="0.25">
      <c r="A5835" s="362"/>
      <c r="B5835" s="611">
        <v>44474</v>
      </c>
      <c r="C5835" s="362" t="s">
        <v>87</v>
      </c>
      <c r="D5835" s="562">
        <v>46085771</v>
      </c>
      <c r="E5835" s="562">
        <v>122036708</v>
      </c>
      <c r="F5835" s="562"/>
      <c r="G5835" s="562">
        <f t="shared" si="312"/>
        <v>168122479</v>
      </c>
      <c r="H5835" s="362"/>
      <c r="I5835" s="362"/>
      <c r="J5835" s="362"/>
    </row>
    <row r="5836" spans="1:10" x14ac:dyDescent="0.25">
      <c r="A5836" s="362"/>
      <c r="B5836" s="611">
        <v>44474</v>
      </c>
      <c r="C5836" s="362" t="s">
        <v>88</v>
      </c>
      <c r="D5836" s="562">
        <v>206779076</v>
      </c>
      <c r="E5836" s="562">
        <v>91547419</v>
      </c>
      <c r="F5836" s="562"/>
      <c r="G5836" s="562">
        <f t="shared" ref="G5836:G5899" si="317">D5836+E5836-F5836</f>
        <v>298326495</v>
      </c>
      <c r="H5836" s="362"/>
      <c r="I5836" s="362"/>
      <c r="J5836" s="362"/>
    </row>
    <row r="5837" spans="1:10" x14ac:dyDescent="0.25">
      <c r="A5837" s="362"/>
      <c r="B5837" s="611">
        <v>44474</v>
      </c>
      <c r="C5837" s="362" t="s">
        <v>82</v>
      </c>
      <c r="D5837" s="562">
        <v>43183454</v>
      </c>
      <c r="E5837" s="562">
        <v>2225740</v>
      </c>
      <c r="F5837" s="562"/>
      <c r="G5837" s="562">
        <f t="shared" si="317"/>
        <v>45409194</v>
      </c>
      <c r="H5837" s="362"/>
      <c r="I5837" s="362"/>
      <c r="J5837" s="362"/>
    </row>
    <row r="5838" spans="1:10" x14ac:dyDescent="0.25">
      <c r="A5838" s="362"/>
      <c r="B5838" s="611">
        <v>44474</v>
      </c>
      <c r="C5838" s="362" t="s">
        <v>80</v>
      </c>
      <c r="D5838" s="562">
        <v>188711930</v>
      </c>
      <c r="E5838" s="562">
        <v>46223340</v>
      </c>
      <c r="F5838" s="562"/>
      <c r="G5838" s="562">
        <f t="shared" si="317"/>
        <v>234935270</v>
      </c>
      <c r="H5838" s="362"/>
      <c r="I5838" s="362"/>
      <c r="J5838" s="362"/>
    </row>
    <row r="5839" spans="1:10" x14ac:dyDescent="0.25">
      <c r="A5839" s="362"/>
      <c r="B5839" s="611">
        <v>44474</v>
      </c>
      <c r="C5839" s="362" t="s">
        <v>83</v>
      </c>
      <c r="D5839" s="562">
        <v>221996615</v>
      </c>
      <c r="E5839" s="562">
        <v>10271731</v>
      </c>
      <c r="F5839" s="562"/>
      <c r="G5839" s="562">
        <f t="shared" si="317"/>
        <v>232268346</v>
      </c>
      <c r="H5839" s="362"/>
      <c r="I5839" s="362"/>
      <c r="J5839" s="362"/>
    </row>
    <row r="5840" spans="1:10" x14ac:dyDescent="0.25">
      <c r="A5840" s="362"/>
      <c r="B5840" s="611">
        <v>44474</v>
      </c>
      <c r="C5840" s="362" t="s">
        <v>78</v>
      </c>
      <c r="D5840" s="562">
        <v>88788938</v>
      </c>
      <c r="E5840" s="562">
        <v>1796262</v>
      </c>
      <c r="F5840" s="562"/>
      <c r="G5840" s="562">
        <f t="shared" si="317"/>
        <v>90585200</v>
      </c>
      <c r="H5840" s="362"/>
      <c r="I5840" s="362"/>
      <c r="J5840" s="362"/>
    </row>
    <row r="5841" spans="1:10" x14ac:dyDescent="0.25">
      <c r="A5841" s="362"/>
      <c r="B5841" s="611">
        <v>44474</v>
      </c>
      <c r="C5841" s="362" t="s">
        <v>141</v>
      </c>
      <c r="D5841" s="562">
        <v>111516463</v>
      </c>
      <c r="E5841" s="562"/>
      <c r="F5841" s="562"/>
      <c r="G5841" s="562">
        <f t="shared" si="317"/>
        <v>111516463</v>
      </c>
      <c r="H5841" s="362"/>
      <c r="I5841" s="362"/>
      <c r="J5841" s="362"/>
    </row>
    <row r="5842" spans="1:10" x14ac:dyDescent="0.25">
      <c r="A5842" s="362"/>
      <c r="B5842" s="611">
        <v>44474</v>
      </c>
      <c r="C5842" s="362" t="s">
        <v>89</v>
      </c>
      <c r="D5842" s="562">
        <v>128257156</v>
      </c>
      <c r="E5842" s="562">
        <v>9523944</v>
      </c>
      <c r="F5842" s="562"/>
      <c r="G5842" s="562">
        <f t="shared" si="317"/>
        <v>137781100</v>
      </c>
      <c r="H5842" s="362"/>
      <c r="I5842" s="362"/>
      <c r="J5842" s="362"/>
    </row>
    <row r="5843" spans="1:10" x14ac:dyDescent="0.25">
      <c r="A5843" s="362"/>
      <c r="B5843" s="611">
        <v>44474</v>
      </c>
      <c r="C5843" s="362" t="s">
        <v>81</v>
      </c>
      <c r="D5843" s="562">
        <v>99549632</v>
      </c>
      <c r="E5843" s="562">
        <v>18009836</v>
      </c>
      <c r="F5843" s="562"/>
      <c r="G5843" s="562">
        <f t="shared" si="317"/>
        <v>117559468</v>
      </c>
      <c r="H5843" s="362"/>
      <c r="I5843" s="362"/>
      <c r="J5843" s="362"/>
    </row>
    <row r="5844" spans="1:10" x14ac:dyDescent="0.25">
      <c r="A5844" s="362"/>
      <c r="B5844" s="611">
        <v>44474</v>
      </c>
      <c r="C5844" s="362" t="s">
        <v>84</v>
      </c>
      <c r="D5844" s="562">
        <v>191546930</v>
      </c>
      <c r="E5844" s="562">
        <v>14110298</v>
      </c>
      <c r="F5844" s="562"/>
      <c r="G5844" s="562">
        <f t="shared" si="317"/>
        <v>205657228</v>
      </c>
      <c r="H5844" s="362"/>
      <c r="I5844" s="362"/>
      <c r="J5844" s="362"/>
    </row>
    <row r="5845" spans="1:10" x14ac:dyDescent="0.25">
      <c r="A5845" s="362"/>
      <c r="B5845" s="611">
        <v>44474</v>
      </c>
      <c r="C5845" s="362" t="s">
        <v>4751</v>
      </c>
      <c r="D5845" s="562">
        <v>197774328</v>
      </c>
      <c r="E5845" s="562">
        <v>13648672</v>
      </c>
      <c r="F5845" s="562"/>
      <c r="G5845" s="562">
        <f t="shared" si="317"/>
        <v>211423000</v>
      </c>
      <c r="H5845" s="362"/>
      <c r="I5845" s="362"/>
      <c r="J5845" s="362"/>
    </row>
    <row r="5846" spans="1:10" x14ac:dyDescent="0.25">
      <c r="A5846" s="362"/>
      <c r="B5846" s="611">
        <v>44474</v>
      </c>
      <c r="C5846" s="362" t="s">
        <v>166</v>
      </c>
      <c r="D5846" s="562">
        <v>74614240</v>
      </c>
      <c r="E5846" s="562"/>
      <c r="F5846" s="562"/>
      <c r="G5846" s="562">
        <f t="shared" si="317"/>
        <v>74614240</v>
      </c>
      <c r="H5846" s="362"/>
      <c r="I5846" s="362"/>
      <c r="J5846" s="362"/>
    </row>
    <row r="5847" spans="1:10" x14ac:dyDescent="0.25">
      <c r="A5847" s="362"/>
      <c r="B5847" s="611">
        <v>44474</v>
      </c>
      <c r="C5847" s="362" t="s">
        <v>3435</v>
      </c>
      <c r="D5847" s="562">
        <v>74789456</v>
      </c>
      <c r="E5847" s="562"/>
      <c r="F5847" s="562"/>
      <c r="G5847" s="562">
        <f t="shared" si="317"/>
        <v>74789456</v>
      </c>
      <c r="H5847" s="362"/>
      <c r="I5847" s="362"/>
      <c r="J5847" s="362"/>
    </row>
    <row r="5848" spans="1:10" x14ac:dyDescent="0.25">
      <c r="A5848" s="362"/>
      <c r="B5848" s="611">
        <v>44474</v>
      </c>
      <c r="C5848" s="370" t="s">
        <v>85</v>
      </c>
      <c r="D5848" s="562">
        <v>34432600</v>
      </c>
      <c r="E5848" s="562"/>
      <c r="F5848" s="562"/>
      <c r="G5848" s="562">
        <f t="shared" si="317"/>
        <v>34432600</v>
      </c>
      <c r="H5848" s="362"/>
      <c r="I5848" s="362"/>
      <c r="J5848" s="362"/>
    </row>
    <row r="5849" spans="1:10" x14ac:dyDescent="0.25">
      <c r="A5849" s="532"/>
      <c r="B5849" s="532"/>
      <c r="C5849" s="532"/>
      <c r="D5849" s="564">
        <f>SUM(D5834:D5848)</f>
        <v>1794486062</v>
      </c>
      <c r="E5849" s="564">
        <f t="shared" ref="E5849:G5849" si="318">SUM(E5834:E5848)</f>
        <v>359290715</v>
      </c>
      <c r="F5849" s="564">
        <f t="shared" si="318"/>
        <v>0</v>
      </c>
      <c r="G5849" s="564">
        <f t="shared" si="318"/>
        <v>2153776777</v>
      </c>
      <c r="H5849" s="532"/>
      <c r="I5849" s="532"/>
      <c r="J5849" s="532"/>
    </row>
    <row r="5850" spans="1:10" x14ac:dyDescent="0.25">
      <c r="A5850" s="362"/>
      <c r="B5850" s="611">
        <v>44475</v>
      </c>
      <c r="C5850" s="362" t="s">
        <v>86</v>
      </c>
      <c r="D5850" s="562">
        <v>74634259</v>
      </c>
      <c r="E5850" s="562">
        <v>25868960</v>
      </c>
      <c r="F5850" s="562">
        <v>100502800</v>
      </c>
      <c r="G5850" s="562">
        <f t="shared" si="317"/>
        <v>419</v>
      </c>
      <c r="H5850" s="362"/>
      <c r="I5850" s="362"/>
      <c r="J5850" s="362"/>
    </row>
    <row r="5851" spans="1:10" x14ac:dyDescent="0.25">
      <c r="A5851" s="362"/>
      <c r="B5851" s="611">
        <v>44475</v>
      </c>
      <c r="C5851" s="362" t="s">
        <v>87</v>
      </c>
      <c r="D5851" s="562">
        <v>74773971</v>
      </c>
      <c r="E5851" s="562">
        <v>129321588</v>
      </c>
      <c r="F5851" s="562">
        <v>204095600</v>
      </c>
      <c r="G5851" s="562">
        <f t="shared" si="317"/>
        <v>-41</v>
      </c>
      <c r="H5851" s="362"/>
      <c r="I5851" s="362"/>
      <c r="J5851" s="362"/>
    </row>
    <row r="5852" spans="1:10" x14ac:dyDescent="0.25">
      <c r="A5852" s="362"/>
      <c r="B5852" s="611">
        <v>44475</v>
      </c>
      <c r="C5852" s="362" t="s">
        <v>88</v>
      </c>
      <c r="D5852" s="562">
        <v>238566919</v>
      </c>
      <c r="E5852" s="562">
        <v>17188585</v>
      </c>
      <c r="F5852" s="562">
        <v>255755600</v>
      </c>
      <c r="G5852" s="562">
        <f t="shared" si="317"/>
        <v>-96</v>
      </c>
      <c r="H5852" s="362"/>
      <c r="I5852" s="362"/>
      <c r="J5852" s="362"/>
    </row>
    <row r="5853" spans="1:10" x14ac:dyDescent="0.25">
      <c r="A5853" s="362"/>
      <c r="B5853" s="611">
        <v>44475</v>
      </c>
      <c r="C5853" s="362" t="s">
        <v>82</v>
      </c>
      <c r="D5853" s="562">
        <v>92402941</v>
      </c>
      <c r="E5853" s="562">
        <v>2078120</v>
      </c>
      <c r="F5853" s="562">
        <v>94481200</v>
      </c>
      <c r="G5853" s="562">
        <f t="shared" si="317"/>
        <v>-139</v>
      </c>
      <c r="H5853" s="362"/>
      <c r="I5853" s="362"/>
      <c r="J5853" s="362"/>
    </row>
    <row r="5854" spans="1:10" x14ac:dyDescent="0.25">
      <c r="A5854" s="362"/>
      <c r="B5854" s="611">
        <v>44475</v>
      </c>
      <c r="C5854" s="362" t="s">
        <v>80</v>
      </c>
      <c r="D5854" s="562">
        <v>221216300</v>
      </c>
      <c r="E5854" s="562"/>
      <c r="F5854" s="562">
        <v>221216300</v>
      </c>
      <c r="G5854" s="562">
        <f t="shared" si="317"/>
        <v>0</v>
      </c>
      <c r="H5854" s="362"/>
      <c r="I5854" s="362"/>
      <c r="J5854" s="362"/>
    </row>
    <row r="5855" spans="1:10" x14ac:dyDescent="0.25">
      <c r="A5855" s="362"/>
      <c r="B5855" s="611">
        <v>44475</v>
      </c>
      <c r="C5855" s="362" t="s">
        <v>83</v>
      </c>
      <c r="D5855" s="562">
        <v>154074261</v>
      </c>
      <c r="E5855" s="562">
        <v>66820472</v>
      </c>
      <c r="F5855" s="562">
        <v>220894700</v>
      </c>
      <c r="G5855" s="562">
        <f t="shared" si="317"/>
        <v>33</v>
      </c>
      <c r="H5855" s="362"/>
      <c r="I5855" s="362"/>
      <c r="J5855" s="362"/>
    </row>
    <row r="5856" spans="1:10" x14ac:dyDescent="0.25">
      <c r="A5856" s="362"/>
      <c r="B5856" s="611">
        <v>44475</v>
      </c>
      <c r="C5856" s="362" t="s">
        <v>78</v>
      </c>
      <c r="D5856" s="562">
        <v>86730624</v>
      </c>
      <c r="E5856" s="562">
        <v>2077976</v>
      </c>
      <c r="F5856" s="562">
        <v>88808600</v>
      </c>
      <c r="G5856" s="562">
        <f t="shared" si="317"/>
        <v>0</v>
      </c>
      <c r="H5856" s="362"/>
      <c r="I5856" s="362"/>
      <c r="J5856" s="362"/>
    </row>
    <row r="5857" spans="1:10" x14ac:dyDescent="0.25">
      <c r="A5857" s="362"/>
      <c r="B5857" s="611">
        <v>44475</v>
      </c>
      <c r="C5857" s="362" t="s">
        <v>141</v>
      </c>
      <c r="D5857" s="562">
        <v>87059763</v>
      </c>
      <c r="E5857" s="562">
        <v>1133319</v>
      </c>
      <c r="F5857" s="562">
        <v>88193200</v>
      </c>
      <c r="G5857" s="562">
        <f t="shared" si="317"/>
        <v>-118</v>
      </c>
      <c r="H5857" s="362"/>
      <c r="I5857" s="362"/>
      <c r="J5857" s="362"/>
    </row>
    <row r="5858" spans="1:10" x14ac:dyDescent="0.25">
      <c r="A5858" s="362"/>
      <c r="B5858" s="611">
        <v>44475</v>
      </c>
      <c r="C5858" s="362" t="s">
        <v>89</v>
      </c>
      <c r="D5858" s="562">
        <v>122040464</v>
      </c>
      <c r="E5858" s="562">
        <v>76437136</v>
      </c>
      <c r="F5858" s="562">
        <v>198477600</v>
      </c>
      <c r="G5858" s="562">
        <f t="shared" si="317"/>
        <v>0</v>
      </c>
      <c r="H5858" s="362"/>
      <c r="I5858" s="362"/>
      <c r="J5858" s="362"/>
    </row>
    <row r="5859" spans="1:10" x14ac:dyDescent="0.25">
      <c r="A5859" s="362"/>
      <c r="B5859" s="611">
        <v>44475</v>
      </c>
      <c r="C5859" s="362" t="s">
        <v>81</v>
      </c>
      <c r="D5859" s="562">
        <v>106687960</v>
      </c>
      <c r="E5859" s="562">
        <v>8913112</v>
      </c>
      <c r="F5859" s="562">
        <v>115601100</v>
      </c>
      <c r="G5859" s="562">
        <f t="shared" si="317"/>
        <v>-28</v>
      </c>
      <c r="H5859" s="362"/>
      <c r="I5859" s="362"/>
      <c r="J5859" s="362"/>
    </row>
    <row r="5860" spans="1:10" x14ac:dyDescent="0.25">
      <c r="A5860" s="362"/>
      <c r="B5860" s="611">
        <v>44475</v>
      </c>
      <c r="C5860" s="362" t="s">
        <v>84</v>
      </c>
      <c r="D5860" s="562">
        <v>349642371</v>
      </c>
      <c r="E5860" s="562">
        <v>8910708</v>
      </c>
      <c r="F5860" s="562">
        <v>358553100</v>
      </c>
      <c r="G5860" s="562">
        <f t="shared" si="317"/>
        <v>-21</v>
      </c>
      <c r="H5860" s="362"/>
      <c r="I5860" s="362"/>
      <c r="J5860" s="362"/>
    </row>
    <row r="5861" spans="1:10" x14ac:dyDescent="0.25">
      <c r="A5861" s="362"/>
      <c r="B5861" s="611">
        <v>44475</v>
      </c>
      <c r="C5861" s="362" t="s">
        <v>4751</v>
      </c>
      <c r="D5861" s="562">
        <v>221268159</v>
      </c>
      <c r="E5861" s="562">
        <v>17350941</v>
      </c>
      <c r="F5861" s="562">
        <v>238619100</v>
      </c>
      <c r="G5861" s="562">
        <f t="shared" si="317"/>
        <v>0</v>
      </c>
      <c r="H5861" s="362"/>
      <c r="I5861" s="362"/>
      <c r="J5861" s="362"/>
    </row>
    <row r="5862" spans="1:10" x14ac:dyDescent="0.25">
      <c r="A5862" s="362"/>
      <c r="B5862" s="611">
        <v>44475</v>
      </c>
      <c r="C5862" s="362" t="s">
        <v>166</v>
      </c>
      <c r="D5862" s="562">
        <v>61909220</v>
      </c>
      <c r="E5862" s="562"/>
      <c r="F5862" s="562">
        <v>61909300</v>
      </c>
      <c r="G5862" s="562">
        <f t="shared" si="317"/>
        <v>-80</v>
      </c>
      <c r="H5862" s="362"/>
      <c r="I5862" s="362"/>
      <c r="J5862" s="362"/>
    </row>
    <row r="5863" spans="1:10" x14ac:dyDescent="0.25">
      <c r="A5863" s="362"/>
      <c r="B5863" s="611">
        <v>44475</v>
      </c>
      <c r="C5863" s="362" t="s">
        <v>3435</v>
      </c>
      <c r="D5863" s="562">
        <v>65712864</v>
      </c>
      <c r="E5863" s="562"/>
      <c r="F5863" s="562">
        <v>65712900</v>
      </c>
      <c r="G5863" s="562">
        <f t="shared" si="317"/>
        <v>-36</v>
      </c>
      <c r="H5863" s="362"/>
      <c r="I5863" s="362"/>
      <c r="J5863" s="362"/>
    </row>
    <row r="5864" spans="1:10" x14ac:dyDescent="0.25">
      <c r="A5864" s="362"/>
      <c r="B5864" s="611">
        <v>44475</v>
      </c>
      <c r="C5864" s="370" t="s">
        <v>85</v>
      </c>
      <c r="D5864" s="562">
        <v>34566500</v>
      </c>
      <c r="E5864" s="562"/>
      <c r="F5864" s="562">
        <v>34566500</v>
      </c>
      <c r="G5864" s="562">
        <f t="shared" si="317"/>
        <v>0</v>
      </c>
      <c r="H5864" s="362"/>
      <c r="I5864" s="362"/>
      <c r="J5864" s="362"/>
    </row>
    <row r="5865" spans="1:10" x14ac:dyDescent="0.25">
      <c r="A5865" s="532"/>
      <c r="B5865" s="532"/>
      <c r="C5865" s="532"/>
      <c r="D5865" s="564">
        <f>SUM(D5850:D5864)</f>
        <v>1991286576</v>
      </c>
      <c r="E5865" s="564">
        <f t="shared" ref="E5865:G5865" si="319">SUM(E5850:E5864)</f>
        <v>356100917</v>
      </c>
      <c r="F5865" s="564">
        <f t="shared" si="319"/>
        <v>2347387600</v>
      </c>
      <c r="G5865" s="564">
        <f t="shared" si="319"/>
        <v>-107</v>
      </c>
      <c r="H5865" s="532"/>
      <c r="I5865" s="532"/>
      <c r="J5865" s="532"/>
    </row>
    <row r="5866" spans="1:10" x14ac:dyDescent="0.25">
      <c r="A5866" s="362"/>
      <c r="B5866" s="611">
        <v>44476</v>
      </c>
      <c r="C5866" s="362" t="s">
        <v>86</v>
      </c>
      <c r="D5866" s="562">
        <v>66809775</v>
      </c>
      <c r="E5866" s="562">
        <v>44436589</v>
      </c>
      <c r="F5866" s="562">
        <v>111246300</v>
      </c>
      <c r="G5866" s="562">
        <f t="shared" si="317"/>
        <v>64</v>
      </c>
      <c r="H5866" s="362"/>
      <c r="I5866" s="362"/>
      <c r="J5866" s="362"/>
    </row>
    <row r="5867" spans="1:10" x14ac:dyDescent="0.25">
      <c r="A5867" s="362"/>
      <c r="B5867" s="611">
        <v>44476</v>
      </c>
      <c r="C5867" s="362" t="s">
        <v>87</v>
      </c>
      <c r="D5867" s="562">
        <v>81775702</v>
      </c>
      <c r="E5867" s="562">
        <v>86086744</v>
      </c>
      <c r="F5867" s="562">
        <v>167862300</v>
      </c>
      <c r="G5867" s="562">
        <f t="shared" si="317"/>
        <v>146</v>
      </c>
      <c r="H5867" s="362"/>
      <c r="I5867" s="362"/>
      <c r="J5867" s="362"/>
    </row>
    <row r="5868" spans="1:10" x14ac:dyDescent="0.25">
      <c r="A5868" s="362"/>
      <c r="B5868" s="611">
        <v>44476</v>
      </c>
      <c r="C5868" s="362" t="s">
        <v>88</v>
      </c>
      <c r="D5868" s="562">
        <v>230755162</v>
      </c>
      <c r="E5868" s="562">
        <v>24781969</v>
      </c>
      <c r="F5868" s="562">
        <v>255537200</v>
      </c>
      <c r="G5868" s="562">
        <f t="shared" si="317"/>
        <v>-69</v>
      </c>
      <c r="H5868" s="362"/>
      <c r="I5868" s="362"/>
      <c r="J5868" s="362"/>
    </row>
    <row r="5869" spans="1:10" x14ac:dyDescent="0.25">
      <c r="A5869" s="362"/>
      <c r="B5869" s="611">
        <v>44476</v>
      </c>
      <c r="C5869" s="362" t="s">
        <v>82</v>
      </c>
      <c r="D5869" s="562">
        <v>185193863</v>
      </c>
      <c r="E5869" s="562">
        <v>3283700</v>
      </c>
      <c r="F5869" s="562">
        <v>188477700</v>
      </c>
      <c r="G5869" s="562">
        <f t="shared" si="317"/>
        <v>-137</v>
      </c>
      <c r="H5869" s="362"/>
      <c r="I5869" s="362"/>
      <c r="J5869" s="362"/>
    </row>
    <row r="5870" spans="1:10" x14ac:dyDescent="0.25">
      <c r="A5870" s="362"/>
      <c r="B5870" s="611">
        <v>44476</v>
      </c>
      <c r="C5870" s="362" t="s">
        <v>80</v>
      </c>
      <c r="D5870" s="562">
        <v>159499500</v>
      </c>
      <c r="E5870" s="562"/>
      <c r="F5870" s="562">
        <v>159499500</v>
      </c>
      <c r="G5870" s="562">
        <f t="shared" si="317"/>
        <v>0</v>
      </c>
      <c r="H5870" s="362"/>
      <c r="I5870" s="362"/>
      <c r="J5870" s="362"/>
    </row>
    <row r="5871" spans="1:10" x14ac:dyDescent="0.25">
      <c r="A5871" s="362"/>
      <c r="B5871" s="611">
        <v>44476</v>
      </c>
      <c r="C5871" s="362" t="s">
        <v>83</v>
      </c>
      <c r="D5871" s="562">
        <v>133738315</v>
      </c>
      <c r="E5871" s="562">
        <v>112861245</v>
      </c>
      <c r="F5871" s="562">
        <v>246599600</v>
      </c>
      <c r="G5871" s="562">
        <f t="shared" si="317"/>
        <v>-40</v>
      </c>
      <c r="H5871" s="362"/>
      <c r="I5871" s="362"/>
      <c r="J5871" s="362"/>
    </row>
    <row r="5872" spans="1:10" x14ac:dyDescent="0.25">
      <c r="A5872" s="362"/>
      <c r="B5872" s="611">
        <v>44476</v>
      </c>
      <c r="C5872" s="362" t="s">
        <v>78</v>
      </c>
      <c r="D5872" s="562">
        <v>91459090</v>
      </c>
      <c r="E5872" s="562">
        <v>3326410</v>
      </c>
      <c r="F5872" s="562">
        <v>94785500</v>
      </c>
      <c r="G5872" s="562">
        <f t="shared" si="317"/>
        <v>0</v>
      </c>
      <c r="H5872" s="362"/>
      <c r="I5872" s="362"/>
      <c r="J5872" s="362"/>
    </row>
    <row r="5873" spans="1:10" x14ac:dyDescent="0.25">
      <c r="A5873" s="362"/>
      <c r="B5873" s="611">
        <v>44476</v>
      </c>
      <c r="C5873" s="362" t="s">
        <v>141</v>
      </c>
      <c r="D5873" s="562">
        <v>122314610</v>
      </c>
      <c r="E5873" s="562"/>
      <c r="F5873" s="562">
        <v>122314700</v>
      </c>
      <c r="G5873" s="562">
        <f t="shared" si="317"/>
        <v>-90</v>
      </c>
      <c r="H5873" s="362"/>
      <c r="I5873" s="362"/>
      <c r="J5873" s="362"/>
    </row>
    <row r="5874" spans="1:10" x14ac:dyDescent="0.25">
      <c r="A5874" s="362"/>
      <c r="B5874" s="611">
        <v>44476</v>
      </c>
      <c r="C5874" s="362" t="s">
        <v>89</v>
      </c>
      <c r="D5874" s="562">
        <v>139675773</v>
      </c>
      <c r="E5874" s="562">
        <v>7591927</v>
      </c>
      <c r="F5874" s="562">
        <v>147267600</v>
      </c>
      <c r="G5874" s="562">
        <f t="shared" si="317"/>
        <v>100</v>
      </c>
      <c r="H5874" s="362"/>
      <c r="I5874" s="362"/>
      <c r="J5874" s="362"/>
    </row>
    <row r="5875" spans="1:10" x14ac:dyDescent="0.25">
      <c r="A5875" s="362"/>
      <c r="B5875" s="611">
        <v>44476</v>
      </c>
      <c r="C5875" s="362" t="s">
        <v>81</v>
      </c>
      <c r="D5875" s="562">
        <v>101909598</v>
      </c>
      <c r="E5875" s="562">
        <v>13556596</v>
      </c>
      <c r="F5875" s="562">
        <v>115466200</v>
      </c>
      <c r="G5875" s="562">
        <f t="shared" si="317"/>
        <v>-6</v>
      </c>
      <c r="H5875" s="362"/>
      <c r="I5875" s="362"/>
      <c r="J5875" s="362"/>
    </row>
    <row r="5876" spans="1:10" x14ac:dyDescent="0.25">
      <c r="A5876" s="362"/>
      <c r="B5876" s="611">
        <v>44476</v>
      </c>
      <c r="C5876" s="362" t="s">
        <v>84</v>
      </c>
      <c r="D5876" s="562">
        <v>239494536</v>
      </c>
      <c r="E5876" s="562">
        <v>10196371</v>
      </c>
      <c r="F5876" s="562">
        <v>249691000</v>
      </c>
      <c r="G5876" s="562">
        <f t="shared" si="317"/>
        <v>-93</v>
      </c>
      <c r="H5876" s="362"/>
      <c r="I5876" s="362"/>
      <c r="J5876" s="362"/>
    </row>
    <row r="5877" spans="1:10" x14ac:dyDescent="0.25">
      <c r="A5877" s="362"/>
      <c r="B5877" s="611">
        <v>44476</v>
      </c>
      <c r="C5877" s="362" t="s">
        <v>4751</v>
      </c>
      <c r="D5877" s="562">
        <v>260374311</v>
      </c>
      <c r="E5877" s="562">
        <v>16265189</v>
      </c>
      <c r="F5877" s="562">
        <v>276639500</v>
      </c>
      <c r="G5877" s="562">
        <f t="shared" si="317"/>
        <v>0</v>
      </c>
      <c r="H5877" s="362"/>
      <c r="I5877" s="362"/>
      <c r="J5877" s="362"/>
    </row>
    <row r="5878" spans="1:10" x14ac:dyDescent="0.25">
      <c r="A5878" s="362"/>
      <c r="B5878" s="611">
        <v>44476</v>
      </c>
      <c r="C5878" s="362" t="s">
        <v>166</v>
      </c>
      <c r="D5878" s="562">
        <v>94861204</v>
      </c>
      <c r="E5878" s="562"/>
      <c r="F5878" s="562">
        <v>94861200</v>
      </c>
      <c r="G5878" s="562">
        <f t="shared" si="317"/>
        <v>4</v>
      </c>
      <c r="H5878" s="362"/>
      <c r="I5878" s="362"/>
      <c r="J5878" s="362"/>
    </row>
    <row r="5879" spans="1:10" x14ac:dyDescent="0.25">
      <c r="A5879" s="362"/>
      <c r="B5879" s="611">
        <v>44476</v>
      </c>
      <c r="C5879" s="362" t="s">
        <v>3435</v>
      </c>
      <c r="D5879" s="562">
        <v>36783365</v>
      </c>
      <c r="E5879" s="562"/>
      <c r="F5879" s="562">
        <v>36783400</v>
      </c>
      <c r="G5879" s="562">
        <f t="shared" si="317"/>
        <v>-35</v>
      </c>
      <c r="H5879" s="362"/>
      <c r="I5879" s="362"/>
      <c r="J5879" s="362"/>
    </row>
    <row r="5880" spans="1:10" x14ac:dyDescent="0.25">
      <c r="A5880" s="362"/>
      <c r="B5880" s="611">
        <v>44476</v>
      </c>
      <c r="C5880" s="370" t="s">
        <v>85</v>
      </c>
      <c r="D5880" s="562">
        <v>24913600</v>
      </c>
      <c r="E5880" s="562"/>
      <c r="F5880" s="562">
        <v>24913600</v>
      </c>
      <c r="G5880" s="562">
        <f t="shared" si="317"/>
        <v>0</v>
      </c>
      <c r="H5880" s="362"/>
      <c r="I5880" s="362"/>
      <c r="J5880" s="362"/>
    </row>
    <row r="5881" spans="1:10" x14ac:dyDescent="0.25">
      <c r="A5881" s="532"/>
      <c r="B5881" s="532"/>
      <c r="C5881" s="532"/>
      <c r="D5881" s="564">
        <f>SUM(D5866:D5880)</f>
        <v>1969558404</v>
      </c>
      <c r="E5881" s="564">
        <f t="shared" ref="E5881:G5881" si="320">SUM(E5866:E5880)</f>
        <v>322386740</v>
      </c>
      <c r="F5881" s="564">
        <f t="shared" si="320"/>
        <v>2291945300</v>
      </c>
      <c r="G5881" s="564">
        <f t="shared" si="320"/>
        <v>-156</v>
      </c>
      <c r="H5881" s="532"/>
      <c r="I5881" s="532"/>
      <c r="J5881" s="532"/>
    </row>
    <row r="5882" spans="1:10" x14ac:dyDescent="0.25">
      <c r="A5882" s="362"/>
      <c r="B5882" s="611">
        <v>44477</v>
      </c>
      <c r="C5882" s="362" t="s">
        <v>86</v>
      </c>
      <c r="D5882" s="562">
        <v>66775358</v>
      </c>
      <c r="E5882" s="562">
        <v>31042643</v>
      </c>
      <c r="F5882" s="562">
        <v>97818000</v>
      </c>
      <c r="G5882" s="562">
        <f t="shared" si="317"/>
        <v>1</v>
      </c>
      <c r="H5882" s="362"/>
      <c r="I5882" s="362"/>
      <c r="J5882" s="362"/>
    </row>
    <row r="5883" spans="1:10" x14ac:dyDescent="0.25">
      <c r="A5883" s="362"/>
      <c r="B5883" s="611">
        <v>44477</v>
      </c>
      <c r="C5883" s="362" t="s">
        <v>87</v>
      </c>
      <c r="D5883" s="562">
        <v>90729346</v>
      </c>
      <c r="E5883" s="562">
        <v>68588991</v>
      </c>
      <c r="F5883" s="562">
        <v>159318400</v>
      </c>
      <c r="G5883" s="562">
        <f t="shared" si="317"/>
        <v>-63</v>
      </c>
      <c r="H5883" s="362"/>
      <c r="I5883" s="362"/>
      <c r="J5883" s="362"/>
    </row>
    <row r="5884" spans="1:10" x14ac:dyDescent="0.25">
      <c r="A5884" s="362"/>
      <c r="B5884" s="611">
        <v>44477</v>
      </c>
      <c r="C5884" s="362" t="s">
        <v>88</v>
      </c>
      <c r="D5884" s="562">
        <v>120309985</v>
      </c>
      <c r="E5884" s="562">
        <v>39658119</v>
      </c>
      <c r="F5884" s="562">
        <v>159968100</v>
      </c>
      <c r="G5884" s="562">
        <f t="shared" si="317"/>
        <v>4</v>
      </c>
      <c r="H5884" s="362"/>
      <c r="I5884" s="362"/>
      <c r="J5884" s="362"/>
    </row>
    <row r="5885" spans="1:10" x14ac:dyDescent="0.25">
      <c r="A5885" s="362"/>
      <c r="B5885" s="611">
        <v>44477</v>
      </c>
      <c r="C5885" s="362" t="s">
        <v>82</v>
      </c>
      <c r="D5885" s="562">
        <v>63690883</v>
      </c>
      <c r="E5885" s="562">
        <v>20561874</v>
      </c>
      <c r="F5885" s="562">
        <v>84253000</v>
      </c>
      <c r="G5885" s="562">
        <f t="shared" si="317"/>
        <v>-243</v>
      </c>
      <c r="H5885" s="362"/>
      <c r="I5885" s="362"/>
      <c r="J5885" s="362"/>
    </row>
    <row r="5886" spans="1:10" x14ac:dyDescent="0.25">
      <c r="A5886" s="362"/>
      <c r="B5886" s="611">
        <v>44477</v>
      </c>
      <c r="C5886" s="362" t="s">
        <v>80</v>
      </c>
      <c r="D5886" s="562">
        <v>308152700</v>
      </c>
      <c r="E5886" s="562"/>
      <c r="F5886" s="562">
        <v>308152700</v>
      </c>
      <c r="G5886" s="562">
        <f t="shared" si="317"/>
        <v>0</v>
      </c>
      <c r="H5886" s="362"/>
      <c r="I5886" s="362"/>
      <c r="J5886" s="362"/>
    </row>
    <row r="5887" spans="1:10" x14ac:dyDescent="0.25">
      <c r="A5887" s="362"/>
      <c r="B5887" s="611">
        <v>44477</v>
      </c>
      <c r="C5887" s="362" t="s">
        <v>83</v>
      </c>
      <c r="D5887" s="562">
        <v>120497110</v>
      </c>
      <c r="E5887" s="562">
        <v>37220437</v>
      </c>
      <c r="F5887" s="562">
        <v>157717600</v>
      </c>
      <c r="G5887" s="562">
        <f t="shared" si="317"/>
        <v>-53</v>
      </c>
      <c r="H5887" s="362"/>
      <c r="I5887" s="362"/>
      <c r="J5887" s="362"/>
    </row>
    <row r="5888" spans="1:10" x14ac:dyDescent="0.25">
      <c r="A5888" s="362"/>
      <c r="B5888" s="611">
        <v>44477</v>
      </c>
      <c r="C5888" s="362" t="s">
        <v>78</v>
      </c>
      <c r="D5888" s="562">
        <v>99049633</v>
      </c>
      <c r="E5888" s="562">
        <v>2281767</v>
      </c>
      <c r="F5888" s="562">
        <v>101331400</v>
      </c>
      <c r="G5888" s="562">
        <f t="shared" si="317"/>
        <v>0</v>
      </c>
      <c r="H5888" s="362"/>
      <c r="I5888" s="362"/>
      <c r="J5888" s="362"/>
    </row>
    <row r="5889" spans="1:10" x14ac:dyDescent="0.25">
      <c r="A5889" s="362"/>
      <c r="B5889" s="611">
        <v>44477</v>
      </c>
      <c r="C5889" s="362" t="s">
        <v>141</v>
      </c>
      <c r="D5889" s="562">
        <v>52317766</v>
      </c>
      <c r="E5889" s="562"/>
      <c r="F5889" s="562">
        <v>52317800</v>
      </c>
      <c r="G5889" s="562">
        <f t="shared" si="317"/>
        <v>-34</v>
      </c>
      <c r="H5889" s="362"/>
      <c r="I5889" s="362"/>
      <c r="J5889" s="362"/>
    </row>
    <row r="5890" spans="1:10" x14ac:dyDescent="0.25">
      <c r="A5890" s="362"/>
      <c r="B5890" s="611">
        <v>44477</v>
      </c>
      <c r="C5890" s="362" t="s">
        <v>89</v>
      </c>
      <c r="D5890" s="562">
        <v>140162468</v>
      </c>
      <c r="E5890" s="562">
        <v>15055632</v>
      </c>
      <c r="F5890" s="562">
        <v>155218100</v>
      </c>
      <c r="G5890" s="562">
        <f t="shared" si="317"/>
        <v>0</v>
      </c>
      <c r="H5890" s="362"/>
      <c r="I5890" s="362"/>
      <c r="J5890" s="362"/>
    </row>
    <row r="5891" spans="1:10" x14ac:dyDescent="0.25">
      <c r="A5891" s="362"/>
      <c r="B5891" s="611">
        <v>44477</v>
      </c>
      <c r="C5891" s="362" t="s">
        <v>81</v>
      </c>
      <c r="D5891" s="562">
        <v>91814370</v>
      </c>
      <c r="E5891" s="562">
        <v>9165583</v>
      </c>
      <c r="F5891" s="562">
        <v>100980000</v>
      </c>
      <c r="G5891" s="562">
        <f t="shared" si="317"/>
        <v>-47</v>
      </c>
      <c r="H5891" s="362"/>
      <c r="I5891" s="362"/>
      <c r="J5891" s="362"/>
    </row>
    <row r="5892" spans="1:10" x14ac:dyDescent="0.25">
      <c r="A5892" s="362"/>
      <c r="B5892" s="611">
        <v>44477</v>
      </c>
      <c r="C5892" s="362" t="s">
        <v>84</v>
      </c>
      <c r="D5892" s="562">
        <v>414021730</v>
      </c>
      <c r="E5892" s="562">
        <v>23078462</v>
      </c>
      <c r="F5892" s="562">
        <v>437099900</v>
      </c>
      <c r="G5892" s="562">
        <f t="shared" si="317"/>
        <v>292</v>
      </c>
      <c r="H5892" s="362"/>
      <c r="I5892" s="362"/>
      <c r="J5892" s="362"/>
    </row>
    <row r="5893" spans="1:10" x14ac:dyDescent="0.25">
      <c r="A5893" s="362"/>
      <c r="B5893" s="611">
        <v>44477</v>
      </c>
      <c r="C5893" s="362" t="s">
        <v>4751</v>
      </c>
      <c r="D5893" s="562">
        <v>181225181</v>
      </c>
      <c r="E5893" s="562">
        <v>10696319</v>
      </c>
      <c r="F5893" s="562">
        <v>191921300</v>
      </c>
      <c r="G5893" s="562">
        <f t="shared" si="317"/>
        <v>200</v>
      </c>
      <c r="H5893" s="362"/>
      <c r="I5893" s="362"/>
      <c r="J5893" s="362"/>
    </row>
    <row r="5894" spans="1:10" x14ac:dyDescent="0.25">
      <c r="A5894" s="362"/>
      <c r="B5894" s="611">
        <v>44477</v>
      </c>
      <c r="C5894" s="362" t="s">
        <v>166</v>
      </c>
      <c r="D5894" s="562">
        <v>77722431</v>
      </c>
      <c r="E5894" s="562"/>
      <c r="F5894" s="562">
        <v>77722400</v>
      </c>
      <c r="G5894" s="562">
        <f t="shared" si="317"/>
        <v>31</v>
      </c>
      <c r="H5894" s="362"/>
      <c r="I5894" s="362"/>
      <c r="J5894" s="362"/>
    </row>
    <row r="5895" spans="1:10" x14ac:dyDescent="0.25">
      <c r="A5895" s="362"/>
      <c r="B5895" s="611">
        <v>44477</v>
      </c>
      <c r="C5895" s="362" t="s">
        <v>3435</v>
      </c>
      <c r="D5895" s="562">
        <v>164809614</v>
      </c>
      <c r="E5895" s="562"/>
      <c r="F5895" s="562">
        <v>164809700</v>
      </c>
      <c r="G5895" s="562">
        <f t="shared" si="317"/>
        <v>-86</v>
      </c>
      <c r="H5895" s="362"/>
      <c r="I5895" s="362"/>
      <c r="J5895" s="362"/>
    </row>
    <row r="5896" spans="1:10" x14ac:dyDescent="0.25">
      <c r="A5896" s="362"/>
      <c r="B5896" s="611">
        <v>44477</v>
      </c>
      <c r="C5896" s="370" t="s">
        <v>85</v>
      </c>
      <c r="D5896" s="562">
        <v>26029800</v>
      </c>
      <c r="E5896" s="562"/>
      <c r="F5896" s="562">
        <v>26029800</v>
      </c>
      <c r="G5896" s="562">
        <f t="shared" si="317"/>
        <v>0</v>
      </c>
      <c r="H5896" s="362"/>
      <c r="I5896" s="362"/>
      <c r="J5896" s="362"/>
    </row>
    <row r="5897" spans="1:10" x14ac:dyDescent="0.25">
      <c r="A5897" s="532"/>
      <c r="B5897" s="532"/>
      <c r="C5897" s="532"/>
      <c r="D5897" s="564">
        <f>SUM(D5882:D5896)</f>
        <v>2017308375</v>
      </c>
      <c r="E5897" s="564">
        <f t="shared" ref="E5897:G5897" si="321">SUM(E5882:E5896)</f>
        <v>257349827</v>
      </c>
      <c r="F5897" s="564">
        <f t="shared" si="321"/>
        <v>2274658200</v>
      </c>
      <c r="G5897" s="564">
        <f t="shared" si="321"/>
        <v>2</v>
      </c>
      <c r="H5897" s="532"/>
      <c r="I5897" s="532"/>
      <c r="J5897" s="532"/>
    </row>
    <row r="5898" spans="1:10" x14ac:dyDescent="0.25">
      <c r="A5898" s="362"/>
      <c r="B5898" s="611">
        <v>44478</v>
      </c>
      <c r="C5898" s="362" t="s">
        <v>86</v>
      </c>
      <c r="D5898" s="562">
        <v>51511178</v>
      </c>
      <c r="E5898" s="562">
        <v>23665822</v>
      </c>
      <c r="F5898" s="562">
        <v>75177000</v>
      </c>
      <c r="G5898" s="562">
        <f t="shared" si="317"/>
        <v>0</v>
      </c>
      <c r="H5898" s="362"/>
      <c r="I5898" s="362"/>
      <c r="J5898" s="362"/>
    </row>
    <row r="5899" spans="1:10" x14ac:dyDescent="0.25">
      <c r="A5899" s="362"/>
      <c r="B5899" s="611">
        <v>44478</v>
      </c>
      <c r="C5899" s="362" t="s">
        <v>87</v>
      </c>
      <c r="D5899" s="562">
        <v>50963993</v>
      </c>
      <c r="E5899" s="562">
        <v>96866281</v>
      </c>
      <c r="F5899" s="562">
        <v>147830200</v>
      </c>
      <c r="G5899" s="562">
        <f t="shared" si="317"/>
        <v>74</v>
      </c>
      <c r="H5899" s="362"/>
      <c r="I5899" s="362"/>
      <c r="J5899" s="362"/>
    </row>
    <row r="5900" spans="1:10" x14ac:dyDescent="0.25">
      <c r="A5900" s="362"/>
      <c r="B5900" s="611">
        <v>44478</v>
      </c>
      <c r="C5900" s="362" t="s">
        <v>88</v>
      </c>
      <c r="D5900" s="562">
        <v>207201206</v>
      </c>
      <c r="E5900" s="562">
        <v>11174367</v>
      </c>
      <c r="F5900" s="562">
        <v>218375600</v>
      </c>
      <c r="G5900" s="562">
        <f t="shared" ref="G5900:G5963" si="322">D5900+E5900-F5900</f>
        <v>-27</v>
      </c>
      <c r="H5900" s="362"/>
      <c r="I5900" s="362"/>
      <c r="J5900" s="362"/>
    </row>
    <row r="5901" spans="1:10" x14ac:dyDescent="0.25">
      <c r="A5901" s="362"/>
      <c r="B5901" s="611">
        <v>44478</v>
      </c>
      <c r="C5901" s="362" t="s">
        <v>82</v>
      </c>
      <c r="D5901" s="562">
        <v>65968342</v>
      </c>
      <c r="E5901" s="562">
        <v>3920130</v>
      </c>
      <c r="F5901" s="562">
        <v>69888500</v>
      </c>
      <c r="G5901" s="562">
        <f t="shared" si="322"/>
        <v>-28</v>
      </c>
      <c r="H5901" s="362"/>
      <c r="I5901" s="362"/>
      <c r="J5901" s="362"/>
    </row>
    <row r="5902" spans="1:10" x14ac:dyDescent="0.25">
      <c r="A5902" s="362"/>
      <c r="B5902" s="611">
        <v>44478</v>
      </c>
      <c r="C5902" s="362" t="s">
        <v>80</v>
      </c>
      <c r="D5902" s="562">
        <v>174238100</v>
      </c>
      <c r="E5902" s="562"/>
      <c r="F5902" s="562">
        <v>174238100</v>
      </c>
      <c r="G5902" s="562">
        <f t="shared" si="322"/>
        <v>0</v>
      </c>
      <c r="H5902" s="362"/>
      <c r="I5902" s="362"/>
      <c r="J5902" s="362"/>
    </row>
    <row r="5903" spans="1:10" x14ac:dyDescent="0.25">
      <c r="A5903" s="362"/>
      <c r="B5903" s="611">
        <v>44478</v>
      </c>
      <c r="C5903" s="362" t="s">
        <v>83</v>
      </c>
      <c r="D5903" s="562">
        <v>125425657</v>
      </c>
      <c r="E5903" s="562">
        <v>17643896</v>
      </c>
      <c r="F5903" s="562">
        <v>143069600</v>
      </c>
      <c r="G5903" s="562">
        <f t="shared" si="322"/>
        <v>-47</v>
      </c>
      <c r="H5903" s="362"/>
      <c r="I5903" s="362"/>
      <c r="J5903" s="362"/>
    </row>
    <row r="5904" spans="1:10" x14ac:dyDescent="0.25">
      <c r="A5904" s="362"/>
      <c r="B5904" s="611">
        <v>44478</v>
      </c>
      <c r="C5904" s="362" t="s">
        <v>78</v>
      </c>
      <c r="D5904" s="562">
        <v>203265554</v>
      </c>
      <c r="E5904" s="562">
        <v>14115246</v>
      </c>
      <c r="F5904" s="562">
        <v>217380800</v>
      </c>
      <c r="G5904" s="562">
        <f t="shared" si="322"/>
        <v>0</v>
      </c>
      <c r="H5904" s="362"/>
      <c r="I5904" s="362"/>
      <c r="J5904" s="362"/>
    </row>
    <row r="5905" spans="1:10" x14ac:dyDescent="0.25">
      <c r="A5905" s="362"/>
      <c r="B5905" s="611">
        <v>44478</v>
      </c>
      <c r="C5905" s="362" t="s">
        <v>141</v>
      </c>
      <c r="D5905" s="562">
        <v>28259839</v>
      </c>
      <c r="E5905" s="562">
        <v>347126</v>
      </c>
      <c r="F5905" s="562">
        <v>28607000</v>
      </c>
      <c r="G5905" s="562">
        <f t="shared" si="322"/>
        <v>-35</v>
      </c>
      <c r="H5905" s="362"/>
      <c r="I5905" s="362"/>
      <c r="J5905" s="362"/>
    </row>
    <row r="5906" spans="1:10" x14ac:dyDescent="0.25">
      <c r="A5906" s="362"/>
      <c r="B5906" s="611">
        <v>44478</v>
      </c>
      <c r="C5906" s="362" t="s">
        <v>89</v>
      </c>
      <c r="D5906" s="562">
        <v>102937889</v>
      </c>
      <c r="E5906" s="562">
        <v>95593911</v>
      </c>
      <c r="F5906" s="562">
        <v>198531800</v>
      </c>
      <c r="G5906" s="562">
        <f t="shared" si="322"/>
        <v>0</v>
      </c>
      <c r="H5906" s="362"/>
      <c r="I5906" s="362"/>
      <c r="J5906" s="362"/>
    </row>
    <row r="5907" spans="1:10" x14ac:dyDescent="0.25">
      <c r="A5907" s="362"/>
      <c r="B5907" s="611">
        <v>44478</v>
      </c>
      <c r="C5907" s="362" t="s">
        <v>81</v>
      </c>
      <c r="D5907" s="562">
        <v>207962567</v>
      </c>
      <c r="E5907" s="562">
        <v>28356448</v>
      </c>
      <c r="F5907" s="562">
        <f>153253000+83066100</f>
        <v>236319100</v>
      </c>
      <c r="G5907" s="562">
        <f t="shared" si="322"/>
        <v>-85</v>
      </c>
      <c r="H5907" s="362"/>
      <c r="I5907" s="362"/>
      <c r="J5907" s="362"/>
    </row>
    <row r="5908" spans="1:10" x14ac:dyDescent="0.25">
      <c r="A5908" s="362"/>
      <c r="B5908" s="611">
        <v>44478</v>
      </c>
      <c r="C5908" s="362" t="s">
        <v>84</v>
      </c>
      <c r="D5908" s="562">
        <v>166916495</v>
      </c>
      <c r="E5908" s="562">
        <v>17230512</v>
      </c>
      <c r="F5908" s="562">
        <v>184147000</v>
      </c>
      <c r="G5908" s="562">
        <f t="shared" si="322"/>
        <v>7</v>
      </c>
      <c r="H5908" s="362"/>
      <c r="I5908" s="362"/>
      <c r="J5908" s="362"/>
    </row>
    <row r="5909" spans="1:10" x14ac:dyDescent="0.25">
      <c r="A5909" s="362"/>
      <c r="B5909" s="611">
        <v>44478</v>
      </c>
      <c r="C5909" s="362" t="s">
        <v>4751</v>
      </c>
      <c r="D5909" s="562">
        <v>226406567</v>
      </c>
      <c r="E5909" s="562">
        <v>16516733</v>
      </c>
      <c r="F5909" s="562">
        <v>242923300</v>
      </c>
      <c r="G5909" s="562">
        <f t="shared" si="322"/>
        <v>0</v>
      </c>
      <c r="H5909" s="362"/>
      <c r="I5909" s="362"/>
      <c r="J5909" s="362"/>
    </row>
    <row r="5910" spans="1:10" x14ac:dyDescent="0.25">
      <c r="A5910" s="362"/>
      <c r="B5910" s="611">
        <v>44478</v>
      </c>
      <c r="C5910" s="362" t="s">
        <v>166</v>
      </c>
      <c r="D5910" s="562"/>
      <c r="E5910" s="562"/>
      <c r="F5910" s="562"/>
      <c r="G5910" s="562">
        <f t="shared" si="322"/>
        <v>0</v>
      </c>
      <c r="H5910" s="362"/>
      <c r="I5910" s="362"/>
      <c r="J5910" s="362"/>
    </row>
    <row r="5911" spans="1:10" x14ac:dyDescent="0.25">
      <c r="A5911" s="362"/>
      <c r="B5911" s="611">
        <v>44478</v>
      </c>
      <c r="C5911" s="362" t="s">
        <v>3435</v>
      </c>
      <c r="D5911" s="562"/>
      <c r="E5911" s="562"/>
      <c r="F5911" s="562"/>
      <c r="G5911" s="562">
        <f t="shared" si="322"/>
        <v>0</v>
      </c>
      <c r="H5911" s="362"/>
      <c r="I5911" s="362"/>
      <c r="J5911" s="362"/>
    </row>
    <row r="5912" spans="1:10" x14ac:dyDescent="0.25">
      <c r="A5912" s="362"/>
      <c r="B5912" s="611">
        <v>44478</v>
      </c>
      <c r="C5912" s="370" t="s">
        <v>85</v>
      </c>
      <c r="D5912" s="562">
        <v>15556400</v>
      </c>
      <c r="E5912" s="562"/>
      <c r="F5912" s="562">
        <v>15556400</v>
      </c>
      <c r="G5912" s="562">
        <f t="shared" si="322"/>
        <v>0</v>
      </c>
      <c r="H5912" s="362"/>
      <c r="I5912" s="362"/>
      <c r="J5912" s="362"/>
    </row>
    <row r="5913" spans="1:10" x14ac:dyDescent="0.25">
      <c r="A5913" s="532"/>
      <c r="B5913" s="532"/>
      <c r="C5913" s="532"/>
      <c r="D5913" s="564">
        <f>SUM(D5898:D5912)</f>
        <v>1626613787</v>
      </c>
      <c r="E5913" s="564">
        <f t="shared" ref="E5913:G5913" si="323">SUM(E5898:E5912)</f>
        <v>325430472</v>
      </c>
      <c r="F5913" s="564">
        <f t="shared" si="323"/>
        <v>1952044400</v>
      </c>
      <c r="G5913" s="564">
        <f t="shared" si="323"/>
        <v>-141</v>
      </c>
      <c r="H5913" s="532"/>
      <c r="I5913" s="532"/>
      <c r="J5913" s="532"/>
    </row>
    <row r="5914" spans="1:10" x14ac:dyDescent="0.25">
      <c r="A5914" s="362"/>
      <c r="B5914" s="611">
        <v>44480</v>
      </c>
      <c r="C5914" s="362" t="s">
        <v>86</v>
      </c>
      <c r="D5914" s="562">
        <v>75661622</v>
      </c>
      <c r="E5914" s="562">
        <v>38461612</v>
      </c>
      <c r="F5914" s="562">
        <v>114123800</v>
      </c>
      <c r="G5914" s="562">
        <f t="shared" si="322"/>
        <v>-566</v>
      </c>
      <c r="H5914" s="362"/>
      <c r="I5914" s="362"/>
      <c r="J5914" s="362"/>
    </row>
    <row r="5915" spans="1:10" x14ac:dyDescent="0.25">
      <c r="A5915" s="362"/>
      <c r="B5915" s="611">
        <v>44480</v>
      </c>
      <c r="C5915" s="362" t="s">
        <v>87</v>
      </c>
      <c r="D5915" s="562">
        <v>85142403</v>
      </c>
      <c r="E5915" s="562">
        <v>43198747</v>
      </c>
      <c r="F5915" s="562">
        <v>128341000</v>
      </c>
      <c r="G5915" s="562">
        <f t="shared" si="322"/>
        <v>150</v>
      </c>
      <c r="H5915" s="362"/>
      <c r="I5915" s="362"/>
      <c r="J5915" s="362"/>
    </row>
    <row r="5916" spans="1:10" x14ac:dyDescent="0.25">
      <c r="A5916" s="362"/>
      <c r="B5916" s="611">
        <v>44480</v>
      </c>
      <c r="C5916" s="362" t="s">
        <v>88</v>
      </c>
      <c r="D5916" s="562">
        <v>243587222</v>
      </c>
      <c r="E5916" s="562">
        <v>128647783</v>
      </c>
      <c r="F5916" s="562">
        <v>372235100</v>
      </c>
      <c r="G5916" s="562">
        <f t="shared" si="322"/>
        <v>-95</v>
      </c>
      <c r="H5916" s="362"/>
      <c r="I5916" s="362"/>
      <c r="J5916" s="362"/>
    </row>
    <row r="5917" spans="1:10" x14ac:dyDescent="0.25">
      <c r="A5917" s="362"/>
      <c r="B5917" s="611">
        <v>44480</v>
      </c>
      <c r="C5917" s="362" t="s">
        <v>82</v>
      </c>
      <c r="D5917" s="562">
        <v>50019079</v>
      </c>
      <c r="E5917" s="562">
        <v>3059455</v>
      </c>
      <c r="F5917" s="562">
        <v>53078600</v>
      </c>
      <c r="G5917" s="562">
        <f t="shared" si="322"/>
        <v>-66</v>
      </c>
      <c r="H5917" s="362"/>
      <c r="I5917" s="362"/>
      <c r="J5917" s="362"/>
    </row>
    <row r="5918" spans="1:10" x14ac:dyDescent="0.25">
      <c r="A5918" s="362"/>
      <c r="B5918" s="611">
        <v>44480</v>
      </c>
      <c r="C5918" s="362" t="s">
        <v>80</v>
      </c>
      <c r="D5918" s="562">
        <v>256137147</v>
      </c>
      <c r="E5918" s="562">
        <v>583960</v>
      </c>
      <c r="F5918" s="562">
        <v>256720900</v>
      </c>
      <c r="G5918" s="562">
        <f t="shared" si="322"/>
        <v>207</v>
      </c>
      <c r="H5918" s="362"/>
      <c r="I5918" s="362"/>
      <c r="J5918" s="362"/>
    </row>
    <row r="5919" spans="1:10" x14ac:dyDescent="0.25">
      <c r="A5919" s="362"/>
      <c r="B5919" s="611">
        <v>44480</v>
      </c>
      <c r="C5919" s="362" t="s">
        <v>83</v>
      </c>
      <c r="D5919" s="562">
        <v>164702284</v>
      </c>
      <c r="E5919" s="562">
        <v>106900464</v>
      </c>
      <c r="F5919" s="562">
        <v>271602800</v>
      </c>
      <c r="G5919" s="562">
        <f t="shared" si="322"/>
        <v>-52</v>
      </c>
      <c r="H5919" s="362"/>
      <c r="I5919" s="362"/>
      <c r="J5919" s="362"/>
    </row>
    <row r="5920" spans="1:10" x14ac:dyDescent="0.25">
      <c r="A5920" s="362"/>
      <c r="B5920" s="611">
        <v>44480</v>
      </c>
      <c r="C5920" s="362" t="s">
        <v>78</v>
      </c>
      <c r="D5920" s="562">
        <v>182766438</v>
      </c>
      <c r="E5920" s="562">
        <v>2887462</v>
      </c>
      <c r="F5920" s="562">
        <v>185653900</v>
      </c>
      <c r="G5920" s="562">
        <f t="shared" si="322"/>
        <v>0</v>
      </c>
      <c r="H5920" s="362"/>
      <c r="I5920" s="362"/>
      <c r="J5920" s="362"/>
    </row>
    <row r="5921" spans="1:10" x14ac:dyDescent="0.25">
      <c r="A5921" s="362"/>
      <c r="B5921" s="611">
        <v>44480</v>
      </c>
      <c r="C5921" s="362" t="s">
        <v>141</v>
      </c>
      <c r="D5921" s="562">
        <v>86915183</v>
      </c>
      <c r="E5921" s="562"/>
      <c r="F5921" s="562">
        <v>86914900</v>
      </c>
      <c r="G5921" s="562">
        <f t="shared" si="322"/>
        <v>283</v>
      </c>
      <c r="H5921" s="362"/>
      <c r="I5921" s="362"/>
      <c r="J5921" s="362"/>
    </row>
    <row r="5922" spans="1:10" x14ac:dyDescent="0.25">
      <c r="A5922" s="362"/>
      <c r="B5922" s="611">
        <v>44480</v>
      </c>
      <c r="C5922" s="362" t="s">
        <v>89</v>
      </c>
      <c r="D5922" s="562">
        <v>126706504</v>
      </c>
      <c r="E5922" s="562">
        <v>32640396</v>
      </c>
      <c r="F5922" s="562">
        <v>159347500</v>
      </c>
      <c r="G5922" s="562">
        <f t="shared" si="322"/>
        <v>-600</v>
      </c>
      <c r="H5922" s="362"/>
      <c r="I5922" s="362"/>
      <c r="J5922" s="362"/>
    </row>
    <row r="5923" spans="1:10" x14ac:dyDescent="0.25">
      <c r="A5923" s="362"/>
      <c r="B5923" s="611">
        <v>44480</v>
      </c>
      <c r="C5923" s="362" t="s">
        <v>81</v>
      </c>
      <c r="D5923" s="562">
        <v>76586970</v>
      </c>
      <c r="E5923" s="562">
        <v>21169649</v>
      </c>
      <c r="F5923" s="562">
        <v>97750700</v>
      </c>
      <c r="G5923" s="562">
        <f t="shared" si="322"/>
        <v>5919</v>
      </c>
      <c r="H5923" s="362"/>
      <c r="I5923" s="362"/>
      <c r="J5923" s="362"/>
    </row>
    <row r="5924" spans="1:10" x14ac:dyDescent="0.25">
      <c r="A5924" s="362"/>
      <c r="B5924" s="611">
        <v>44480</v>
      </c>
      <c r="C5924" s="362" t="s">
        <v>84</v>
      </c>
      <c r="D5924" s="562">
        <v>212269697</v>
      </c>
      <c r="E5924" s="562">
        <v>15340183</v>
      </c>
      <c r="F5924" s="562">
        <v>227610000</v>
      </c>
      <c r="G5924" s="562">
        <f t="shared" si="322"/>
        <v>-120</v>
      </c>
      <c r="H5924" s="362"/>
      <c r="I5924" s="362"/>
      <c r="J5924" s="362"/>
    </row>
    <row r="5925" spans="1:10" x14ac:dyDescent="0.25">
      <c r="A5925" s="362"/>
      <c r="B5925" s="611">
        <v>44480</v>
      </c>
      <c r="C5925" s="362" t="s">
        <v>4751</v>
      </c>
      <c r="D5925" s="562">
        <v>185398048</v>
      </c>
      <c r="E5925" s="562">
        <v>13400252</v>
      </c>
      <c r="F5925" s="562">
        <v>198798300</v>
      </c>
      <c r="G5925" s="562">
        <f t="shared" si="322"/>
        <v>0</v>
      </c>
      <c r="H5925" s="362"/>
      <c r="I5925" s="362"/>
      <c r="J5925" s="362"/>
    </row>
    <row r="5926" spans="1:10" x14ac:dyDescent="0.25">
      <c r="A5926" s="362"/>
      <c r="B5926" s="611">
        <v>44480</v>
      </c>
      <c r="C5926" s="362" t="s">
        <v>166</v>
      </c>
      <c r="D5926" s="562">
        <v>89524498</v>
      </c>
      <c r="E5926" s="562"/>
      <c r="F5926" s="562">
        <v>89524500</v>
      </c>
      <c r="G5926" s="562">
        <f t="shared" si="322"/>
        <v>-2</v>
      </c>
      <c r="H5926" s="362"/>
      <c r="I5926" s="362"/>
      <c r="J5926" s="362"/>
    </row>
    <row r="5927" spans="1:10" x14ac:dyDescent="0.25">
      <c r="A5927" s="362"/>
      <c r="B5927" s="611">
        <v>44480</v>
      </c>
      <c r="C5927" s="362" t="s">
        <v>3435</v>
      </c>
      <c r="D5927" s="562">
        <v>87942281</v>
      </c>
      <c r="E5927" s="562"/>
      <c r="F5927" s="562">
        <v>87942300</v>
      </c>
      <c r="G5927" s="562">
        <f t="shared" si="322"/>
        <v>-19</v>
      </c>
      <c r="H5927" s="362"/>
      <c r="I5927" s="362"/>
      <c r="J5927" s="362"/>
    </row>
    <row r="5928" spans="1:10" x14ac:dyDescent="0.25">
      <c r="A5928" s="362"/>
      <c r="B5928" s="611">
        <v>44480</v>
      </c>
      <c r="C5928" s="370" t="s">
        <v>85</v>
      </c>
      <c r="D5928" s="562">
        <v>46307400</v>
      </c>
      <c r="E5928" s="562"/>
      <c r="F5928" s="562">
        <v>46307400</v>
      </c>
      <c r="G5928" s="562">
        <f t="shared" si="322"/>
        <v>0</v>
      </c>
      <c r="H5928" s="362"/>
      <c r="I5928" s="362"/>
      <c r="J5928" s="362"/>
    </row>
    <row r="5929" spans="1:10" x14ac:dyDescent="0.25">
      <c r="A5929" s="532"/>
      <c r="B5929" s="532"/>
      <c r="C5929" s="532"/>
      <c r="D5929" s="564">
        <f>SUM(D5914:D5928)</f>
        <v>1969666776</v>
      </c>
      <c r="E5929" s="564">
        <f t="shared" ref="E5929:G5929" si="324">SUM(E5914:E5928)</f>
        <v>406289963</v>
      </c>
      <c r="F5929" s="564">
        <f t="shared" si="324"/>
        <v>2375951700</v>
      </c>
      <c r="G5929" s="564">
        <f t="shared" si="324"/>
        <v>5039</v>
      </c>
      <c r="H5929" s="532"/>
      <c r="I5929" s="532"/>
      <c r="J5929" s="532"/>
    </row>
    <row r="5930" spans="1:10" x14ac:dyDescent="0.25">
      <c r="A5930" s="362"/>
      <c r="B5930" s="611">
        <v>44481</v>
      </c>
      <c r="C5930" s="362" t="s">
        <v>86</v>
      </c>
      <c r="D5930" s="562">
        <v>107973795</v>
      </c>
      <c r="E5930" s="562">
        <v>67035040</v>
      </c>
      <c r="F5930" s="562">
        <v>175008800</v>
      </c>
      <c r="G5930" s="562">
        <f t="shared" si="322"/>
        <v>35</v>
      </c>
      <c r="H5930" s="362"/>
      <c r="I5930" s="362"/>
      <c r="J5930" s="362"/>
    </row>
    <row r="5931" spans="1:10" x14ac:dyDescent="0.25">
      <c r="A5931" s="362"/>
      <c r="B5931" s="611">
        <v>44481</v>
      </c>
      <c r="C5931" s="362" t="s">
        <v>87</v>
      </c>
      <c r="D5931" s="562">
        <v>93562306</v>
      </c>
      <c r="E5931" s="562">
        <v>86909137</v>
      </c>
      <c r="F5931" s="562">
        <v>180471500</v>
      </c>
      <c r="G5931" s="562">
        <f t="shared" si="322"/>
        <v>-57</v>
      </c>
      <c r="H5931" s="362"/>
      <c r="I5931" s="362"/>
      <c r="J5931" s="362"/>
    </row>
    <row r="5932" spans="1:10" x14ac:dyDescent="0.25">
      <c r="A5932" s="362"/>
      <c r="B5932" s="611">
        <v>44481</v>
      </c>
      <c r="C5932" s="362" t="s">
        <v>88</v>
      </c>
      <c r="D5932" s="562">
        <v>215229936</v>
      </c>
      <c r="E5932" s="562">
        <v>53274651</v>
      </c>
      <c r="F5932" s="562">
        <v>268504600</v>
      </c>
      <c r="G5932" s="562">
        <f t="shared" si="322"/>
        <v>-13</v>
      </c>
      <c r="H5932" s="362"/>
      <c r="I5932" s="362"/>
      <c r="J5932" s="362"/>
    </row>
    <row r="5933" spans="1:10" x14ac:dyDescent="0.25">
      <c r="A5933" s="362"/>
      <c r="B5933" s="611">
        <v>44481</v>
      </c>
      <c r="C5933" s="362" t="s">
        <v>82</v>
      </c>
      <c r="D5933" s="562">
        <v>75737370</v>
      </c>
      <c r="E5933" s="562">
        <v>606540</v>
      </c>
      <c r="F5933" s="562">
        <v>76344000</v>
      </c>
      <c r="G5933" s="562">
        <f t="shared" si="322"/>
        <v>-90</v>
      </c>
      <c r="H5933" s="362"/>
      <c r="I5933" s="362"/>
      <c r="J5933" s="362"/>
    </row>
    <row r="5934" spans="1:10" x14ac:dyDescent="0.25">
      <c r="A5934" s="362"/>
      <c r="B5934" s="611">
        <v>44481</v>
      </c>
      <c r="C5934" s="362" t="s">
        <v>80</v>
      </c>
      <c r="D5934" s="562">
        <v>245620076</v>
      </c>
      <c r="E5934" s="562">
        <v>58620000</v>
      </c>
      <c r="F5934" s="562">
        <v>304218300</v>
      </c>
      <c r="G5934" s="562">
        <f t="shared" si="322"/>
        <v>21776</v>
      </c>
      <c r="H5934" s="362"/>
      <c r="I5934" s="362"/>
      <c r="J5934" s="362"/>
    </row>
    <row r="5935" spans="1:10" x14ac:dyDescent="0.25">
      <c r="A5935" s="362"/>
      <c r="B5935" s="611">
        <v>44481</v>
      </c>
      <c r="C5935" s="362" t="s">
        <v>83</v>
      </c>
      <c r="D5935" s="562">
        <v>167798540</v>
      </c>
      <c r="E5935" s="562">
        <v>207883224</v>
      </c>
      <c r="F5935" s="562">
        <v>376408600</v>
      </c>
      <c r="G5935" s="562">
        <f t="shared" si="322"/>
        <v>-726836</v>
      </c>
      <c r="H5935" s="362"/>
      <c r="I5935" s="362"/>
      <c r="J5935" s="362"/>
    </row>
    <row r="5936" spans="1:10" x14ac:dyDescent="0.25">
      <c r="A5936" s="362"/>
      <c r="B5936" s="611">
        <v>44481</v>
      </c>
      <c r="C5936" s="362" t="s">
        <v>78</v>
      </c>
      <c r="D5936" s="562">
        <v>80403239</v>
      </c>
      <c r="E5936" s="562">
        <v>1618661</v>
      </c>
      <c r="F5936" s="562">
        <v>82021900</v>
      </c>
      <c r="G5936" s="562">
        <f t="shared" si="322"/>
        <v>0</v>
      </c>
      <c r="H5936" s="362"/>
      <c r="I5936" s="362"/>
      <c r="J5936" s="362"/>
    </row>
    <row r="5937" spans="1:10" x14ac:dyDescent="0.25">
      <c r="A5937" s="362"/>
      <c r="B5937" s="611">
        <v>44481</v>
      </c>
      <c r="C5937" s="362" t="s">
        <v>141</v>
      </c>
      <c r="D5937" s="562">
        <v>53309451</v>
      </c>
      <c r="E5937" s="562"/>
      <c r="F5937" s="562">
        <v>53309500</v>
      </c>
      <c r="G5937" s="562">
        <f t="shared" si="322"/>
        <v>-49</v>
      </c>
      <c r="H5937" s="362"/>
      <c r="I5937" s="362"/>
      <c r="J5937" s="362"/>
    </row>
    <row r="5938" spans="1:10" x14ac:dyDescent="0.25">
      <c r="A5938" s="362"/>
      <c r="B5938" s="611">
        <v>44481</v>
      </c>
      <c r="C5938" s="362" t="s">
        <v>89</v>
      </c>
      <c r="D5938" s="562">
        <v>102022356</v>
      </c>
      <c r="E5938" s="562">
        <v>16774244</v>
      </c>
      <c r="F5938" s="562">
        <v>118796400</v>
      </c>
      <c r="G5938" s="562">
        <f t="shared" si="322"/>
        <v>200</v>
      </c>
      <c r="H5938" s="362"/>
      <c r="I5938" s="362"/>
      <c r="J5938" s="362"/>
    </row>
    <row r="5939" spans="1:10" x14ac:dyDescent="0.25">
      <c r="A5939" s="362"/>
      <c r="B5939" s="611">
        <v>44481</v>
      </c>
      <c r="C5939" s="362" t="s">
        <v>81</v>
      </c>
      <c r="D5939" s="562">
        <v>58087922</v>
      </c>
      <c r="E5939" s="562">
        <v>13768465</v>
      </c>
      <c r="F5939" s="562">
        <v>71856500</v>
      </c>
      <c r="G5939" s="562">
        <f t="shared" si="322"/>
        <v>-113</v>
      </c>
      <c r="H5939" s="362"/>
      <c r="I5939" s="362"/>
      <c r="J5939" s="362"/>
    </row>
    <row r="5940" spans="1:10" x14ac:dyDescent="0.25">
      <c r="A5940" s="362"/>
      <c r="B5940" s="611">
        <v>44481</v>
      </c>
      <c r="C5940" s="362" t="s">
        <v>84</v>
      </c>
      <c r="D5940" s="562">
        <v>219644152</v>
      </c>
      <c r="E5940" s="562">
        <v>15298200</v>
      </c>
      <c r="F5940" s="562">
        <v>234933500</v>
      </c>
      <c r="G5940" s="562">
        <f t="shared" si="322"/>
        <v>8852</v>
      </c>
      <c r="H5940" s="362"/>
      <c r="I5940" s="362"/>
      <c r="J5940" s="362"/>
    </row>
    <row r="5941" spans="1:10" x14ac:dyDescent="0.25">
      <c r="A5941" s="362"/>
      <c r="B5941" s="611">
        <v>44481</v>
      </c>
      <c r="C5941" s="362" t="s">
        <v>4751</v>
      </c>
      <c r="D5941" s="562">
        <v>207918329</v>
      </c>
      <c r="E5941" s="562">
        <v>8370471</v>
      </c>
      <c r="F5941" s="562">
        <v>216288800</v>
      </c>
      <c r="G5941" s="562">
        <f t="shared" si="322"/>
        <v>0</v>
      </c>
      <c r="H5941" s="362"/>
      <c r="I5941" s="362"/>
      <c r="J5941" s="362"/>
    </row>
    <row r="5942" spans="1:10" x14ac:dyDescent="0.25">
      <c r="A5942" s="362"/>
      <c r="B5942" s="611">
        <v>44481</v>
      </c>
      <c r="C5942" s="362" t="s">
        <v>166</v>
      </c>
      <c r="D5942" s="562">
        <v>224278249</v>
      </c>
      <c r="E5942" s="562"/>
      <c r="F5942" s="562">
        <v>224278300</v>
      </c>
      <c r="G5942" s="562">
        <f t="shared" si="322"/>
        <v>-51</v>
      </c>
      <c r="H5942" s="362"/>
      <c r="I5942" s="362"/>
      <c r="J5942" s="362"/>
    </row>
    <row r="5943" spans="1:10" x14ac:dyDescent="0.25">
      <c r="A5943" s="362"/>
      <c r="B5943" s="611">
        <v>44481</v>
      </c>
      <c r="C5943" s="362" t="s">
        <v>3435</v>
      </c>
      <c r="D5943" s="562">
        <v>20730668</v>
      </c>
      <c r="E5943" s="562"/>
      <c r="F5943" s="562">
        <v>20730700</v>
      </c>
      <c r="G5943" s="562">
        <f t="shared" si="322"/>
        <v>-32</v>
      </c>
      <c r="H5943" s="362"/>
      <c r="I5943" s="362"/>
      <c r="J5943" s="362"/>
    </row>
    <row r="5944" spans="1:10" x14ac:dyDescent="0.25">
      <c r="A5944" s="362"/>
      <c r="B5944" s="611">
        <v>44481</v>
      </c>
      <c r="C5944" s="370" t="s">
        <v>85</v>
      </c>
      <c r="D5944" s="562">
        <v>26252200</v>
      </c>
      <c r="E5944" s="562"/>
      <c r="F5944" s="562">
        <v>26252200</v>
      </c>
      <c r="G5944" s="562">
        <f t="shared" si="322"/>
        <v>0</v>
      </c>
      <c r="H5944" s="362"/>
      <c r="I5944" s="362"/>
      <c r="J5944" s="362"/>
    </row>
    <row r="5945" spans="1:10" x14ac:dyDescent="0.25">
      <c r="A5945" s="532"/>
      <c r="B5945" s="532"/>
      <c r="C5945" s="532"/>
      <c r="D5945" s="564">
        <f>SUM(D5930:D5944)</f>
        <v>1898568589</v>
      </c>
      <c r="E5945" s="564">
        <f t="shared" ref="E5945:G5945" si="325">SUM(E5930:E5944)</f>
        <v>530158633</v>
      </c>
      <c r="F5945" s="564">
        <f t="shared" si="325"/>
        <v>2429423600</v>
      </c>
      <c r="G5945" s="564">
        <f t="shared" si="325"/>
        <v>-696378</v>
      </c>
      <c r="H5945" s="532"/>
      <c r="I5945" s="532"/>
      <c r="J5945" s="532"/>
    </row>
    <row r="5946" spans="1:10" x14ac:dyDescent="0.25">
      <c r="A5946" s="362"/>
      <c r="B5946" s="611">
        <v>44482</v>
      </c>
      <c r="C5946" s="362" t="s">
        <v>86</v>
      </c>
      <c r="D5946" s="562">
        <v>159995529</v>
      </c>
      <c r="E5946" s="562">
        <v>120902599</v>
      </c>
      <c r="F5946" s="562">
        <v>280898200</v>
      </c>
      <c r="G5946" s="562">
        <f t="shared" si="322"/>
        <v>-72</v>
      </c>
      <c r="H5946" s="362"/>
      <c r="I5946" s="362"/>
      <c r="J5946" s="362"/>
    </row>
    <row r="5947" spans="1:10" x14ac:dyDescent="0.25">
      <c r="A5947" s="362"/>
      <c r="B5947" s="611">
        <v>44482</v>
      </c>
      <c r="C5947" s="362" t="s">
        <v>87</v>
      </c>
      <c r="D5947" s="562">
        <v>79612161</v>
      </c>
      <c r="E5947" s="562">
        <v>73356259</v>
      </c>
      <c r="F5947" s="562">
        <v>152968000</v>
      </c>
      <c r="G5947" s="562">
        <f t="shared" si="322"/>
        <v>420</v>
      </c>
      <c r="H5947" s="362"/>
      <c r="I5947" s="362"/>
      <c r="J5947" s="362"/>
    </row>
    <row r="5948" spans="1:10" x14ac:dyDescent="0.25">
      <c r="A5948" s="362"/>
      <c r="B5948" s="611">
        <v>44482</v>
      </c>
      <c r="C5948" s="362" t="s">
        <v>88</v>
      </c>
      <c r="D5948" s="562">
        <v>161636666</v>
      </c>
      <c r="E5948" s="562">
        <v>41673361</v>
      </c>
      <c r="F5948" s="562">
        <v>203310100</v>
      </c>
      <c r="G5948" s="562">
        <f t="shared" si="322"/>
        <v>-73</v>
      </c>
      <c r="H5948" s="362"/>
      <c r="I5948" s="362"/>
      <c r="J5948" s="362"/>
    </row>
    <row r="5949" spans="1:10" x14ac:dyDescent="0.25">
      <c r="A5949" s="362"/>
      <c r="B5949" s="611">
        <v>44482</v>
      </c>
      <c r="C5949" s="362" t="s">
        <v>82</v>
      </c>
      <c r="D5949" s="562">
        <v>88877413</v>
      </c>
      <c r="E5949" s="562">
        <v>50678305</v>
      </c>
      <c r="F5949" s="562">
        <v>139555800</v>
      </c>
      <c r="G5949" s="562">
        <f t="shared" si="322"/>
        <v>-82</v>
      </c>
      <c r="H5949" s="362"/>
      <c r="I5949" s="362"/>
      <c r="J5949" s="362"/>
    </row>
    <row r="5950" spans="1:10" x14ac:dyDescent="0.25">
      <c r="A5950" s="362"/>
      <c r="B5950" s="611">
        <v>44482</v>
      </c>
      <c r="C5950" s="362" t="s">
        <v>80</v>
      </c>
      <c r="D5950" s="562">
        <v>240193154</v>
      </c>
      <c r="E5950" s="562"/>
      <c r="F5950" s="562">
        <v>240193700</v>
      </c>
      <c r="G5950" s="562">
        <f t="shared" si="322"/>
        <v>-546</v>
      </c>
      <c r="H5950" s="362"/>
      <c r="I5950" s="362"/>
      <c r="J5950" s="362"/>
    </row>
    <row r="5951" spans="1:10" x14ac:dyDescent="0.25">
      <c r="A5951" s="362"/>
      <c r="B5951" s="611">
        <v>44482</v>
      </c>
      <c r="C5951" s="362" t="s">
        <v>83</v>
      </c>
      <c r="D5951" s="562">
        <v>201076645</v>
      </c>
      <c r="E5951" s="562">
        <v>15622012</v>
      </c>
      <c r="F5951" s="562">
        <v>216698700</v>
      </c>
      <c r="G5951" s="562">
        <f t="shared" si="322"/>
        <v>-43</v>
      </c>
      <c r="H5951" s="362"/>
      <c r="I5951" s="362"/>
      <c r="J5951" s="362"/>
    </row>
    <row r="5952" spans="1:10" x14ac:dyDescent="0.25">
      <c r="A5952" s="362"/>
      <c r="B5952" s="611">
        <v>44482</v>
      </c>
      <c r="C5952" s="362" t="s">
        <v>78</v>
      </c>
      <c r="D5952" s="562">
        <v>88776272</v>
      </c>
      <c r="E5952" s="562">
        <v>18627928</v>
      </c>
      <c r="F5952" s="562">
        <v>107404200</v>
      </c>
      <c r="G5952" s="562">
        <f t="shared" si="322"/>
        <v>0</v>
      </c>
      <c r="H5952" s="362"/>
      <c r="I5952" s="362"/>
      <c r="J5952" s="362"/>
    </row>
    <row r="5953" spans="1:10" x14ac:dyDescent="0.25">
      <c r="A5953" s="362"/>
      <c r="B5953" s="611">
        <v>44482</v>
      </c>
      <c r="C5953" s="362" t="s">
        <v>141</v>
      </c>
      <c r="D5953" s="562">
        <v>106585747</v>
      </c>
      <c r="E5953" s="562">
        <v>477600</v>
      </c>
      <c r="F5953" s="562">
        <v>107063300</v>
      </c>
      <c r="G5953" s="562">
        <f t="shared" si="322"/>
        <v>47</v>
      </c>
      <c r="H5953" s="362"/>
      <c r="I5953" s="362"/>
      <c r="J5953" s="362"/>
    </row>
    <row r="5954" spans="1:10" x14ac:dyDescent="0.25">
      <c r="A5954" s="362"/>
      <c r="B5954" s="611">
        <v>44482</v>
      </c>
      <c r="C5954" s="362" t="s">
        <v>89</v>
      </c>
      <c r="D5954" s="562">
        <v>100030126</v>
      </c>
      <c r="E5954" s="562">
        <v>12146974</v>
      </c>
      <c r="F5954" s="562">
        <v>112177000</v>
      </c>
      <c r="G5954" s="562">
        <f t="shared" si="322"/>
        <v>100</v>
      </c>
      <c r="H5954" s="362"/>
      <c r="I5954" s="362"/>
      <c r="J5954" s="362"/>
    </row>
    <row r="5955" spans="1:10" x14ac:dyDescent="0.25">
      <c r="A5955" s="362"/>
      <c r="B5955" s="611">
        <v>44482</v>
      </c>
      <c r="C5955" s="362" t="s">
        <v>81</v>
      </c>
      <c r="D5955" s="562">
        <v>99769128</v>
      </c>
      <c r="E5955" s="562">
        <v>38812963</v>
      </c>
      <c r="F5955" s="562">
        <v>138582100</v>
      </c>
      <c r="G5955" s="562">
        <f t="shared" si="322"/>
        <v>-9</v>
      </c>
      <c r="H5955" s="362"/>
      <c r="I5955" s="362"/>
      <c r="J5955" s="362"/>
    </row>
    <row r="5956" spans="1:10" x14ac:dyDescent="0.25">
      <c r="A5956" s="362"/>
      <c r="B5956" s="611">
        <v>44482</v>
      </c>
      <c r="C5956" s="362" t="s">
        <v>84</v>
      </c>
      <c r="D5956" s="562">
        <v>199585772</v>
      </c>
      <c r="E5956" s="562">
        <v>9379958</v>
      </c>
      <c r="F5956" s="562">
        <v>208965800</v>
      </c>
      <c r="G5956" s="562">
        <f t="shared" si="322"/>
        <v>-70</v>
      </c>
      <c r="H5956" s="362"/>
      <c r="I5956" s="362"/>
      <c r="J5956" s="362"/>
    </row>
    <row r="5957" spans="1:10" x14ac:dyDescent="0.25">
      <c r="A5957" s="362"/>
      <c r="B5957" s="611">
        <v>44482</v>
      </c>
      <c r="C5957" s="362" t="s">
        <v>4751</v>
      </c>
      <c r="D5957" s="562">
        <v>136555956</v>
      </c>
      <c r="E5957" s="562">
        <v>16099144</v>
      </c>
      <c r="F5957" s="562">
        <v>152655100</v>
      </c>
      <c r="G5957" s="562">
        <f t="shared" si="322"/>
        <v>0</v>
      </c>
      <c r="H5957" s="362"/>
      <c r="I5957" s="362"/>
      <c r="J5957" s="362"/>
    </row>
    <row r="5958" spans="1:10" x14ac:dyDescent="0.25">
      <c r="A5958" s="362"/>
      <c r="B5958" s="611">
        <v>44482</v>
      </c>
      <c r="C5958" s="362" t="s">
        <v>166</v>
      </c>
      <c r="D5958" s="562">
        <v>58971957</v>
      </c>
      <c r="E5958" s="562"/>
      <c r="F5958" s="562">
        <v>58972000</v>
      </c>
      <c r="G5958" s="562">
        <f t="shared" si="322"/>
        <v>-43</v>
      </c>
      <c r="H5958" s="362"/>
      <c r="I5958" s="362"/>
      <c r="J5958" s="362"/>
    </row>
    <row r="5959" spans="1:10" x14ac:dyDescent="0.25">
      <c r="A5959" s="362"/>
      <c r="B5959" s="611">
        <v>44482</v>
      </c>
      <c r="C5959" s="362" t="s">
        <v>3435</v>
      </c>
      <c r="D5959" s="562">
        <v>23413965</v>
      </c>
      <c r="E5959" s="562"/>
      <c r="F5959" s="562">
        <v>23414000</v>
      </c>
      <c r="G5959" s="562">
        <f t="shared" si="322"/>
        <v>-35</v>
      </c>
      <c r="H5959" s="362"/>
      <c r="I5959" s="362"/>
      <c r="J5959" s="362"/>
    </row>
    <row r="5960" spans="1:10" x14ac:dyDescent="0.25">
      <c r="A5960" s="362"/>
      <c r="B5960" s="611">
        <v>44482</v>
      </c>
      <c r="C5960" s="370" t="s">
        <v>85</v>
      </c>
      <c r="D5960" s="562">
        <v>32080500</v>
      </c>
      <c r="E5960" s="562"/>
      <c r="F5960" s="562">
        <v>32080500</v>
      </c>
      <c r="G5960" s="562">
        <f t="shared" si="322"/>
        <v>0</v>
      </c>
      <c r="H5960" s="362"/>
      <c r="I5960" s="362"/>
      <c r="J5960" s="362"/>
    </row>
    <row r="5961" spans="1:10" x14ac:dyDescent="0.25">
      <c r="A5961" s="532"/>
      <c r="B5961" s="532"/>
      <c r="C5961" s="532"/>
      <c r="D5961" s="564">
        <f>SUM(D5946:D5960)</f>
        <v>1777160991</v>
      </c>
      <c r="E5961" s="564">
        <f t="shared" ref="E5961:G5961" si="326">SUM(E5946:E5960)</f>
        <v>397777103</v>
      </c>
      <c r="F5961" s="564">
        <f t="shared" si="326"/>
        <v>2174938500</v>
      </c>
      <c r="G5961" s="564">
        <f t="shared" si="326"/>
        <v>-406</v>
      </c>
      <c r="H5961" s="532"/>
      <c r="I5961" s="532"/>
      <c r="J5961" s="532"/>
    </row>
    <row r="5962" spans="1:10" x14ac:dyDescent="0.25">
      <c r="A5962" s="362"/>
      <c r="B5962" s="611">
        <v>44483</v>
      </c>
      <c r="C5962" s="362" t="s">
        <v>86</v>
      </c>
      <c r="D5962" s="562">
        <v>185062636</v>
      </c>
      <c r="E5962" s="562">
        <v>137755900</v>
      </c>
      <c r="F5962" s="562"/>
      <c r="G5962" s="562">
        <f t="shared" si="322"/>
        <v>322818536</v>
      </c>
      <c r="H5962" s="362"/>
      <c r="I5962" s="362"/>
      <c r="J5962" s="362"/>
    </row>
    <row r="5963" spans="1:10" x14ac:dyDescent="0.25">
      <c r="A5963" s="362"/>
      <c r="B5963" s="611">
        <v>44483</v>
      </c>
      <c r="C5963" s="362" t="s">
        <v>87</v>
      </c>
      <c r="D5963" s="562">
        <v>30551216</v>
      </c>
      <c r="E5963" s="562">
        <v>68051661</v>
      </c>
      <c r="F5963" s="562"/>
      <c r="G5963" s="562">
        <f t="shared" si="322"/>
        <v>98602877</v>
      </c>
      <c r="H5963" s="362"/>
      <c r="I5963" s="362"/>
      <c r="J5963" s="362"/>
    </row>
    <row r="5964" spans="1:10" x14ac:dyDescent="0.25">
      <c r="A5964" s="362"/>
      <c r="B5964" s="611">
        <v>44483</v>
      </c>
      <c r="C5964" s="362" t="s">
        <v>88</v>
      </c>
      <c r="D5964" s="562">
        <v>209239529</v>
      </c>
      <c r="E5964" s="562">
        <v>8550274</v>
      </c>
      <c r="F5964" s="562"/>
      <c r="G5964" s="562">
        <f t="shared" ref="G5964:G6027" si="327">D5964+E5964-F5964</f>
        <v>217789803</v>
      </c>
      <c r="H5964" s="362"/>
      <c r="I5964" s="362"/>
      <c r="J5964" s="362"/>
    </row>
    <row r="5965" spans="1:10" x14ac:dyDescent="0.25">
      <c r="A5965" s="362"/>
      <c r="B5965" s="611">
        <v>44483</v>
      </c>
      <c r="C5965" s="362" t="s">
        <v>82</v>
      </c>
      <c r="D5965" s="562">
        <v>100938193</v>
      </c>
      <c r="E5965" s="562"/>
      <c r="F5965" s="562"/>
      <c r="G5965" s="562">
        <f t="shared" si="327"/>
        <v>100938193</v>
      </c>
      <c r="H5965" s="362"/>
      <c r="I5965" s="362"/>
      <c r="J5965" s="362"/>
    </row>
    <row r="5966" spans="1:10" x14ac:dyDescent="0.25">
      <c r="A5966" s="362"/>
      <c r="B5966" s="611">
        <v>44483</v>
      </c>
      <c r="C5966" s="362" t="s">
        <v>80</v>
      </c>
      <c r="D5966" s="562">
        <v>265554153</v>
      </c>
      <c r="E5966" s="562"/>
      <c r="F5966" s="562"/>
      <c r="G5966" s="562">
        <f t="shared" si="327"/>
        <v>265554153</v>
      </c>
      <c r="H5966" s="362"/>
      <c r="I5966" s="362"/>
      <c r="J5966" s="362"/>
    </row>
    <row r="5967" spans="1:10" x14ac:dyDescent="0.25">
      <c r="A5967" s="362"/>
      <c r="B5967" s="611">
        <v>44483</v>
      </c>
      <c r="C5967" s="362" t="s">
        <v>83</v>
      </c>
      <c r="D5967" s="562">
        <v>163309971</v>
      </c>
      <c r="E5967" s="562">
        <v>124049886</v>
      </c>
      <c r="F5967" s="562"/>
      <c r="G5967" s="562">
        <f t="shared" si="327"/>
        <v>287359857</v>
      </c>
      <c r="H5967" s="362"/>
      <c r="I5967" s="362"/>
      <c r="J5967" s="362"/>
    </row>
    <row r="5968" spans="1:10" x14ac:dyDescent="0.25">
      <c r="A5968" s="362"/>
      <c r="B5968" s="611">
        <v>44483</v>
      </c>
      <c r="C5968" s="362" t="s">
        <v>78</v>
      </c>
      <c r="D5968" s="562">
        <v>99353800</v>
      </c>
      <c r="E5968" s="562"/>
      <c r="F5968" s="562"/>
      <c r="G5968" s="562">
        <f t="shared" si="327"/>
        <v>99353800</v>
      </c>
      <c r="H5968" s="362"/>
      <c r="I5968" s="362"/>
      <c r="J5968" s="362"/>
    </row>
    <row r="5969" spans="1:10" x14ac:dyDescent="0.25">
      <c r="A5969" s="362"/>
      <c r="B5969" s="611">
        <v>44483</v>
      </c>
      <c r="C5969" s="362" t="s">
        <v>141</v>
      </c>
      <c r="D5969" s="562">
        <v>61917002</v>
      </c>
      <c r="E5969" s="562"/>
      <c r="F5969" s="562"/>
      <c r="G5969" s="562">
        <f t="shared" si="327"/>
        <v>61917002</v>
      </c>
      <c r="H5969" s="362"/>
      <c r="I5969" s="362"/>
      <c r="J5969" s="362"/>
    </row>
    <row r="5970" spans="1:10" x14ac:dyDescent="0.25">
      <c r="A5970" s="362"/>
      <c r="B5970" s="611">
        <v>44483</v>
      </c>
      <c r="C5970" s="362" t="s">
        <v>89</v>
      </c>
      <c r="D5970" s="562">
        <v>116962142</v>
      </c>
      <c r="E5970" s="562">
        <v>55507658</v>
      </c>
      <c r="F5970" s="562"/>
      <c r="G5970" s="562">
        <f t="shared" si="327"/>
        <v>172469800</v>
      </c>
      <c r="H5970" s="362"/>
      <c r="I5970" s="362"/>
      <c r="J5970" s="362"/>
    </row>
    <row r="5971" spans="1:10" x14ac:dyDescent="0.25">
      <c r="A5971" s="362"/>
      <c r="B5971" s="611">
        <v>44483</v>
      </c>
      <c r="C5971" s="362" t="s">
        <v>81</v>
      </c>
      <c r="D5971" s="562">
        <v>119478369</v>
      </c>
      <c r="E5971" s="562">
        <v>25770734</v>
      </c>
      <c r="F5971" s="562"/>
      <c r="G5971" s="562">
        <f t="shared" si="327"/>
        <v>145249103</v>
      </c>
      <c r="H5971" s="362"/>
      <c r="I5971" s="362"/>
      <c r="J5971" s="362"/>
    </row>
    <row r="5972" spans="1:10" x14ac:dyDescent="0.25">
      <c r="A5972" s="362"/>
      <c r="B5972" s="611">
        <v>44483</v>
      </c>
      <c r="C5972" s="362" t="s">
        <v>84</v>
      </c>
      <c r="D5972" s="562">
        <v>265422438</v>
      </c>
      <c r="E5972" s="562">
        <v>14268006</v>
      </c>
      <c r="F5972" s="562"/>
      <c r="G5972" s="562">
        <f t="shared" si="327"/>
        <v>279690444</v>
      </c>
      <c r="H5972" s="362"/>
      <c r="I5972" s="362"/>
      <c r="J5972" s="362"/>
    </row>
    <row r="5973" spans="1:10" x14ac:dyDescent="0.25">
      <c r="A5973" s="362"/>
      <c r="B5973" s="611">
        <v>44483</v>
      </c>
      <c r="C5973" s="362" t="s">
        <v>4751</v>
      </c>
      <c r="D5973" s="562">
        <v>249284804</v>
      </c>
      <c r="E5973" s="562">
        <v>11134496</v>
      </c>
      <c r="F5973" s="562"/>
      <c r="G5973" s="562">
        <f t="shared" si="327"/>
        <v>260419300</v>
      </c>
      <c r="H5973" s="362"/>
      <c r="I5973" s="362"/>
      <c r="J5973" s="362"/>
    </row>
    <row r="5974" spans="1:10" x14ac:dyDescent="0.25">
      <c r="A5974" s="362"/>
      <c r="B5974" s="611">
        <v>44483</v>
      </c>
      <c r="C5974" s="362" t="s">
        <v>166</v>
      </c>
      <c r="D5974" s="562">
        <v>79682217</v>
      </c>
      <c r="E5974" s="562"/>
      <c r="F5974" s="562"/>
      <c r="G5974" s="562">
        <f t="shared" si="327"/>
        <v>79682217</v>
      </c>
      <c r="H5974" s="362"/>
      <c r="I5974" s="362"/>
      <c r="J5974" s="362"/>
    </row>
    <row r="5975" spans="1:10" x14ac:dyDescent="0.25">
      <c r="A5975" s="362"/>
      <c r="B5975" s="611">
        <v>44483</v>
      </c>
      <c r="C5975" s="362" t="s">
        <v>3435</v>
      </c>
      <c r="D5975" s="562">
        <v>62766165</v>
      </c>
      <c r="E5975" s="562"/>
      <c r="F5975" s="562"/>
      <c r="G5975" s="562">
        <f t="shared" si="327"/>
        <v>62766165</v>
      </c>
      <c r="H5975" s="362"/>
      <c r="I5975" s="362"/>
      <c r="J5975" s="362"/>
    </row>
    <row r="5976" spans="1:10" x14ac:dyDescent="0.25">
      <c r="A5976" s="362"/>
      <c r="B5976" s="611">
        <v>44483</v>
      </c>
      <c r="C5976" s="370" t="s">
        <v>85</v>
      </c>
      <c r="D5976" s="562">
        <v>23153400</v>
      </c>
      <c r="E5976" s="562"/>
      <c r="F5976" s="562"/>
      <c r="G5976" s="562">
        <f t="shared" si="327"/>
        <v>23153400</v>
      </c>
      <c r="H5976" s="362"/>
      <c r="I5976" s="362"/>
      <c r="J5976" s="362"/>
    </row>
    <row r="5977" spans="1:10" x14ac:dyDescent="0.25">
      <c r="A5977" s="532"/>
      <c r="B5977" s="532"/>
      <c r="C5977" s="532"/>
      <c r="D5977" s="564">
        <f>SUM(D5962:D5976)</f>
        <v>2032676035</v>
      </c>
      <c r="E5977" s="564">
        <f t="shared" ref="E5977:G5977" si="328">SUM(E5962:E5976)</f>
        <v>445088615</v>
      </c>
      <c r="F5977" s="564">
        <f t="shared" si="328"/>
        <v>0</v>
      </c>
      <c r="G5977" s="564">
        <f t="shared" si="328"/>
        <v>2477764650</v>
      </c>
      <c r="H5977" s="532"/>
      <c r="I5977" s="532"/>
      <c r="J5977" s="532"/>
    </row>
    <row r="5978" spans="1:10" x14ac:dyDescent="0.25">
      <c r="A5978" s="362"/>
      <c r="B5978" s="611">
        <v>44484</v>
      </c>
      <c r="C5978" s="362" t="s">
        <v>86</v>
      </c>
      <c r="D5978" s="562">
        <v>47098058</v>
      </c>
      <c r="E5978" s="562">
        <v>43724105</v>
      </c>
      <c r="F5978" s="562">
        <v>90822300</v>
      </c>
      <c r="G5978" s="562">
        <f t="shared" si="327"/>
        <v>-137</v>
      </c>
      <c r="H5978" s="362"/>
      <c r="I5978" s="362"/>
      <c r="J5978" s="362"/>
    </row>
    <row r="5979" spans="1:10" x14ac:dyDescent="0.25">
      <c r="A5979" s="362"/>
      <c r="B5979" s="611">
        <v>44484</v>
      </c>
      <c r="C5979" s="362" t="s">
        <v>87</v>
      </c>
      <c r="D5979" s="562">
        <v>86401852</v>
      </c>
      <c r="E5979" s="562">
        <v>27361086</v>
      </c>
      <c r="F5979" s="562">
        <v>113762900</v>
      </c>
      <c r="G5979" s="562">
        <f t="shared" si="327"/>
        <v>38</v>
      </c>
      <c r="H5979" s="362"/>
      <c r="I5979" s="362"/>
      <c r="J5979" s="362"/>
    </row>
    <row r="5980" spans="1:10" x14ac:dyDescent="0.25">
      <c r="A5980" s="362"/>
      <c r="B5980" s="611">
        <v>44484</v>
      </c>
      <c r="C5980" s="362" t="s">
        <v>88</v>
      </c>
      <c r="D5980" s="562">
        <v>78120138</v>
      </c>
      <c r="E5980" s="562">
        <v>193066230</v>
      </c>
      <c r="F5980" s="562">
        <v>271186400</v>
      </c>
      <c r="G5980" s="562">
        <f t="shared" si="327"/>
        <v>-32</v>
      </c>
      <c r="H5980" s="362"/>
      <c r="I5980" s="362"/>
      <c r="J5980" s="362"/>
    </row>
    <row r="5981" spans="1:10" x14ac:dyDescent="0.25">
      <c r="A5981" s="362"/>
      <c r="B5981" s="611">
        <v>44484</v>
      </c>
      <c r="C5981" s="362" t="s">
        <v>82</v>
      </c>
      <c r="D5981" s="562">
        <v>75862105</v>
      </c>
      <c r="E5981" s="562">
        <v>41597511</v>
      </c>
      <c r="F5981" s="562">
        <v>117459700</v>
      </c>
      <c r="G5981" s="562">
        <f t="shared" si="327"/>
        <v>-84</v>
      </c>
      <c r="H5981" s="362"/>
      <c r="I5981" s="362"/>
      <c r="J5981" s="362"/>
    </row>
    <row r="5982" spans="1:10" x14ac:dyDescent="0.25">
      <c r="A5982" s="362"/>
      <c r="B5982" s="611">
        <v>44484</v>
      </c>
      <c r="C5982" s="362" t="s">
        <v>80</v>
      </c>
      <c r="D5982" s="562">
        <v>390810086</v>
      </c>
      <c r="E5982" s="562">
        <v>81901642</v>
      </c>
      <c r="F5982" s="562">
        <v>472706900</v>
      </c>
      <c r="G5982" s="562">
        <f t="shared" si="327"/>
        <v>4828</v>
      </c>
      <c r="H5982" s="362"/>
      <c r="I5982" s="362"/>
      <c r="J5982" s="362"/>
    </row>
    <row r="5983" spans="1:10" x14ac:dyDescent="0.25">
      <c r="A5983" s="362"/>
      <c r="B5983" s="611">
        <v>44484</v>
      </c>
      <c r="C5983" s="362" t="s">
        <v>83</v>
      </c>
      <c r="D5983" s="562">
        <v>128776467</v>
      </c>
      <c r="E5983" s="562">
        <v>75208751</v>
      </c>
      <c r="F5983" s="562">
        <v>203985100</v>
      </c>
      <c r="G5983" s="562">
        <f t="shared" si="327"/>
        <v>118</v>
      </c>
      <c r="H5983" s="362"/>
      <c r="I5983" s="362"/>
      <c r="J5983" s="362"/>
    </row>
    <row r="5984" spans="1:10" x14ac:dyDescent="0.25">
      <c r="A5984" s="362"/>
      <c r="B5984" s="611">
        <v>44484</v>
      </c>
      <c r="C5984" s="362" t="s">
        <v>78</v>
      </c>
      <c r="D5984" s="562">
        <v>105672844</v>
      </c>
      <c r="E5984" s="562">
        <v>1051856</v>
      </c>
      <c r="F5984" s="562">
        <v>106724700</v>
      </c>
      <c r="G5984" s="562">
        <f t="shared" si="327"/>
        <v>0</v>
      </c>
      <c r="H5984" s="362"/>
      <c r="I5984" s="362"/>
      <c r="J5984" s="362"/>
    </row>
    <row r="5985" spans="1:10" x14ac:dyDescent="0.25">
      <c r="A5985" s="362"/>
      <c r="B5985" s="611">
        <v>44484</v>
      </c>
      <c r="C5985" s="362" t="s">
        <v>141</v>
      </c>
      <c r="D5985" s="562">
        <v>88664382</v>
      </c>
      <c r="E5985" s="562">
        <v>502850</v>
      </c>
      <c r="F5985" s="562">
        <v>89167300</v>
      </c>
      <c r="G5985" s="562">
        <f t="shared" si="327"/>
        <v>-68</v>
      </c>
      <c r="H5985" s="362"/>
      <c r="I5985" s="362"/>
      <c r="J5985" s="362"/>
    </row>
    <row r="5986" spans="1:10" x14ac:dyDescent="0.25">
      <c r="A5986" s="362"/>
      <c r="B5986" s="611">
        <v>44484</v>
      </c>
      <c r="C5986" s="362" t="s">
        <v>89</v>
      </c>
      <c r="D5986" s="562">
        <v>140424504</v>
      </c>
      <c r="E5986" s="562">
        <v>81624596</v>
      </c>
      <c r="F5986" s="562">
        <v>222049100</v>
      </c>
      <c r="G5986" s="562">
        <f t="shared" si="327"/>
        <v>0</v>
      </c>
      <c r="H5986" s="362"/>
      <c r="I5986" s="362"/>
      <c r="J5986" s="362"/>
    </row>
    <row r="5987" spans="1:10" x14ac:dyDescent="0.25">
      <c r="A5987" s="362"/>
      <c r="B5987" s="611">
        <v>44484</v>
      </c>
      <c r="C5987" s="362" t="s">
        <v>81</v>
      </c>
      <c r="D5987" s="562">
        <v>76556435</v>
      </c>
      <c r="E5987" s="562">
        <v>28964943</v>
      </c>
      <c r="F5987" s="562">
        <v>105521400</v>
      </c>
      <c r="G5987" s="562">
        <f t="shared" si="327"/>
        <v>-22</v>
      </c>
      <c r="H5987" s="362"/>
      <c r="I5987" s="362"/>
      <c r="J5987" s="362"/>
    </row>
    <row r="5988" spans="1:10" x14ac:dyDescent="0.25">
      <c r="A5988" s="362"/>
      <c r="B5988" s="611">
        <v>44484</v>
      </c>
      <c r="C5988" s="362" t="s">
        <v>84</v>
      </c>
      <c r="D5988" s="562">
        <v>161297401</v>
      </c>
      <c r="E5988" s="562">
        <v>15482222</v>
      </c>
      <c r="F5988" s="562">
        <v>176779600</v>
      </c>
      <c r="G5988" s="562">
        <f t="shared" si="327"/>
        <v>23</v>
      </c>
      <c r="H5988" s="362"/>
      <c r="I5988" s="362"/>
      <c r="J5988" s="362"/>
    </row>
    <row r="5989" spans="1:10" x14ac:dyDescent="0.25">
      <c r="A5989" s="362"/>
      <c r="B5989" s="611">
        <v>44484</v>
      </c>
      <c r="C5989" s="362" t="s">
        <v>4751</v>
      </c>
      <c r="D5989" s="562">
        <v>119046497</v>
      </c>
      <c r="E5989" s="562">
        <v>18837803</v>
      </c>
      <c r="F5989" s="562">
        <v>137884300</v>
      </c>
      <c r="G5989" s="562">
        <f t="shared" si="327"/>
        <v>0</v>
      </c>
      <c r="H5989" s="362"/>
      <c r="I5989" s="362"/>
      <c r="J5989" s="362"/>
    </row>
    <row r="5990" spans="1:10" x14ac:dyDescent="0.25">
      <c r="A5990" s="362"/>
      <c r="B5990" s="611">
        <v>44484</v>
      </c>
      <c r="C5990" s="362" t="s">
        <v>166</v>
      </c>
      <c r="D5990" s="562">
        <v>38402681</v>
      </c>
      <c r="E5990" s="562"/>
      <c r="F5990" s="562">
        <v>38403000</v>
      </c>
      <c r="G5990" s="562">
        <f t="shared" si="327"/>
        <v>-319</v>
      </c>
      <c r="H5990" s="362"/>
      <c r="I5990" s="362"/>
      <c r="J5990" s="362"/>
    </row>
    <row r="5991" spans="1:10" x14ac:dyDescent="0.25">
      <c r="A5991" s="362"/>
      <c r="B5991" s="611">
        <v>44484</v>
      </c>
      <c r="C5991" s="362" t="s">
        <v>3435</v>
      </c>
      <c r="D5991" s="562">
        <v>32846360</v>
      </c>
      <c r="E5991" s="562"/>
      <c r="F5991" s="562">
        <v>32846400</v>
      </c>
      <c r="G5991" s="562">
        <f t="shared" si="327"/>
        <v>-40</v>
      </c>
      <c r="H5991" s="362"/>
      <c r="I5991" s="362"/>
      <c r="J5991" s="362"/>
    </row>
    <row r="5992" spans="1:10" x14ac:dyDescent="0.25">
      <c r="A5992" s="362"/>
      <c r="B5992" s="611">
        <v>44484</v>
      </c>
      <c r="C5992" s="370" t="s">
        <v>85</v>
      </c>
      <c r="D5992" s="562">
        <v>25316900</v>
      </c>
      <c r="E5992" s="562"/>
      <c r="F5992" s="562">
        <v>25816900</v>
      </c>
      <c r="G5992" s="562">
        <f t="shared" si="327"/>
        <v>-500000</v>
      </c>
      <c r="H5992" s="362"/>
      <c r="I5992" s="362"/>
      <c r="J5992" s="362"/>
    </row>
    <row r="5993" spans="1:10" x14ac:dyDescent="0.25">
      <c r="A5993" s="532"/>
      <c r="B5993" s="532"/>
      <c r="C5993" s="532"/>
      <c r="D5993" s="564">
        <f>SUM(D5978:D5992)</f>
        <v>1595296710</v>
      </c>
      <c r="E5993" s="564">
        <f t="shared" ref="E5993:G5993" si="329">SUM(E5978:E5992)</f>
        <v>609323595</v>
      </c>
      <c r="F5993" s="564">
        <f t="shared" si="329"/>
        <v>2205116000</v>
      </c>
      <c r="G5993" s="564">
        <f t="shared" si="329"/>
        <v>-495695</v>
      </c>
      <c r="H5993" s="532"/>
      <c r="I5993" s="532"/>
      <c r="J5993" s="532"/>
    </row>
    <row r="5994" spans="1:10" x14ac:dyDescent="0.25">
      <c r="A5994" s="362"/>
      <c r="B5994" s="611">
        <v>44485</v>
      </c>
      <c r="C5994" s="362" t="s">
        <v>86</v>
      </c>
      <c r="D5994" s="562">
        <v>37704683</v>
      </c>
      <c r="E5994" s="562">
        <v>288971850</v>
      </c>
      <c r="F5994" s="562"/>
      <c r="G5994" s="562">
        <f t="shared" si="327"/>
        <v>326676533</v>
      </c>
      <c r="H5994" s="362"/>
      <c r="I5994" s="362"/>
      <c r="J5994" s="362"/>
    </row>
    <row r="5995" spans="1:10" x14ac:dyDescent="0.25">
      <c r="A5995" s="362"/>
      <c r="B5995" s="611">
        <v>44485</v>
      </c>
      <c r="C5995" s="362" t="s">
        <v>87</v>
      </c>
      <c r="D5995" s="562">
        <v>63813670</v>
      </c>
      <c r="E5995" s="562">
        <v>236177676</v>
      </c>
      <c r="F5995" s="562"/>
      <c r="G5995" s="562">
        <f t="shared" si="327"/>
        <v>299991346</v>
      </c>
      <c r="H5995" s="362"/>
      <c r="I5995" s="362"/>
      <c r="J5995" s="362"/>
    </row>
    <row r="5996" spans="1:10" x14ac:dyDescent="0.25">
      <c r="A5996" s="362"/>
      <c r="B5996" s="611">
        <v>44485</v>
      </c>
      <c r="C5996" s="362" t="s">
        <v>88</v>
      </c>
      <c r="D5996" s="562">
        <v>94916933</v>
      </c>
      <c r="E5996" s="562">
        <v>4475407</v>
      </c>
      <c r="F5996" s="562"/>
      <c r="G5996" s="562">
        <f t="shared" si="327"/>
        <v>99392340</v>
      </c>
      <c r="H5996" s="362"/>
      <c r="I5996" s="362"/>
      <c r="J5996" s="362"/>
    </row>
    <row r="5997" spans="1:10" x14ac:dyDescent="0.25">
      <c r="A5997" s="362"/>
      <c r="B5997" s="611">
        <v>44485</v>
      </c>
      <c r="C5997" s="362" t="s">
        <v>82</v>
      </c>
      <c r="D5997" s="562">
        <v>39834366</v>
      </c>
      <c r="E5997" s="562">
        <v>5709080</v>
      </c>
      <c r="F5997" s="562"/>
      <c r="G5997" s="562">
        <f t="shared" si="327"/>
        <v>45543446</v>
      </c>
      <c r="H5997" s="362"/>
      <c r="I5997" s="362"/>
      <c r="J5997" s="362"/>
    </row>
    <row r="5998" spans="1:10" x14ac:dyDescent="0.25">
      <c r="A5998" s="362"/>
      <c r="B5998" s="611">
        <v>44485</v>
      </c>
      <c r="C5998" s="362" t="s">
        <v>80</v>
      </c>
      <c r="D5998" s="562">
        <v>203114527</v>
      </c>
      <c r="E5998" s="562">
        <v>73425173</v>
      </c>
      <c r="F5998" s="562"/>
      <c r="G5998" s="562">
        <f t="shared" si="327"/>
        <v>276539700</v>
      </c>
      <c r="H5998" s="362"/>
      <c r="I5998" s="362"/>
      <c r="J5998" s="362"/>
    </row>
    <row r="5999" spans="1:10" x14ac:dyDescent="0.25">
      <c r="A5999" s="362"/>
      <c r="B5999" s="611">
        <v>44485</v>
      </c>
      <c r="C5999" s="362" t="s">
        <v>83</v>
      </c>
      <c r="D5999" s="562">
        <v>136375472</v>
      </c>
      <c r="E5999" s="562">
        <v>16954028</v>
      </c>
      <c r="F5999" s="562"/>
      <c r="G5999" s="562">
        <f t="shared" si="327"/>
        <v>153329500</v>
      </c>
      <c r="H5999" s="362"/>
      <c r="I5999" s="362"/>
      <c r="J5999" s="362"/>
    </row>
    <row r="6000" spans="1:10" x14ac:dyDescent="0.25">
      <c r="A6000" s="362"/>
      <c r="B6000" s="611">
        <v>44485</v>
      </c>
      <c r="C6000" s="362" t="s">
        <v>78</v>
      </c>
      <c r="D6000" s="562">
        <v>169777152</v>
      </c>
      <c r="E6000" s="562">
        <v>23110848</v>
      </c>
      <c r="F6000" s="562"/>
      <c r="G6000" s="562">
        <f t="shared" si="327"/>
        <v>192888000</v>
      </c>
      <c r="H6000" s="362"/>
      <c r="I6000" s="362"/>
      <c r="J6000" s="362"/>
    </row>
    <row r="6001" spans="1:10" x14ac:dyDescent="0.25">
      <c r="A6001" s="362"/>
      <c r="B6001" s="611">
        <v>44485</v>
      </c>
      <c r="C6001" s="362" t="s">
        <v>141</v>
      </c>
      <c r="D6001" s="562">
        <v>37760607</v>
      </c>
      <c r="E6001" s="562">
        <v>2140326</v>
      </c>
      <c r="F6001" s="562"/>
      <c r="G6001" s="562">
        <f t="shared" si="327"/>
        <v>39900933</v>
      </c>
      <c r="H6001" s="362"/>
      <c r="I6001" s="362"/>
      <c r="J6001" s="362"/>
    </row>
    <row r="6002" spans="1:10" x14ac:dyDescent="0.25">
      <c r="A6002" s="362"/>
      <c r="B6002" s="611">
        <v>44485</v>
      </c>
      <c r="C6002" s="362" t="s">
        <v>89</v>
      </c>
      <c r="D6002" s="562">
        <v>74640782</v>
      </c>
      <c r="E6002" s="562">
        <v>31494618</v>
      </c>
      <c r="F6002" s="562"/>
      <c r="G6002" s="562">
        <f t="shared" si="327"/>
        <v>106135400</v>
      </c>
      <c r="H6002" s="362"/>
      <c r="I6002" s="362"/>
      <c r="J6002" s="362"/>
    </row>
    <row r="6003" spans="1:10" x14ac:dyDescent="0.25">
      <c r="A6003" s="362"/>
      <c r="B6003" s="611">
        <v>44485</v>
      </c>
      <c r="C6003" s="362" t="s">
        <v>81</v>
      </c>
      <c r="D6003" s="562">
        <v>159788838</v>
      </c>
      <c r="E6003" s="562">
        <v>38300321</v>
      </c>
      <c r="F6003" s="562"/>
      <c r="G6003" s="562">
        <f t="shared" si="327"/>
        <v>198089159</v>
      </c>
      <c r="H6003" s="362"/>
      <c r="I6003" s="362"/>
      <c r="J6003" s="362"/>
    </row>
    <row r="6004" spans="1:10" x14ac:dyDescent="0.25">
      <c r="A6004" s="362"/>
      <c r="B6004" s="611">
        <v>44485</v>
      </c>
      <c r="C6004" s="362" t="s">
        <v>84</v>
      </c>
      <c r="D6004" s="562">
        <v>235870355</v>
      </c>
      <c r="E6004" s="562">
        <v>16195134</v>
      </c>
      <c r="F6004" s="562"/>
      <c r="G6004" s="562">
        <f t="shared" si="327"/>
        <v>252065489</v>
      </c>
      <c r="H6004" s="362"/>
      <c r="I6004" s="362"/>
      <c r="J6004" s="362"/>
    </row>
    <row r="6005" spans="1:10" x14ac:dyDescent="0.25">
      <c r="A6005" s="362"/>
      <c r="B6005" s="611">
        <v>44485</v>
      </c>
      <c r="C6005" s="362" t="s">
        <v>4751</v>
      </c>
      <c r="D6005" s="562">
        <v>242122856</v>
      </c>
      <c r="E6005" s="562">
        <v>6275044</v>
      </c>
      <c r="F6005" s="562"/>
      <c r="G6005" s="562">
        <f t="shared" si="327"/>
        <v>248397900</v>
      </c>
      <c r="H6005" s="362"/>
      <c r="I6005" s="362"/>
      <c r="J6005" s="362"/>
    </row>
    <row r="6006" spans="1:10" x14ac:dyDescent="0.25">
      <c r="A6006" s="362"/>
      <c r="B6006" s="611">
        <v>44485</v>
      </c>
      <c r="C6006" s="362" t="s">
        <v>166</v>
      </c>
      <c r="D6006" s="562"/>
      <c r="E6006" s="562"/>
      <c r="F6006" s="562"/>
      <c r="G6006" s="562">
        <f t="shared" si="327"/>
        <v>0</v>
      </c>
      <c r="H6006" s="362"/>
      <c r="I6006" s="362"/>
      <c r="J6006" s="362"/>
    </row>
    <row r="6007" spans="1:10" x14ac:dyDescent="0.25">
      <c r="A6007" s="362"/>
      <c r="B6007" s="611">
        <v>44485</v>
      </c>
      <c r="C6007" s="362" t="s">
        <v>3435</v>
      </c>
      <c r="D6007" s="562"/>
      <c r="E6007" s="562"/>
      <c r="F6007" s="562"/>
      <c r="G6007" s="562">
        <f t="shared" si="327"/>
        <v>0</v>
      </c>
      <c r="H6007" s="362"/>
      <c r="I6007" s="362"/>
      <c r="J6007" s="362"/>
    </row>
    <row r="6008" spans="1:10" x14ac:dyDescent="0.25">
      <c r="A6008" s="362"/>
      <c r="B6008" s="611">
        <v>44485</v>
      </c>
      <c r="C6008" s="370" t="s">
        <v>85</v>
      </c>
      <c r="D6008" s="562">
        <v>31284800</v>
      </c>
      <c r="E6008" s="562"/>
      <c r="F6008" s="562"/>
      <c r="G6008" s="562">
        <f t="shared" si="327"/>
        <v>31284800</v>
      </c>
      <c r="H6008" s="362"/>
      <c r="I6008" s="362"/>
      <c r="J6008" s="362"/>
    </row>
    <row r="6009" spans="1:10" x14ac:dyDescent="0.25">
      <c r="A6009" s="532"/>
      <c r="B6009" s="532"/>
      <c r="C6009" s="532"/>
      <c r="D6009" s="564">
        <f>SUM(D5994:D6008)</f>
        <v>1527005041</v>
      </c>
      <c r="E6009" s="564">
        <f t="shared" ref="E6009:G6009" si="330">SUM(E5994:E6008)</f>
        <v>743229505</v>
      </c>
      <c r="F6009" s="564">
        <f t="shared" si="330"/>
        <v>0</v>
      </c>
      <c r="G6009" s="564">
        <f t="shared" si="330"/>
        <v>2270234546</v>
      </c>
      <c r="H6009" s="532"/>
      <c r="I6009" s="532"/>
      <c r="J6009" s="532"/>
    </row>
    <row r="6010" spans="1:10" x14ac:dyDescent="0.25">
      <c r="A6010" s="362"/>
      <c r="B6010" s="611">
        <v>44487</v>
      </c>
      <c r="C6010" s="362" t="s">
        <v>86</v>
      </c>
      <c r="D6010" s="562">
        <v>28374213</v>
      </c>
      <c r="E6010" s="562">
        <v>8908100</v>
      </c>
      <c r="F6010" s="562"/>
      <c r="G6010" s="562">
        <f t="shared" si="327"/>
        <v>37282313</v>
      </c>
      <c r="H6010" s="362"/>
      <c r="I6010" s="362"/>
      <c r="J6010" s="362"/>
    </row>
    <row r="6011" spans="1:10" x14ac:dyDescent="0.25">
      <c r="A6011" s="362"/>
      <c r="B6011" s="611">
        <v>44487</v>
      </c>
      <c r="C6011" s="362" t="s">
        <v>87</v>
      </c>
      <c r="D6011" s="562">
        <v>116957460</v>
      </c>
      <c r="E6011" s="562">
        <v>104280831</v>
      </c>
      <c r="F6011" s="562"/>
      <c r="G6011" s="562">
        <f t="shared" si="327"/>
        <v>221238291</v>
      </c>
      <c r="H6011" s="362"/>
      <c r="I6011" s="362"/>
      <c r="J6011" s="362"/>
    </row>
    <row r="6012" spans="1:10" x14ac:dyDescent="0.25">
      <c r="A6012" s="362"/>
      <c r="B6012" s="611">
        <v>44487</v>
      </c>
      <c r="C6012" s="362" t="s">
        <v>88</v>
      </c>
      <c r="D6012" s="562">
        <v>153908681</v>
      </c>
      <c r="E6012" s="562">
        <v>69223945</v>
      </c>
      <c r="F6012" s="562"/>
      <c r="G6012" s="562">
        <f t="shared" si="327"/>
        <v>223132626</v>
      </c>
      <c r="H6012" s="362"/>
      <c r="I6012" s="362"/>
      <c r="J6012" s="362"/>
    </row>
    <row r="6013" spans="1:10" x14ac:dyDescent="0.25">
      <c r="A6013" s="362"/>
      <c r="B6013" s="611">
        <v>44487</v>
      </c>
      <c r="C6013" s="362" t="s">
        <v>82</v>
      </c>
      <c r="D6013" s="562">
        <v>36080707</v>
      </c>
      <c r="E6013" s="562">
        <v>2027795</v>
      </c>
      <c r="F6013" s="562"/>
      <c r="G6013" s="562">
        <f t="shared" si="327"/>
        <v>38108502</v>
      </c>
      <c r="H6013" s="362"/>
      <c r="I6013" s="362"/>
      <c r="J6013" s="362"/>
    </row>
    <row r="6014" spans="1:10" x14ac:dyDescent="0.25">
      <c r="A6014" s="362"/>
      <c r="B6014" s="611">
        <v>44487</v>
      </c>
      <c r="C6014" s="362" t="s">
        <v>80</v>
      </c>
      <c r="D6014" s="562">
        <v>205441649</v>
      </c>
      <c r="E6014" s="562"/>
      <c r="F6014" s="562"/>
      <c r="G6014" s="562">
        <f t="shared" si="327"/>
        <v>205441649</v>
      </c>
      <c r="H6014" s="362"/>
      <c r="I6014" s="362"/>
      <c r="J6014" s="362"/>
    </row>
    <row r="6015" spans="1:10" x14ac:dyDescent="0.25">
      <c r="A6015" s="362"/>
      <c r="B6015" s="611">
        <v>44487</v>
      </c>
      <c r="C6015" s="362" t="s">
        <v>83</v>
      </c>
      <c r="D6015" s="562">
        <v>224806502</v>
      </c>
      <c r="E6015" s="562">
        <v>38839458</v>
      </c>
      <c r="F6015" s="562"/>
      <c r="G6015" s="562">
        <f t="shared" si="327"/>
        <v>263645960</v>
      </c>
      <c r="H6015" s="362"/>
      <c r="I6015" s="362"/>
      <c r="J6015" s="362"/>
    </row>
    <row r="6016" spans="1:10" x14ac:dyDescent="0.25">
      <c r="A6016" s="362"/>
      <c r="B6016" s="611">
        <v>44487</v>
      </c>
      <c r="C6016" s="362" t="s">
        <v>78</v>
      </c>
      <c r="D6016" s="562">
        <v>186463862</v>
      </c>
      <c r="E6016" s="562">
        <v>2928738</v>
      </c>
      <c r="F6016" s="562"/>
      <c r="G6016" s="562">
        <f t="shared" si="327"/>
        <v>189392600</v>
      </c>
      <c r="H6016" s="362"/>
      <c r="I6016" s="362"/>
      <c r="J6016" s="362"/>
    </row>
    <row r="6017" spans="1:10" x14ac:dyDescent="0.25">
      <c r="A6017" s="362"/>
      <c r="B6017" s="611">
        <v>44487</v>
      </c>
      <c r="C6017" s="362" t="s">
        <v>141</v>
      </c>
      <c r="D6017" s="562">
        <v>54148259</v>
      </c>
      <c r="E6017" s="562">
        <v>3871930</v>
      </c>
      <c r="F6017" s="562"/>
      <c r="G6017" s="562">
        <f t="shared" si="327"/>
        <v>58020189</v>
      </c>
      <c r="H6017" s="362"/>
      <c r="I6017" s="362"/>
      <c r="J6017" s="362"/>
    </row>
    <row r="6018" spans="1:10" x14ac:dyDescent="0.25">
      <c r="A6018" s="362"/>
      <c r="B6018" s="611">
        <v>44487</v>
      </c>
      <c r="C6018" s="362" t="s">
        <v>89</v>
      </c>
      <c r="D6018" s="562">
        <v>155374132</v>
      </c>
      <c r="E6018" s="562">
        <v>18090768</v>
      </c>
      <c r="F6018" s="562"/>
      <c r="G6018" s="562">
        <f t="shared" si="327"/>
        <v>173464900</v>
      </c>
      <c r="H6018" s="362"/>
      <c r="I6018" s="362"/>
      <c r="J6018" s="362"/>
    </row>
    <row r="6019" spans="1:10" x14ac:dyDescent="0.25">
      <c r="A6019" s="362"/>
      <c r="B6019" s="611">
        <v>44487</v>
      </c>
      <c r="C6019" s="362" t="s">
        <v>81</v>
      </c>
      <c r="D6019" s="562">
        <v>152713853</v>
      </c>
      <c r="E6019" s="562">
        <v>12004143</v>
      </c>
      <c r="F6019" s="562"/>
      <c r="G6019" s="562">
        <f t="shared" si="327"/>
        <v>164717996</v>
      </c>
      <c r="H6019" s="362"/>
      <c r="I6019" s="362"/>
      <c r="J6019" s="362"/>
    </row>
    <row r="6020" spans="1:10" x14ac:dyDescent="0.25">
      <c r="A6020" s="362"/>
      <c r="B6020" s="611">
        <v>44487</v>
      </c>
      <c r="C6020" s="362" t="s">
        <v>84</v>
      </c>
      <c r="D6020" s="562">
        <v>228451827</v>
      </c>
      <c r="E6020" s="562">
        <v>11468934</v>
      </c>
      <c r="F6020" s="562"/>
      <c r="G6020" s="562">
        <f t="shared" si="327"/>
        <v>239920761</v>
      </c>
      <c r="H6020" s="362"/>
      <c r="I6020" s="362"/>
      <c r="J6020" s="362"/>
    </row>
    <row r="6021" spans="1:10" x14ac:dyDescent="0.25">
      <c r="A6021" s="362"/>
      <c r="B6021" s="611">
        <v>44487</v>
      </c>
      <c r="C6021" s="362" t="s">
        <v>4751</v>
      </c>
      <c r="D6021" s="562">
        <v>173282120</v>
      </c>
      <c r="E6021" s="562">
        <v>14313180</v>
      </c>
      <c r="F6021" s="562"/>
      <c r="G6021" s="562">
        <f t="shared" si="327"/>
        <v>187595300</v>
      </c>
      <c r="H6021" s="362"/>
      <c r="I6021" s="362"/>
      <c r="J6021" s="362"/>
    </row>
    <row r="6022" spans="1:10" x14ac:dyDescent="0.25">
      <c r="A6022" s="362"/>
      <c r="B6022" s="611">
        <v>44487</v>
      </c>
      <c r="C6022" s="362" t="s">
        <v>166</v>
      </c>
      <c r="D6022" s="562">
        <v>73983907</v>
      </c>
      <c r="E6022" s="562"/>
      <c r="F6022" s="562"/>
      <c r="G6022" s="562">
        <f t="shared" si="327"/>
        <v>73983907</v>
      </c>
      <c r="H6022" s="362"/>
      <c r="I6022" s="362"/>
      <c r="J6022" s="362"/>
    </row>
    <row r="6023" spans="1:10" x14ac:dyDescent="0.25">
      <c r="A6023" s="362"/>
      <c r="B6023" s="611">
        <v>44487</v>
      </c>
      <c r="C6023" s="362" t="s">
        <v>3435</v>
      </c>
      <c r="D6023" s="562">
        <v>81837396</v>
      </c>
      <c r="E6023" s="562"/>
      <c r="F6023" s="562"/>
      <c r="G6023" s="562">
        <f t="shared" si="327"/>
        <v>81837396</v>
      </c>
      <c r="H6023" s="362"/>
      <c r="I6023" s="362"/>
      <c r="J6023" s="362"/>
    </row>
    <row r="6024" spans="1:10" x14ac:dyDescent="0.25">
      <c r="A6024" s="362"/>
      <c r="B6024" s="611">
        <v>44487</v>
      </c>
      <c r="C6024" s="370" t="s">
        <v>85</v>
      </c>
      <c r="D6024" s="562">
        <v>60507700</v>
      </c>
      <c r="E6024" s="562"/>
      <c r="F6024" s="562"/>
      <c r="G6024" s="562">
        <f t="shared" si="327"/>
        <v>60507700</v>
      </c>
      <c r="H6024" s="362"/>
      <c r="I6024" s="362"/>
      <c r="J6024" s="362"/>
    </row>
    <row r="6025" spans="1:10" x14ac:dyDescent="0.25">
      <c r="A6025" s="532"/>
      <c r="B6025" s="532"/>
      <c r="C6025" s="532"/>
      <c r="D6025" s="564">
        <f>SUM(D6010:D6024)</f>
        <v>1932332268</v>
      </c>
      <c r="E6025" s="564">
        <f t="shared" ref="E6025:G6025" si="331">SUM(E6010:E6024)</f>
        <v>285957822</v>
      </c>
      <c r="F6025" s="564">
        <f t="shared" si="331"/>
        <v>0</v>
      </c>
      <c r="G6025" s="564">
        <f t="shared" si="331"/>
        <v>2218290090</v>
      </c>
      <c r="H6025" s="532"/>
      <c r="I6025" s="532"/>
      <c r="J6025" s="532"/>
    </row>
    <row r="6026" spans="1:10" x14ac:dyDescent="0.25">
      <c r="A6026" s="362"/>
      <c r="B6026" s="611">
        <v>44488</v>
      </c>
      <c r="C6026" s="362" t="s">
        <v>86</v>
      </c>
      <c r="D6026" s="562">
        <v>88915583</v>
      </c>
      <c r="E6026" s="562">
        <v>6548210</v>
      </c>
      <c r="F6026" s="562">
        <v>95464000</v>
      </c>
      <c r="G6026" s="562">
        <f t="shared" si="327"/>
        <v>-207</v>
      </c>
      <c r="H6026" s="362"/>
      <c r="I6026" s="362"/>
      <c r="J6026" s="362"/>
    </row>
    <row r="6027" spans="1:10" x14ac:dyDescent="0.25">
      <c r="A6027" s="362"/>
      <c r="B6027" s="611">
        <v>44488</v>
      </c>
      <c r="C6027" s="362" t="s">
        <v>87</v>
      </c>
      <c r="D6027" s="562">
        <v>101712788</v>
      </c>
      <c r="E6027" s="562">
        <v>45358808</v>
      </c>
      <c r="F6027" s="562">
        <v>147071600</v>
      </c>
      <c r="G6027" s="562">
        <f t="shared" si="327"/>
        <v>-4</v>
      </c>
      <c r="H6027" s="362"/>
      <c r="I6027" s="362"/>
      <c r="J6027" s="362"/>
    </row>
    <row r="6028" spans="1:10" x14ac:dyDescent="0.25">
      <c r="A6028" s="362"/>
      <c r="B6028" s="611">
        <v>44488</v>
      </c>
      <c r="C6028" s="362" t="s">
        <v>88</v>
      </c>
      <c r="D6028" s="562">
        <v>146765345</v>
      </c>
      <c r="E6028" s="562">
        <v>32577920</v>
      </c>
      <c r="F6028" s="562">
        <v>179343300</v>
      </c>
      <c r="G6028" s="562">
        <f t="shared" ref="G6028:G6091" si="332">D6028+E6028-F6028</f>
        <v>-35</v>
      </c>
      <c r="H6028" s="362"/>
      <c r="I6028" s="362"/>
      <c r="J6028" s="362"/>
    </row>
    <row r="6029" spans="1:10" x14ac:dyDescent="0.25">
      <c r="A6029" s="362"/>
      <c r="B6029" s="611">
        <v>44488</v>
      </c>
      <c r="C6029" s="362" t="s">
        <v>82</v>
      </c>
      <c r="D6029" s="562">
        <v>58109551</v>
      </c>
      <c r="E6029" s="562">
        <v>8284536</v>
      </c>
      <c r="F6029" s="562">
        <v>66394100</v>
      </c>
      <c r="G6029" s="562">
        <f t="shared" si="332"/>
        <v>-13</v>
      </c>
      <c r="H6029" s="362"/>
      <c r="I6029" s="362"/>
      <c r="J6029" s="362"/>
    </row>
    <row r="6030" spans="1:10" x14ac:dyDescent="0.25">
      <c r="A6030" s="362"/>
      <c r="B6030" s="611">
        <v>44488</v>
      </c>
      <c r="C6030" s="362" t="s">
        <v>80</v>
      </c>
      <c r="D6030" s="562">
        <v>221314651</v>
      </c>
      <c r="E6030" s="562"/>
      <c r="F6030" s="562">
        <v>221315000</v>
      </c>
      <c r="G6030" s="562">
        <f t="shared" si="332"/>
        <v>-349</v>
      </c>
      <c r="H6030" s="362"/>
      <c r="I6030" s="362"/>
      <c r="J6030" s="362"/>
    </row>
    <row r="6031" spans="1:10" x14ac:dyDescent="0.25">
      <c r="A6031" s="362"/>
      <c r="B6031" s="611">
        <v>44488</v>
      </c>
      <c r="C6031" s="362" t="s">
        <v>83</v>
      </c>
      <c r="D6031" s="562">
        <v>226230077</v>
      </c>
      <c r="E6031" s="562">
        <v>8877990</v>
      </c>
      <c r="F6031" s="562">
        <v>235108100</v>
      </c>
      <c r="G6031" s="562">
        <f t="shared" si="332"/>
        <v>-33</v>
      </c>
      <c r="H6031" s="362"/>
      <c r="I6031" s="362"/>
      <c r="J6031" s="362"/>
    </row>
    <row r="6032" spans="1:10" x14ac:dyDescent="0.25">
      <c r="A6032" s="362"/>
      <c r="B6032" s="611">
        <v>44488</v>
      </c>
      <c r="C6032" s="362" t="s">
        <v>78</v>
      </c>
      <c r="D6032" s="562">
        <v>134562935</v>
      </c>
      <c r="E6032" s="562">
        <v>3994365</v>
      </c>
      <c r="F6032" s="562">
        <v>138557300</v>
      </c>
      <c r="G6032" s="562">
        <f t="shared" si="332"/>
        <v>0</v>
      </c>
      <c r="H6032" s="362"/>
      <c r="I6032" s="362"/>
      <c r="J6032" s="362"/>
    </row>
    <row r="6033" spans="1:10" x14ac:dyDescent="0.25">
      <c r="A6033" s="362"/>
      <c r="B6033" s="611">
        <v>44488</v>
      </c>
      <c r="C6033" s="362" t="s">
        <v>141</v>
      </c>
      <c r="D6033" s="562">
        <v>106982018</v>
      </c>
      <c r="E6033" s="562"/>
      <c r="F6033" s="562">
        <v>107018800</v>
      </c>
      <c r="G6033" s="562">
        <f t="shared" si="332"/>
        <v>-36782</v>
      </c>
      <c r="H6033" s="362"/>
      <c r="I6033" s="362"/>
      <c r="J6033" s="362"/>
    </row>
    <row r="6034" spans="1:10" x14ac:dyDescent="0.25">
      <c r="A6034" s="362"/>
      <c r="B6034" s="611">
        <v>44488</v>
      </c>
      <c r="C6034" s="362" t="s">
        <v>89</v>
      </c>
      <c r="D6034" s="562">
        <v>150694670</v>
      </c>
      <c r="E6034" s="562">
        <v>22684630</v>
      </c>
      <c r="F6034" s="562">
        <v>173379300</v>
      </c>
      <c r="G6034" s="562">
        <f t="shared" si="332"/>
        <v>0</v>
      </c>
      <c r="H6034" s="362"/>
      <c r="I6034" s="362"/>
      <c r="J6034" s="362"/>
    </row>
    <row r="6035" spans="1:10" x14ac:dyDescent="0.25">
      <c r="A6035" s="362"/>
      <c r="B6035" s="611">
        <v>44488</v>
      </c>
      <c r="C6035" s="362" t="s">
        <v>81</v>
      </c>
      <c r="D6035" s="562">
        <v>114035914</v>
      </c>
      <c r="E6035" s="562">
        <v>4569330</v>
      </c>
      <c r="F6035" s="562">
        <v>118605300</v>
      </c>
      <c r="G6035" s="562">
        <f t="shared" si="332"/>
        <v>-56</v>
      </c>
      <c r="H6035" s="362"/>
      <c r="I6035" s="362"/>
      <c r="J6035" s="362"/>
    </row>
    <row r="6036" spans="1:10" x14ac:dyDescent="0.25">
      <c r="A6036" s="362"/>
      <c r="B6036" s="611">
        <v>44488</v>
      </c>
      <c r="C6036" s="362" t="s">
        <v>84</v>
      </c>
      <c r="D6036" s="562">
        <v>201928080</v>
      </c>
      <c r="E6036" s="562">
        <v>16688417</v>
      </c>
      <c r="F6036" s="562">
        <v>218656600</v>
      </c>
      <c r="G6036" s="562">
        <f t="shared" si="332"/>
        <v>-40103</v>
      </c>
      <c r="H6036" s="362"/>
      <c r="I6036" s="362"/>
      <c r="J6036" s="362"/>
    </row>
    <row r="6037" spans="1:10" x14ac:dyDescent="0.25">
      <c r="A6037" s="362"/>
      <c r="B6037" s="611">
        <v>44488</v>
      </c>
      <c r="C6037" s="362" t="s">
        <v>4751</v>
      </c>
      <c r="D6037" s="562">
        <v>213001913</v>
      </c>
      <c r="E6037" s="562">
        <v>12428087</v>
      </c>
      <c r="F6037" s="562">
        <v>225430000</v>
      </c>
      <c r="G6037" s="562">
        <f t="shared" si="332"/>
        <v>0</v>
      </c>
      <c r="H6037" s="362"/>
      <c r="I6037" s="362"/>
      <c r="J6037" s="362"/>
    </row>
    <row r="6038" spans="1:10" x14ac:dyDescent="0.25">
      <c r="A6038" s="362"/>
      <c r="B6038" s="611">
        <v>44488</v>
      </c>
      <c r="C6038" s="362" t="s">
        <v>166</v>
      </c>
      <c r="D6038" s="562">
        <v>65496790</v>
      </c>
      <c r="E6038" s="562"/>
      <c r="F6038" s="562">
        <v>65496800</v>
      </c>
      <c r="G6038" s="562">
        <f t="shared" si="332"/>
        <v>-10</v>
      </c>
      <c r="H6038" s="362"/>
      <c r="I6038" s="362"/>
      <c r="J6038" s="362"/>
    </row>
    <row r="6039" spans="1:10" x14ac:dyDescent="0.25">
      <c r="A6039" s="362"/>
      <c r="B6039" s="611">
        <v>44488</v>
      </c>
      <c r="C6039" s="362" t="s">
        <v>3435</v>
      </c>
      <c r="D6039" s="562">
        <v>50717267</v>
      </c>
      <c r="E6039" s="562"/>
      <c r="F6039" s="562">
        <v>50717300</v>
      </c>
      <c r="G6039" s="562">
        <f t="shared" si="332"/>
        <v>-33</v>
      </c>
      <c r="H6039" s="362"/>
      <c r="I6039" s="362"/>
      <c r="J6039" s="362"/>
    </row>
    <row r="6040" spans="1:10" x14ac:dyDescent="0.25">
      <c r="A6040" s="362"/>
      <c r="B6040" s="611">
        <v>44488</v>
      </c>
      <c r="C6040" s="370" t="s">
        <v>85</v>
      </c>
      <c r="D6040" s="562">
        <v>39880500</v>
      </c>
      <c r="E6040" s="562"/>
      <c r="F6040" s="562">
        <v>39880500</v>
      </c>
      <c r="G6040" s="562">
        <f t="shared" si="332"/>
        <v>0</v>
      </c>
      <c r="H6040" s="362"/>
      <c r="I6040" s="362"/>
      <c r="J6040" s="362"/>
    </row>
    <row r="6041" spans="1:10" x14ac:dyDescent="0.25">
      <c r="A6041" s="532"/>
      <c r="B6041" s="532"/>
      <c r="C6041" s="532"/>
      <c r="D6041" s="564">
        <f>SUM(D6026:D6040)</f>
        <v>1920348082</v>
      </c>
      <c r="E6041" s="564">
        <f t="shared" ref="E6041:G6041" si="333">SUM(E6026:E6040)</f>
        <v>162012293</v>
      </c>
      <c r="F6041" s="564">
        <f t="shared" si="333"/>
        <v>2082438000</v>
      </c>
      <c r="G6041" s="564">
        <f t="shared" si="333"/>
        <v>-77625</v>
      </c>
      <c r="H6041" s="532"/>
      <c r="I6041" s="532"/>
      <c r="J6041" s="532"/>
    </row>
    <row r="6042" spans="1:10" x14ac:dyDescent="0.25">
      <c r="A6042" s="362"/>
      <c r="B6042" s="611">
        <v>44489</v>
      </c>
      <c r="C6042" s="362" t="s">
        <v>86</v>
      </c>
      <c r="D6042" s="562">
        <v>108569451</v>
      </c>
      <c r="E6042" s="562">
        <v>8724700</v>
      </c>
      <c r="F6042" s="562">
        <v>117294300</v>
      </c>
      <c r="G6042" s="562">
        <f t="shared" si="332"/>
        <v>-149</v>
      </c>
      <c r="H6042" s="362"/>
      <c r="I6042" s="362"/>
      <c r="J6042" s="362"/>
    </row>
    <row r="6043" spans="1:10" x14ac:dyDescent="0.25">
      <c r="A6043" s="362"/>
      <c r="B6043" s="611">
        <v>44489</v>
      </c>
      <c r="C6043" s="362" t="s">
        <v>87</v>
      </c>
      <c r="D6043" s="562">
        <v>45594667</v>
      </c>
      <c r="E6043" s="562">
        <v>42448908</v>
      </c>
      <c r="F6043" s="562">
        <v>88043700</v>
      </c>
      <c r="G6043" s="562">
        <f t="shared" si="332"/>
        <v>-125</v>
      </c>
      <c r="H6043" s="362"/>
      <c r="I6043" s="362"/>
      <c r="J6043" s="362"/>
    </row>
    <row r="6044" spans="1:10" x14ac:dyDescent="0.25">
      <c r="A6044" s="362"/>
      <c r="B6044" s="611">
        <v>44489</v>
      </c>
      <c r="C6044" s="362" t="s">
        <v>88</v>
      </c>
      <c r="D6044" s="562">
        <v>120136039</v>
      </c>
      <c r="E6044" s="562">
        <v>3578899</v>
      </c>
      <c r="F6044" s="562">
        <v>123765000</v>
      </c>
      <c r="G6044" s="562">
        <f t="shared" si="332"/>
        <v>-50062</v>
      </c>
      <c r="H6044" s="362"/>
      <c r="I6044" s="362"/>
      <c r="J6044" s="362"/>
    </row>
    <row r="6045" spans="1:10" x14ac:dyDescent="0.25">
      <c r="A6045" s="362"/>
      <c r="B6045" s="611">
        <v>44489</v>
      </c>
      <c r="C6045" s="362" t="s">
        <v>82</v>
      </c>
      <c r="D6045" s="562">
        <v>72247590</v>
      </c>
      <c r="E6045" s="562">
        <v>1974464</v>
      </c>
      <c r="F6045" s="562">
        <v>74222100</v>
      </c>
      <c r="G6045" s="562">
        <f t="shared" si="332"/>
        <v>-46</v>
      </c>
      <c r="H6045" s="362"/>
      <c r="I6045" s="362"/>
      <c r="J6045" s="362"/>
    </row>
    <row r="6046" spans="1:10" x14ac:dyDescent="0.25">
      <c r="A6046" s="362"/>
      <c r="B6046" s="611">
        <v>44489</v>
      </c>
      <c r="C6046" s="362" t="s">
        <v>80</v>
      </c>
      <c r="D6046" s="562">
        <v>256191100</v>
      </c>
      <c r="E6046" s="562"/>
      <c r="F6046" s="562">
        <v>256191100</v>
      </c>
      <c r="G6046" s="562">
        <f t="shared" si="332"/>
        <v>0</v>
      </c>
      <c r="H6046" s="362"/>
      <c r="I6046" s="362"/>
      <c r="J6046" s="362"/>
    </row>
    <row r="6047" spans="1:10" x14ac:dyDescent="0.25">
      <c r="A6047" s="362"/>
      <c r="B6047" s="611">
        <v>44489</v>
      </c>
      <c r="C6047" s="362" t="s">
        <v>83</v>
      </c>
      <c r="D6047" s="562">
        <v>125150729</v>
      </c>
      <c r="E6047" s="562">
        <v>106321811</v>
      </c>
      <c r="F6047" s="562">
        <v>231472500</v>
      </c>
      <c r="G6047" s="562">
        <f t="shared" si="332"/>
        <v>40</v>
      </c>
      <c r="H6047" s="362"/>
      <c r="I6047" s="362"/>
      <c r="J6047" s="362"/>
    </row>
    <row r="6048" spans="1:10" x14ac:dyDescent="0.25">
      <c r="A6048" s="362"/>
      <c r="B6048" s="611">
        <v>44489</v>
      </c>
      <c r="C6048" s="362" t="s">
        <v>78</v>
      </c>
      <c r="D6048" s="562">
        <v>102008963</v>
      </c>
      <c r="E6048" s="562">
        <v>5824437</v>
      </c>
      <c r="F6048" s="562">
        <v>107833400</v>
      </c>
      <c r="G6048" s="562">
        <f t="shared" si="332"/>
        <v>0</v>
      </c>
      <c r="H6048" s="362"/>
      <c r="I6048" s="362"/>
      <c r="J6048" s="362"/>
    </row>
    <row r="6049" spans="1:10" x14ac:dyDescent="0.25">
      <c r="A6049" s="362"/>
      <c r="B6049" s="611">
        <v>44489</v>
      </c>
      <c r="C6049" s="362" t="s">
        <v>141</v>
      </c>
      <c r="D6049" s="562">
        <v>96756143</v>
      </c>
      <c r="E6049" s="562"/>
      <c r="F6049" s="562">
        <v>96826200</v>
      </c>
      <c r="G6049" s="562">
        <f t="shared" si="332"/>
        <v>-70057</v>
      </c>
      <c r="H6049" s="362"/>
      <c r="I6049" s="362"/>
      <c r="J6049" s="362"/>
    </row>
    <row r="6050" spans="1:10" x14ac:dyDescent="0.25">
      <c r="A6050" s="362"/>
      <c r="B6050" s="611">
        <v>44489</v>
      </c>
      <c r="C6050" s="362" t="s">
        <v>89</v>
      </c>
      <c r="D6050" s="562">
        <v>107630817</v>
      </c>
      <c r="E6050" s="562">
        <v>6096783</v>
      </c>
      <c r="F6050" s="562">
        <v>113727600</v>
      </c>
      <c r="G6050" s="562">
        <f t="shared" si="332"/>
        <v>0</v>
      </c>
      <c r="H6050" s="362"/>
      <c r="I6050" s="362"/>
      <c r="J6050" s="362"/>
    </row>
    <row r="6051" spans="1:10" x14ac:dyDescent="0.25">
      <c r="A6051" s="362"/>
      <c r="B6051" s="611">
        <v>44489</v>
      </c>
      <c r="C6051" s="362" t="s">
        <v>81</v>
      </c>
      <c r="D6051" s="562">
        <v>148187912</v>
      </c>
      <c r="E6051" s="562">
        <v>68348915</v>
      </c>
      <c r="F6051" s="562">
        <v>216536900</v>
      </c>
      <c r="G6051" s="562">
        <f t="shared" si="332"/>
        <v>-73</v>
      </c>
      <c r="H6051" s="362"/>
      <c r="I6051" s="362"/>
      <c r="J6051" s="362"/>
    </row>
    <row r="6052" spans="1:10" x14ac:dyDescent="0.25">
      <c r="A6052" s="362"/>
      <c r="B6052" s="611">
        <v>44489</v>
      </c>
      <c r="C6052" s="362" t="s">
        <v>84</v>
      </c>
      <c r="D6052" s="562">
        <v>289396542</v>
      </c>
      <c r="E6052" s="562">
        <v>4957153</v>
      </c>
      <c r="F6052" s="562">
        <v>294353400</v>
      </c>
      <c r="G6052" s="562">
        <f t="shared" si="332"/>
        <v>295</v>
      </c>
      <c r="H6052" s="362"/>
      <c r="I6052" s="362"/>
      <c r="J6052" s="362"/>
    </row>
    <row r="6053" spans="1:10" x14ac:dyDescent="0.25">
      <c r="A6053" s="362"/>
      <c r="B6053" s="611">
        <v>44489</v>
      </c>
      <c r="C6053" s="362" t="s">
        <v>4751</v>
      </c>
      <c r="D6053" s="562">
        <v>159002691</v>
      </c>
      <c r="E6053" s="562">
        <v>10666209</v>
      </c>
      <c r="F6053" s="562">
        <v>169668900</v>
      </c>
      <c r="G6053" s="562">
        <f t="shared" si="332"/>
        <v>0</v>
      </c>
      <c r="H6053" s="362"/>
      <c r="I6053" s="362"/>
      <c r="J6053" s="362"/>
    </row>
    <row r="6054" spans="1:10" x14ac:dyDescent="0.25">
      <c r="A6054" s="362"/>
      <c r="B6054" s="611">
        <v>44489</v>
      </c>
      <c r="C6054" s="362" t="s">
        <v>166</v>
      </c>
      <c r="D6054" s="562">
        <v>87558084</v>
      </c>
      <c r="E6054" s="562"/>
      <c r="F6054" s="562">
        <v>87558100</v>
      </c>
      <c r="G6054" s="562">
        <f t="shared" si="332"/>
        <v>-16</v>
      </c>
      <c r="H6054" s="362"/>
      <c r="I6054" s="362"/>
      <c r="J6054" s="362"/>
    </row>
    <row r="6055" spans="1:10" x14ac:dyDescent="0.25">
      <c r="A6055" s="362"/>
      <c r="B6055" s="611">
        <v>44489</v>
      </c>
      <c r="C6055" s="362" t="s">
        <v>3435</v>
      </c>
      <c r="D6055" s="562">
        <v>74802778</v>
      </c>
      <c r="E6055" s="562"/>
      <c r="F6055" s="562">
        <v>74802800</v>
      </c>
      <c r="G6055" s="562">
        <f t="shared" si="332"/>
        <v>-22</v>
      </c>
      <c r="H6055" s="362"/>
      <c r="I6055" s="362"/>
      <c r="J6055" s="362"/>
    </row>
    <row r="6056" spans="1:10" x14ac:dyDescent="0.25">
      <c r="A6056" s="362"/>
      <c r="B6056" s="611">
        <v>44489</v>
      </c>
      <c r="C6056" s="370" t="s">
        <v>85</v>
      </c>
      <c r="D6056" s="562">
        <v>55447300</v>
      </c>
      <c r="E6056" s="562"/>
      <c r="F6056" s="562">
        <v>55447300</v>
      </c>
      <c r="G6056" s="562">
        <f t="shared" si="332"/>
        <v>0</v>
      </c>
      <c r="H6056" s="362"/>
      <c r="I6056" s="362"/>
      <c r="J6056" s="362"/>
    </row>
    <row r="6057" spans="1:10" x14ac:dyDescent="0.25">
      <c r="A6057" s="532"/>
      <c r="B6057" s="532"/>
      <c r="C6057" s="532"/>
      <c r="D6057" s="564">
        <f>SUM(D6042:D6056)</f>
        <v>1848680806</v>
      </c>
      <c r="E6057" s="564">
        <f t="shared" ref="E6057:G6057" si="334">SUM(E6042:E6056)</f>
        <v>258942279</v>
      </c>
      <c r="F6057" s="564">
        <f t="shared" si="334"/>
        <v>2107743300</v>
      </c>
      <c r="G6057" s="564">
        <f t="shared" si="334"/>
        <v>-120215</v>
      </c>
      <c r="H6057" s="532"/>
      <c r="I6057" s="532"/>
      <c r="J6057" s="532"/>
    </row>
    <row r="6058" spans="1:10" x14ac:dyDescent="0.25">
      <c r="A6058" s="362"/>
      <c r="B6058" s="611">
        <v>44490</v>
      </c>
      <c r="C6058" s="362" t="s">
        <v>86</v>
      </c>
      <c r="D6058" s="562">
        <v>113261062</v>
      </c>
      <c r="E6058" s="562">
        <v>28505400</v>
      </c>
      <c r="F6058" s="562"/>
      <c r="G6058" s="562">
        <f t="shared" si="332"/>
        <v>141766462</v>
      </c>
      <c r="H6058" s="362"/>
      <c r="I6058" s="362"/>
      <c r="J6058" s="362"/>
    </row>
    <row r="6059" spans="1:10" x14ac:dyDescent="0.25">
      <c r="A6059" s="362"/>
      <c r="B6059" s="611">
        <v>44490</v>
      </c>
      <c r="C6059" s="362" t="s">
        <v>87</v>
      </c>
      <c r="D6059" s="562">
        <v>67561591</v>
      </c>
      <c r="E6059" s="562">
        <v>163951608</v>
      </c>
      <c r="F6059" s="562"/>
      <c r="G6059" s="562">
        <f t="shared" si="332"/>
        <v>231513199</v>
      </c>
      <c r="H6059" s="362"/>
      <c r="I6059" s="362"/>
      <c r="J6059" s="362"/>
    </row>
    <row r="6060" spans="1:10" x14ac:dyDescent="0.25">
      <c r="A6060" s="362"/>
      <c r="B6060" s="611">
        <v>44490</v>
      </c>
      <c r="C6060" s="362" t="s">
        <v>88</v>
      </c>
      <c r="D6060" s="562">
        <v>219948054</v>
      </c>
      <c r="E6060" s="562">
        <v>5234436</v>
      </c>
      <c r="F6060" s="562"/>
      <c r="G6060" s="562">
        <f t="shared" si="332"/>
        <v>225182490</v>
      </c>
      <c r="H6060" s="362"/>
      <c r="I6060" s="362"/>
      <c r="J6060" s="362"/>
    </row>
    <row r="6061" spans="1:10" x14ac:dyDescent="0.25">
      <c r="A6061" s="362"/>
      <c r="B6061" s="611">
        <v>44490</v>
      </c>
      <c r="C6061" s="362" t="s">
        <v>82</v>
      </c>
      <c r="D6061" s="562">
        <v>224715974</v>
      </c>
      <c r="E6061" s="562">
        <v>2078175</v>
      </c>
      <c r="F6061" s="562"/>
      <c r="G6061" s="562">
        <f t="shared" si="332"/>
        <v>226794149</v>
      </c>
      <c r="H6061" s="362"/>
      <c r="I6061" s="362"/>
      <c r="J6061" s="362"/>
    </row>
    <row r="6062" spans="1:10" x14ac:dyDescent="0.25">
      <c r="A6062" s="362"/>
      <c r="B6062" s="611">
        <v>44490</v>
      </c>
      <c r="C6062" s="362" t="s">
        <v>80</v>
      </c>
      <c r="D6062" s="562">
        <v>270532600</v>
      </c>
      <c r="E6062" s="562"/>
      <c r="F6062" s="562"/>
      <c r="G6062" s="562">
        <f t="shared" si="332"/>
        <v>270532600</v>
      </c>
      <c r="H6062" s="362"/>
      <c r="I6062" s="362"/>
      <c r="J6062" s="362"/>
    </row>
    <row r="6063" spans="1:10" x14ac:dyDescent="0.25">
      <c r="A6063" s="362"/>
      <c r="B6063" s="611">
        <v>44490</v>
      </c>
      <c r="C6063" s="362" t="s">
        <v>83</v>
      </c>
      <c r="D6063" s="562">
        <v>156938690</v>
      </c>
      <c r="E6063" s="562">
        <v>11134419</v>
      </c>
      <c r="F6063" s="562"/>
      <c r="G6063" s="562">
        <f t="shared" si="332"/>
        <v>168073109</v>
      </c>
      <c r="H6063" s="362"/>
      <c r="I6063" s="362"/>
      <c r="J6063" s="362"/>
    </row>
    <row r="6064" spans="1:10" x14ac:dyDescent="0.25">
      <c r="A6064" s="362"/>
      <c r="B6064" s="611">
        <v>44490</v>
      </c>
      <c r="C6064" s="362" t="s">
        <v>78</v>
      </c>
      <c r="D6064" s="562">
        <v>140684953</v>
      </c>
      <c r="E6064" s="562">
        <v>2816347</v>
      </c>
      <c r="F6064" s="562"/>
      <c r="G6064" s="562">
        <f t="shared" si="332"/>
        <v>143501300</v>
      </c>
      <c r="H6064" s="362"/>
      <c r="I6064" s="362"/>
      <c r="J6064" s="362"/>
    </row>
    <row r="6065" spans="1:10" x14ac:dyDescent="0.25">
      <c r="A6065" s="362"/>
      <c r="B6065" s="611">
        <v>44490</v>
      </c>
      <c r="C6065" s="362" t="s">
        <v>141</v>
      </c>
      <c r="D6065" s="562">
        <v>95769034</v>
      </c>
      <c r="E6065" s="562">
        <v>203107</v>
      </c>
      <c r="F6065" s="562"/>
      <c r="G6065" s="562">
        <f t="shared" si="332"/>
        <v>95972141</v>
      </c>
      <c r="H6065" s="362"/>
      <c r="I6065" s="362"/>
      <c r="J6065" s="362"/>
    </row>
    <row r="6066" spans="1:10" x14ac:dyDescent="0.25">
      <c r="A6066" s="362"/>
      <c r="B6066" s="611">
        <v>44490</v>
      </c>
      <c r="C6066" s="362" t="s">
        <v>89</v>
      </c>
      <c r="D6066" s="562">
        <v>172688890</v>
      </c>
      <c r="E6066" s="562">
        <v>30561910</v>
      </c>
      <c r="F6066" s="562"/>
      <c r="G6066" s="562">
        <f t="shared" si="332"/>
        <v>203250800</v>
      </c>
      <c r="H6066" s="362"/>
      <c r="I6066" s="362"/>
      <c r="J6066" s="362"/>
    </row>
    <row r="6067" spans="1:10" x14ac:dyDescent="0.25">
      <c r="A6067" s="362"/>
      <c r="B6067" s="611">
        <v>44490</v>
      </c>
      <c r="C6067" s="362" t="s">
        <v>81</v>
      </c>
      <c r="D6067" s="562">
        <v>124317160</v>
      </c>
      <c r="E6067" s="562">
        <v>41141137</v>
      </c>
      <c r="F6067" s="562"/>
      <c r="G6067" s="562">
        <f t="shared" si="332"/>
        <v>165458297</v>
      </c>
      <c r="H6067" s="362"/>
      <c r="I6067" s="362"/>
      <c r="J6067" s="362"/>
    </row>
    <row r="6068" spans="1:10" x14ac:dyDescent="0.25">
      <c r="A6068" s="362"/>
      <c r="B6068" s="611">
        <v>44490</v>
      </c>
      <c r="C6068" s="362" t="s">
        <v>84</v>
      </c>
      <c r="D6068" s="562">
        <v>249215359</v>
      </c>
      <c r="E6068" s="562">
        <v>14317044</v>
      </c>
      <c r="F6068" s="562"/>
      <c r="G6068" s="562">
        <f t="shared" si="332"/>
        <v>263532403</v>
      </c>
      <c r="H6068" s="362"/>
      <c r="I6068" s="362"/>
      <c r="J6068" s="362"/>
    </row>
    <row r="6069" spans="1:10" x14ac:dyDescent="0.25">
      <c r="A6069" s="362"/>
      <c r="B6069" s="611">
        <v>44490</v>
      </c>
      <c r="C6069" s="362" t="s">
        <v>4751</v>
      </c>
      <c r="D6069" s="562">
        <v>312519745</v>
      </c>
      <c r="E6069" s="562">
        <v>8888355</v>
      </c>
      <c r="F6069" s="562"/>
      <c r="G6069" s="562">
        <f t="shared" si="332"/>
        <v>321408100</v>
      </c>
      <c r="H6069" s="362"/>
      <c r="I6069" s="362"/>
      <c r="J6069" s="362"/>
    </row>
    <row r="6070" spans="1:10" x14ac:dyDescent="0.25">
      <c r="A6070" s="362"/>
      <c r="B6070" s="611">
        <v>44490</v>
      </c>
      <c r="C6070" s="362" t="s">
        <v>166</v>
      </c>
      <c r="D6070" s="562">
        <v>88734461</v>
      </c>
      <c r="E6070" s="562"/>
      <c r="F6070" s="562"/>
      <c r="G6070" s="562">
        <f t="shared" si="332"/>
        <v>88734461</v>
      </c>
      <c r="H6070" s="362"/>
      <c r="I6070" s="362"/>
      <c r="J6070" s="362"/>
    </row>
    <row r="6071" spans="1:10" x14ac:dyDescent="0.25">
      <c r="A6071" s="362"/>
      <c r="B6071" s="611">
        <v>44490</v>
      </c>
      <c r="C6071" s="362" t="s">
        <v>3435</v>
      </c>
      <c r="D6071" s="562">
        <v>137351335</v>
      </c>
      <c r="E6071" s="562"/>
      <c r="F6071" s="562"/>
      <c r="G6071" s="562">
        <f t="shared" si="332"/>
        <v>137351335</v>
      </c>
      <c r="H6071" s="362"/>
      <c r="I6071" s="362"/>
      <c r="J6071" s="362"/>
    </row>
    <row r="6072" spans="1:10" x14ac:dyDescent="0.25">
      <c r="A6072" s="362"/>
      <c r="B6072" s="611">
        <v>44490</v>
      </c>
      <c r="C6072" s="370" t="s">
        <v>85</v>
      </c>
      <c r="D6072" s="562">
        <v>37989500</v>
      </c>
      <c r="E6072" s="562"/>
      <c r="F6072" s="562"/>
      <c r="G6072" s="562">
        <f t="shared" si="332"/>
        <v>37989500</v>
      </c>
      <c r="H6072" s="362"/>
      <c r="I6072" s="362"/>
      <c r="J6072" s="362"/>
    </row>
    <row r="6073" spans="1:10" x14ac:dyDescent="0.25">
      <c r="A6073" s="532"/>
      <c r="B6073" s="532"/>
      <c r="C6073" s="532"/>
      <c r="D6073" s="564">
        <f>SUM(D6058:D6072)</f>
        <v>2412228408</v>
      </c>
      <c r="E6073" s="564">
        <f t="shared" ref="E6073:G6073" si="335">SUM(E6058:E6072)</f>
        <v>308831938</v>
      </c>
      <c r="F6073" s="564">
        <f t="shared" si="335"/>
        <v>0</v>
      </c>
      <c r="G6073" s="564">
        <f t="shared" si="335"/>
        <v>2721060346</v>
      </c>
      <c r="H6073" s="532"/>
      <c r="I6073" s="532"/>
      <c r="J6073" s="532"/>
    </row>
    <row r="6074" spans="1:10" x14ac:dyDescent="0.25">
      <c r="A6074" s="362"/>
      <c r="B6074" s="611">
        <v>44491</v>
      </c>
      <c r="C6074" s="362" t="s">
        <v>86</v>
      </c>
      <c r="D6074" s="562">
        <v>67398006</v>
      </c>
      <c r="E6074" s="562">
        <v>41796994</v>
      </c>
      <c r="F6074" s="562">
        <v>109195100</v>
      </c>
      <c r="G6074" s="562">
        <f t="shared" si="332"/>
        <v>-100</v>
      </c>
      <c r="H6074" s="362"/>
      <c r="I6074" s="362"/>
      <c r="J6074" s="362"/>
    </row>
    <row r="6075" spans="1:10" x14ac:dyDescent="0.25">
      <c r="A6075" s="362"/>
      <c r="B6075" s="611">
        <v>44491</v>
      </c>
      <c r="C6075" s="362" t="s">
        <v>87</v>
      </c>
      <c r="D6075" s="562">
        <v>64243305</v>
      </c>
      <c r="E6075" s="562">
        <v>67760371</v>
      </c>
      <c r="F6075" s="562">
        <v>132003700</v>
      </c>
      <c r="G6075" s="562">
        <f t="shared" si="332"/>
        <v>-24</v>
      </c>
      <c r="H6075" s="362"/>
      <c r="I6075" s="362"/>
      <c r="J6075" s="362"/>
    </row>
    <row r="6076" spans="1:10" x14ac:dyDescent="0.25">
      <c r="A6076" s="362"/>
      <c r="B6076" s="611">
        <v>44491</v>
      </c>
      <c r="C6076" s="362" t="s">
        <v>88</v>
      </c>
      <c r="D6076" s="562">
        <v>117697714</v>
      </c>
      <c r="E6076" s="562">
        <v>32968466</v>
      </c>
      <c r="F6076" s="562">
        <v>150666200</v>
      </c>
      <c r="G6076" s="562">
        <f t="shared" si="332"/>
        <v>-20</v>
      </c>
      <c r="H6076" s="362"/>
      <c r="I6076" s="362"/>
      <c r="J6076" s="362"/>
    </row>
    <row r="6077" spans="1:10" x14ac:dyDescent="0.25">
      <c r="A6077" s="362"/>
      <c r="B6077" s="611">
        <v>44491</v>
      </c>
      <c r="C6077" s="362" t="s">
        <v>82</v>
      </c>
      <c r="D6077" s="562">
        <v>124002604</v>
      </c>
      <c r="E6077" s="562">
        <v>23164698</v>
      </c>
      <c r="F6077" s="562">
        <v>147167400</v>
      </c>
      <c r="G6077" s="562">
        <f t="shared" si="332"/>
        <v>-98</v>
      </c>
      <c r="H6077" s="362"/>
      <c r="I6077" s="362"/>
      <c r="J6077" s="362"/>
    </row>
    <row r="6078" spans="1:10" x14ac:dyDescent="0.25">
      <c r="A6078" s="362"/>
      <c r="B6078" s="611">
        <v>44491</v>
      </c>
      <c r="C6078" s="362" t="s">
        <v>80</v>
      </c>
      <c r="D6078" s="562">
        <v>379121200</v>
      </c>
      <c r="E6078" s="562"/>
      <c r="F6078" s="562">
        <v>379121200</v>
      </c>
      <c r="G6078" s="562">
        <f t="shared" si="332"/>
        <v>0</v>
      </c>
      <c r="H6078" s="362"/>
      <c r="I6078" s="362"/>
      <c r="J6078" s="362"/>
    </row>
    <row r="6079" spans="1:10" x14ac:dyDescent="0.25">
      <c r="A6079" s="362"/>
      <c r="B6079" s="611">
        <v>44491</v>
      </c>
      <c r="C6079" s="362" t="s">
        <v>83</v>
      </c>
      <c r="D6079" s="562">
        <v>142716599</v>
      </c>
      <c r="E6079" s="562">
        <v>152592956</v>
      </c>
      <c r="F6079" s="562">
        <v>295309600</v>
      </c>
      <c r="G6079" s="562">
        <f t="shared" si="332"/>
        <v>-45</v>
      </c>
      <c r="H6079" s="362"/>
      <c r="I6079" s="362"/>
      <c r="J6079" s="362"/>
    </row>
    <row r="6080" spans="1:10" x14ac:dyDescent="0.25">
      <c r="A6080" s="362"/>
      <c r="B6080" s="611">
        <v>44491</v>
      </c>
      <c r="C6080" s="362" t="s">
        <v>78</v>
      </c>
      <c r="D6080" s="562">
        <v>99858567</v>
      </c>
      <c r="E6080" s="562">
        <v>4351333</v>
      </c>
      <c r="F6080" s="562">
        <v>104209900</v>
      </c>
      <c r="G6080" s="562">
        <f t="shared" si="332"/>
        <v>0</v>
      </c>
      <c r="H6080" s="362"/>
      <c r="I6080" s="362"/>
      <c r="J6080" s="362"/>
    </row>
    <row r="6081" spans="1:10" x14ac:dyDescent="0.25">
      <c r="A6081" s="362"/>
      <c r="B6081" s="611">
        <v>44491</v>
      </c>
      <c r="C6081" s="362" t="s">
        <v>141</v>
      </c>
      <c r="D6081" s="562">
        <v>86290029</v>
      </c>
      <c r="E6081" s="562">
        <v>416184</v>
      </c>
      <c r="F6081" s="562">
        <v>86706300</v>
      </c>
      <c r="G6081" s="562">
        <f t="shared" si="332"/>
        <v>-87</v>
      </c>
      <c r="H6081" s="362"/>
      <c r="I6081" s="362"/>
      <c r="J6081" s="362"/>
    </row>
    <row r="6082" spans="1:10" x14ac:dyDescent="0.25">
      <c r="A6082" s="362"/>
      <c r="B6082" s="611">
        <v>44491</v>
      </c>
      <c r="C6082" s="362" t="s">
        <v>89</v>
      </c>
      <c r="D6082" s="562">
        <v>160186896</v>
      </c>
      <c r="E6082" s="562">
        <v>54492304</v>
      </c>
      <c r="F6082" s="562">
        <v>214679100</v>
      </c>
      <c r="G6082" s="562">
        <f t="shared" si="332"/>
        <v>100</v>
      </c>
      <c r="H6082" s="362"/>
      <c r="I6082" s="362"/>
      <c r="J6082" s="362"/>
    </row>
    <row r="6083" spans="1:10" x14ac:dyDescent="0.25">
      <c r="A6083" s="362"/>
      <c r="B6083" s="611">
        <v>44491</v>
      </c>
      <c r="C6083" s="362" t="s">
        <v>81</v>
      </c>
      <c r="D6083" s="562">
        <v>75928545</v>
      </c>
      <c r="E6083" s="562">
        <v>17777107</v>
      </c>
      <c r="F6083" s="562">
        <v>93705700</v>
      </c>
      <c r="G6083" s="562">
        <f t="shared" si="332"/>
        <v>-48</v>
      </c>
      <c r="H6083" s="362"/>
      <c r="I6083" s="362"/>
      <c r="J6083" s="362"/>
    </row>
    <row r="6084" spans="1:10" x14ac:dyDescent="0.25">
      <c r="A6084" s="362"/>
      <c r="B6084" s="611">
        <v>44491</v>
      </c>
      <c r="C6084" s="362" t="s">
        <v>84</v>
      </c>
      <c r="D6084" s="562">
        <v>318655637</v>
      </c>
      <c r="E6084" s="562">
        <v>29464226</v>
      </c>
      <c r="F6084" s="562">
        <v>348125600</v>
      </c>
      <c r="G6084" s="562">
        <f t="shared" si="332"/>
        <v>-5737</v>
      </c>
      <c r="H6084" s="362"/>
      <c r="I6084" s="362"/>
      <c r="J6084" s="362"/>
    </row>
    <row r="6085" spans="1:10" x14ac:dyDescent="0.25">
      <c r="A6085" s="362"/>
      <c r="B6085" s="611">
        <v>44491</v>
      </c>
      <c r="C6085" s="362" t="s">
        <v>4751</v>
      </c>
      <c r="D6085" s="562">
        <v>164048459</v>
      </c>
      <c r="E6085" s="562">
        <v>8976641</v>
      </c>
      <c r="F6085" s="562">
        <v>173025100</v>
      </c>
      <c r="G6085" s="562">
        <f t="shared" si="332"/>
        <v>0</v>
      </c>
      <c r="H6085" s="362"/>
      <c r="I6085" s="362"/>
      <c r="J6085" s="362"/>
    </row>
    <row r="6086" spans="1:10" x14ac:dyDescent="0.25">
      <c r="A6086" s="362"/>
      <c r="B6086" s="611">
        <v>44491</v>
      </c>
      <c r="C6086" s="362" t="s">
        <v>166</v>
      </c>
      <c r="D6086" s="562">
        <v>51822855</v>
      </c>
      <c r="E6086" s="562"/>
      <c r="F6086" s="562">
        <v>51823000</v>
      </c>
      <c r="G6086" s="562">
        <f t="shared" si="332"/>
        <v>-145</v>
      </c>
      <c r="H6086" s="362"/>
      <c r="I6086" s="362"/>
      <c r="J6086" s="362"/>
    </row>
    <row r="6087" spans="1:10" x14ac:dyDescent="0.25">
      <c r="A6087" s="362"/>
      <c r="B6087" s="611">
        <v>44491</v>
      </c>
      <c r="C6087" s="362" t="s">
        <v>3435</v>
      </c>
      <c r="D6087" s="562">
        <v>31785778</v>
      </c>
      <c r="E6087" s="562"/>
      <c r="F6087" s="562">
        <v>31785800</v>
      </c>
      <c r="G6087" s="562">
        <f t="shared" si="332"/>
        <v>-22</v>
      </c>
      <c r="H6087" s="362"/>
      <c r="I6087" s="362"/>
      <c r="J6087" s="362"/>
    </row>
    <row r="6088" spans="1:10" x14ac:dyDescent="0.25">
      <c r="A6088" s="362"/>
      <c r="B6088" s="611">
        <v>44491</v>
      </c>
      <c r="C6088" s="370" t="s">
        <v>85</v>
      </c>
      <c r="D6088" s="562">
        <v>36756200</v>
      </c>
      <c r="E6088" s="562"/>
      <c r="F6088" s="562">
        <v>36756200</v>
      </c>
      <c r="G6088" s="562">
        <f t="shared" si="332"/>
        <v>0</v>
      </c>
      <c r="H6088" s="362"/>
      <c r="I6088" s="362"/>
      <c r="J6088" s="362"/>
    </row>
    <row r="6089" spans="1:10" x14ac:dyDescent="0.25">
      <c r="A6089" s="532"/>
      <c r="B6089" s="532"/>
      <c r="C6089" s="532"/>
      <c r="D6089" s="564">
        <f>SUM(D6074:D6088)</f>
        <v>1920512394</v>
      </c>
      <c r="E6089" s="564">
        <f t="shared" ref="E6089:G6089" si="336">SUM(E6074:E6088)</f>
        <v>433761280</v>
      </c>
      <c r="F6089" s="564">
        <f t="shared" si="336"/>
        <v>2354279900</v>
      </c>
      <c r="G6089" s="564">
        <f t="shared" si="336"/>
        <v>-6226</v>
      </c>
      <c r="H6089" s="532"/>
      <c r="I6089" s="532"/>
      <c r="J6089" s="532"/>
    </row>
    <row r="6090" spans="1:10" x14ac:dyDescent="0.25">
      <c r="A6090" s="362"/>
      <c r="B6090" s="611">
        <v>44492</v>
      </c>
      <c r="C6090" s="362" t="s">
        <v>86</v>
      </c>
      <c r="D6090" s="562">
        <v>69860032</v>
      </c>
      <c r="E6090" s="562">
        <v>10571572</v>
      </c>
      <c r="F6090" s="562"/>
      <c r="G6090" s="562">
        <f t="shared" si="332"/>
        <v>80431604</v>
      </c>
      <c r="H6090" s="362"/>
      <c r="I6090" s="362"/>
      <c r="J6090" s="362"/>
    </row>
    <row r="6091" spans="1:10" x14ac:dyDescent="0.25">
      <c r="A6091" s="362"/>
      <c r="B6091" s="611">
        <v>44492</v>
      </c>
      <c r="C6091" s="362" t="s">
        <v>87</v>
      </c>
      <c r="D6091" s="562">
        <v>42246449</v>
      </c>
      <c r="E6091" s="562">
        <v>60142588</v>
      </c>
      <c r="F6091" s="562"/>
      <c r="G6091" s="562">
        <f t="shared" si="332"/>
        <v>102389037</v>
      </c>
      <c r="H6091" s="362"/>
      <c r="I6091" s="362"/>
      <c r="J6091" s="362"/>
    </row>
    <row r="6092" spans="1:10" x14ac:dyDescent="0.25">
      <c r="A6092" s="362"/>
      <c r="B6092" s="611">
        <v>44492</v>
      </c>
      <c r="C6092" s="362" t="s">
        <v>88</v>
      </c>
      <c r="D6092" s="562">
        <v>117585220</v>
      </c>
      <c r="E6092" s="562">
        <v>45692318</v>
      </c>
      <c r="F6092" s="562"/>
      <c r="G6092" s="562">
        <f t="shared" ref="G6092:G6155" si="337">D6092+E6092-F6092</f>
        <v>163277538</v>
      </c>
      <c r="H6092" s="362"/>
      <c r="I6092" s="362"/>
      <c r="J6092" s="362"/>
    </row>
    <row r="6093" spans="1:10" x14ac:dyDescent="0.25">
      <c r="A6093" s="362"/>
      <c r="B6093" s="611">
        <v>44492</v>
      </c>
      <c r="C6093" s="362" t="s">
        <v>82</v>
      </c>
      <c r="D6093" s="562">
        <v>84823940</v>
      </c>
      <c r="E6093" s="562">
        <v>1423290</v>
      </c>
      <c r="F6093" s="562"/>
      <c r="G6093" s="562">
        <f t="shared" si="337"/>
        <v>86247230</v>
      </c>
      <c r="H6093" s="362"/>
      <c r="I6093" s="362"/>
      <c r="J6093" s="362"/>
    </row>
    <row r="6094" spans="1:10" x14ac:dyDescent="0.25">
      <c r="A6094" s="362"/>
      <c r="B6094" s="611">
        <v>44492</v>
      </c>
      <c r="C6094" s="362" t="s">
        <v>80</v>
      </c>
      <c r="D6094" s="562">
        <v>271301169</v>
      </c>
      <c r="E6094" s="562">
        <v>6740476</v>
      </c>
      <c r="F6094" s="562"/>
      <c r="G6094" s="562">
        <f t="shared" si="337"/>
        <v>278041645</v>
      </c>
      <c r="H6094" s="362"/>
      <c r="I6094" s="362"/>
      <c r="J6094" s="362"/>
    </row>
    <row r="6095" spans="1:10" x14ac:dyDescent="0.25">
      <c r="A6095" s="362"/>
      <c r="B6095" s="611">
        <v>44492</v>
      </c>
      <c r="C6095" s="362" t="s">
        <v>83</v>
      </c>
      <c r="D6095" s="562">
        <v>120646638</v>
      </c>
      <c r="E6095" s="562">
        <v>20635522</v>
      </c>
      <c r="F6095" s="562"/>
      <c r="G6095" s="562">
        <f t="shared" si="337"/>
        <v>141282160</v>
      </c>
      <c r="H6095" s="362"/>
      <c r="I6095" s="362"/>
      <c r="J6095" s="362"/>
    </row>
    <row r="6096" spans="1:10" x14ac:dyDescent="0.25">
      <c r="A6096" s="362"/>
      <c r="B6096" s="611">
        <v>44492</v>
      </c>
      <c r="C6096" s="362" t="s">
        <v>78</v>
      </c>
      <c r="D6096" s="562">
        <v>150281855</v>
      </c>
      <c r="E6096" s="562">
        <v>14534145</v>
      </c>
      <c r="F6096" s="562"/>
      <c r="G6096" s="562">
        <f t="shared" si="337"/>
        <v>164816000</v>
      </c>
      <c r="H6096" s="362"/>
      <c r="I6096" s="362"/>
      <c r="J6096" s="362"/>
    </row>
    <row r="6097" spans="1:10" x14ac:dyDescent="0.25">
      <c r="A6097" s="362"/>
      <c r="B6097" s="611">
        <v>44492</v>
      </c>
      <c r="C6097" s="362" t="s">
        <v>141</v>
      </c>
      <c r="D6097" s="562">
        <v>53452013</v>
      </c>
      <c r="E6097" s="562">
        <v>502221</v>
      </c>
      <c r="F6097" s="562"/>
      <c r="G6097" s="562">
        <f t="shared" si="337"/>
        <v>53954234</v>
      </c>
      <c r="H6097" s="362"/>
      <c r="I6097" s="362"/>
      <c r="J6097" s="362"/>
    </row>
    <row r="6098" spans="1:10" x14ac:dyDescent="0.25">
      <c r="A6098" s="362"/>
      <c r="B6098" s="611">
        <v>44492</v>
      </c>
      <c r="C6098" s="362" t="s">
        <v>89</v>
      </c>
      <c r="D6098" s="562">
        <v>139393790</v>
      </c>
      <c r="E6098" s="562">
        <v>27016510</v>
      </c>
      <c r="F6098" s="562"/>
      <c r="G6098" s="562">
        <f t="shared" si="337"/>
        <v>166410300</v>
      </c>
      <c r="H6098" s="362"/>
      <c r="I6098" s="362"/>
      <c r="J6098" s="362"/>
    </row>
    <row r="6099" spans="1:10" x14ac:dyDescent="0.25">
      <c r="A6099" s="362"/>
      <c r="B6099" s="611">
        <v>44492</v>
      </c>
      <c r="C6099" s="362" t="s">
        <v>81</v>
      </c>
      <c r="D6099" s="562">
        <v>170731220</v>
      </c>
      <c r="E6099" s="562">
        <v>24167843</v>
      </c>
      <c r="F6099" s="562"/>
      <c r="G6099" s="562">
        <f t="shared" si="337"/>
        <v>194899063</v>
      </c>
      <c r="H6099" s="362"/>
      <c r="I6099" s="362"/>
      <c r="J6099" s="362"/>
    </row>
    <row r="6100" spans="1:10" x14ac:dyDescent="0.25">
      <c r="A6100" s="362"/>
      <c r="B6100" s="611">
        <v>44492</v>
      </c>
      <c r="C6100" s="362" t="s">
        <v>84</v>
      </c>
      <c r="D6100" s="562">
        <v>158330257</v>
      </c>
      <c r="E6100" s="562">
        <v>8566620</v>
      </c>
      <c r="F6100" s="562"/>
      <c r="G6100" s="562">
        <f t="shared" si="337"/>
        <v>166896877</v>
      </c>
      <c r="H6100" s="362"/>
      <c r="I6100" s="362"/>
      <c r="J6100" s="362"/>
    </row>
    <row r="6101" spans="1:10" x14ac:dyDescent="0.25">
      <c r="A6101" s="362"/>
      <c r="B6101" s="611">
        <v>44492</v>
      </c>
      <c r="C6101" s="362" t="s">
        <v>4751</v>
      </c>
      <c r="D6101" s="562">
        <v>162059024</v>
      </c>
      <c r="E6101" s="562">
        <v>7398276</v>
      </c>
      <c r="F6101" s="562"/>
      <c r="G6101" s="562">
        <f t="shared" si="337"/>
        <v>169457300</v>
      </c>
      <c r="H6101" s="362"/>
      <c r="I6101" s="362"/>
      <c r="J6101" s="362"/>
    </row>
    <row r="6102" spans="1:10" x14ac:dyDescent="0.25">
      <c r="A6102" s="362"/>
      <c r="B6102" s="611">
        <v>44492</v>
      </c>
      <c r="C6102" s="362" t="s">
        <v>166</v>
      </c>
      <c r="D6102" s="562"/>
      <c r="E6102" s="562"/>
      <c r="F6102" s="562"/>
      <c r="G6102" s="562">
        <f t="shared" si="337"/>
        <v>0</v>
      </c>
      <c r="H6102" s="362"/>
      <c r="I6102" s="362"/>
      <c r="J6102" s="362"/>
    </row>
    <row r="6103" spans="1:10" x14ac:dyDescent="0.25">
      <c r="A6103" s="362"/>
      <c r="B6103" s="611">
        <v>44492</v>
      </c>
      <c r="C6103" s="362" t="s">
        <v>3435</v>
      </c>
      <c r="D6103" s="562"/>
      <c r="E6103" s="562"/>
      <c r="F6103" s="562"/>
      <c r="G6103" s="562">
        <f t="shared" si="337"/>
        <v>0</v>
      </c>
      <c r="H6103" s="362"/>
      <c r="I6103" s="362"/>
      <c r="J6103" s="362"/>
    </row>
    <row r="6104" spans="1:10" x14ac:dyDescent="0.25">
      <c r="A6104" s="362"/>
      <c r="B6104" s="611">
        <v>44492</v>
      </c>
      <c r="C6104" s="370" t="s">
        <v>85</v>
      </c>
      <c r="D6104" s="562">
        <v>27010300</v>
      </c>
      <c r="E6104" s="562"/>
      <c r="F6104" s="562"/>
      <c r="G6104" s="562">
        <f t="shared" si="337"/>
        <v>27010300</v>
      </c>
      <c r="H6104" s="362"/>
      <c r="I6104" s="362"/>
      <c r="J6104" s="362"/>
    </row>
    <row r="6105" spans="1:10" x14ac:dyDescent="0.25">
      <c r="A6105" s="532"/>
      <c r="B6105" s="532"/>
      <c r="C6105" s="532"/>
      <c r="D6105" s="564">
        <f>SUM(D6090:D6104)</f>
        <v>1567721907</v>
      </c>
      <c r="E6105" s="564">
        <f t="shared" ref="E6105:G6105" si="338">SUM(E6090:E6104)</f>
        <v>227391381</v>
      </c>
      <c r="F6105" s="564">
        <f t="shared" si="338"/>
        <v>0</v>
      </c>
      <c r="G6105" s="564">
        <f t="shared" si="338"/>
        <v>1795113288</v>
      </c>
      <c r="H6105" s="532"/>
      <c r="I6105" s="532"/>
      <c r="J6105" s="532"/>
    </row>
    <row r="6106" spans="1:10" x14ac:dyDescent="0.25">
      <c r="A6106" s="362"/>
      <c r="B6106" s="611">
        <v>44494</v>
      </c>
      <c r="C6106" s="362" t="s">
        <v>86</v>
      </c>
      <c r="D6106" s="562">
        <v>48532605</v>
      </c>
      <c r="E6106" s="562">
        <v>192358000</v>
      </c>
      <c r="F6106" s="562">
        <v>240891000</v>
      </c>
      <c r="G6106" s="562">
        <f t="shared" si="337"/>
        <v>-395</v>
      </c>
      <c r="H6106" s="362"/>
      <c r="I6106" s="362"/>
      <c r="J6106" s="362"/>
    </row>
    <row r="6107" spans="1:10" x14ac:dyDescent="0.25">
      <c r="A6107" s="362"/>
      <c r="B6107" s="611">
        <v>44494</v>
      </c>
      <c r="C6107" s="362" t="s">
        <v>87</v>
      </c>
      <c r="D6107" s="562">
        <v>120054256</v>
      </c>
      <c r="E6107" s="562">
        <v>60647447</v>
      </c>
      <c r="F6107" s="562">
        <v>180702300</v>
      </c>
      <c r="G6107" s="562">
        <f t="shared" si="337"/>
        <v>-597</v>
      </c>
      <c r="H6107" s="362"/>
      <c r="I6107" s="362"/>
      <c r="J6107" s="362"/>
    </row>
    <row r="6108" spans="1:10" x14ac:dyDescent="0.25">
      <c r="A6108" s="362"/>
      <c r="B6108" s="611">
        <v>44494</v>
      </c>
      <c r="C6108" s="362" t="s">
        <v>88</v>
      </c>
      <c r="D6108" s="562">
        <v>267686689</v>
      </c>
      <c r="E6108" s="562">
        <v>145090176</v>
      </c>
      <c r="F6108" s="562">
        <v>412776900</v>
      </c>
      <c r="G6108" s="562">
        <f t="shared" si="337"/>
        <v>-35</v>
      </c>
      <c r="H6108" s="362"/>
      <c r="I6108" s="362"/>
      <c r="J6108" s="362"/>
    </row>
    <row r="6109" spans="1:10" x14ac:dyDescent="0.25">
      <c r="A6109" s="362"/>
      <c r="B6109" s="611">
        <v>44494</v>
      </c>
      <c r="C6109" s="362" t="s">
        <v>82</v>
      </c>
      <c r="D6109" s="562">
        <v>66374480</v>
      </c>
      <c r="E6109" s="562">
        <v>1212105</v>
      </c>
      <c r="F6109" s="562">
        <v>67586600</v>
      </c>
      <c r="G6109" s="562">
        <f t="shared" si="337"/>
        <v>-15</v>
      </c>
      <c r="H6109" s="362"/>
      <c r="I6109" s="362"/>
      <c r="J6109" s="362"/>
    </row>
    <row r="6110" spans="1:10" x14ac:dyDescent="0.25">
      <c r="A6110" s="362"/>
      <c r="B6110" s="611">
        <v>44494</v>
      </c>
      <c r="C6110" s="362" t="s">
        <v>80</v>
      </c>
      <c r="D6110" s="562">
        <v>201705200</v>
      </c>
      <c r="E6110" s="562"/>
      <c r="F6110" s="562">
        <v>201705200</v>
      </c>
      <c r="G6110" s="562">
        <f t="shared" si="337"/>
        <v>0</v>
      </c>
      <c r="H6110" s="362"/>
      <c r="I6110" s="362"/>
      <c r="J6110" s="362"/>
    </row>
    <row r="6111" spans="1:10" x14ac:dyDescent="0.25">
      <c r="A6111" s="362"/>
      <c r="B6111" s="611">
        <v>44494</v>
      </c>
      <c r="C6111" s="362" t="s">
        <v>83</v>
      </c>
      <c r="D6111" s="562">
        <v>209882774</v>
      </c>
      <c r="E6111" s="562">
        <v>11299688</v>
      </c>
      <c r="F6111" s="562">
        <v>221182500</v>
      </c>
      <c r="G6111" s="562">
        <f t="shared" si="337"/>
        <v>-38</v>
      </c>
      <c r="H6111" s="362"/>
      <c r="I6111" s="362"/>
      <c r="J6111" s="362"/>
    </row>
    <row r="6112" spans="1:10" x14ac:dyDescent="0.25">
      <c r="A6112" s="362"/>
      <c r="B6112" s="611">
        <v>44494</v>
      </c>
      <c r="C6112" s="362" t="s">
        <v>78</v>
      </c>
      <c r="D6112" s="562">
        <v>181507055</v>
      </c>
      <c r="E6112" s="562">
        <v>14887345</v>
      </c>
      <c r="F6112" s="562">
        <v>196394400</v>
      </c>
      <c r="G6112" s="562">
        <f t="shared" si="337"/>
        <v>0</v>
      </c>
      <c r="H6112" s="362"/>
      <c r="I6112" s="362"/>
      <c r="J6112" s="362"/>
    </row>
    <row r="6113" spans="1:10" x14ac:dyDescent="0.25">
      <c r="A6113" s="362"/>
      <c r="B6113" s="611">
        <v>44494</v>
      </c>
      <c r="C6113" s="362" t="s">
        <v>141</v>
      </c>
      <c r="D6113" s="562">
        <v>117513972</v>
      </c>
      <c r="E6113" s="562"/>
      <c r="F6113" s="562">
        <v>117514000</v>
      </c>
      <c r="G6113" s="562">
        <f t="shared" si="337"/>
        <v>-28</v>
      </c>
      <c r="H6113" s="362"/>
      <c r="I6113" s="362"/>
      <c r="J6113" s="362"/>
    </row>
    <row r="6114" spans="1:10" x14ac:dyDescent="0.25">
      <c r="A6114" s="362"/>
      <c r="B6114" s="611">
        <v>44494</v>
      </c>
      <c r="C6114" s="362" t="s">
        <v>89</v>
      </c>
      <c r="D6114" s="562">
        <v>148301544</v>
      </c>
      <c r="E6114" s="562">
        <v>10731856</v>
      </c>
      <c r="F6114" s="562">
        <v>159033400</v>
      </c>
      <c r="G6114" s="562">
        <f t="shared" si="337"/>
        <v>0</v>
      </c>
      <c r="H6114" s="362"/>
      <c r="I6114" s="362"/>
      <c r="J6114" s="362"/>
    </row>
    <row r="6115" spans="1:10" x14ac:dyDescent="0.25">
      <c r="A6115" s="362"/>
      <c r="B6115" s="611">
        <v>44494</v>
      </c>
      <c r="C6115" s="362" t="s">
        <v>81</v>
      </c>
      <c r="D6115" s="562">
        <v>119824284</v>
      </c>
      <c r="E6115" s="562">
        <v>14733243</v>
      </c>
      <c r="F6115" s="562">
        <v>134557600</v>
      </c>
      <c r="G6115" s="562">
        <f t="shared" si="337"/>
        <v>-73</v>
      </c>
      <c r="H6115" s="362"/>
      <c r="I6115" s="362"/>
      <c r="J6115" s="362"/>
    </row>
    <row r="6116" spans="1:10" x14ac:dyDescent="0.25">
      <c r="A6116" s="362"/>
      <c r="B6116" s="611">
        <v>44494</v>
      </c>
      <c r="C6116" s="362" t="s">
        <v>84</v>
      </c>
      <c r="D6116" s="562">
        <v>354056204</v>
      </c>
      <c r="E6116" s="562">
        <v>19841403</v>
      </c>
      <c r="F6116" s="562">
        <v>373897400</v>
      </c>
      <c r="G6116" s="562">
        <f t="shared" si="337"/>
        <v>207</v>
      </c>
      <c r="H6116" s="362"/>
      <c r="I6116" s="362"/>
      <c r="J6116" s="362"/>
    </row>
    <row r="6117" spans="1:10" x14ac:dyDescent="0.25">
      <c r="A6117" s="362"/>
      <c r="B6117" s="611">
        <v>44494</v>
      </c>
      <c r="C6117" s="362" t="s">
        <v>4751</v>
      </c>
      <c r="D6117" s="562">
        <v>192393969</v>
      </c>
      <c r="E6117" s="562">
        <v>13343831</v>
      </c>
      <c r="F6117" s="562">
        <v>205737800</v>
      </c>
      <c r="G6117" s="562">
        <f t="shared" si="337"/>
        <v>0</v>
      </c>
      <c r="H6117" s="362"/>
      <c r="I6117" s="362"/>
      <c r="J6117" s="362"/>
    </row>
    <row r="6118" spans="1:10" x14ac:dyDescent="0.25">
      <c r="A6118" s="362"/>
      <c r="B6118" s="611">
        <v>44494</v>
      </c>
      <c r="C6118" s="362" t="s">
        <v>166</v>
      </c>
      <c r="D6118" s="562">
        <v>84347201</v>
      </c>
      <c r="E6118" s="562"/>
      <c r="F6118" s="562">
        <v>84347200</v>
      </c>
      <c r="G6118" s="562">
        <f t="shared" si="337"/>
        <v>1</v>
      </c>
      <c r="H6118" s="362"/>
      <c r="I6118" s="362"/>
      <c r="J6118" s="362"/>
    </row>
    <row r="6119" spans="1:10" x14ac:dyDescent="0.25">
      <c r="A6119" s="362"/>
      <c r="B6119" s="611">
        <v>44494</v>
      </c>
      <c r="C6119" s="362" t="s">
        <v>3435</v>
      </c>
      <c r="D6119" s="562">
        <v>21786529</v>
      </c>
      <c r="E6119" s="562"/>
      <c r="F6119" s="562">
        <v>21786600</v>
      </c>
      <c r="G6119" s="562">
        <f t="shared" si="337"/>
        <v>-71</v>
      </c>
      <c r="H6119" s="362"/>
      <c r="I6119" s="362"/>
      <c r="J6119" s="362"/>
    </row>
    <row r="6120" spans="1:10" x14ac:dyDescent="0.25">
      <c r="A6120" s="362"/>
      <c r="B6120" s="611">
        <v>44494</v>
      </c>
      <c r="C6120" s="370" t="s">
        <v>85</v>
      </c>
      <c r="D6120" s="562">
        <v>41765900</v>
      </c>
      <c r="E6120" s="562"/>
      <c r="F6120" s="562">
        <v>41765900</v>
      </c>
      <c r="G6120" s="562">
        <f t="shared" si="337"/>
        <v>0</v>
      </c>
      <c r="H6120" s="362"/>
      <c r="I6120" s="362"/>
      <c r="J6120" s="362"/>
    </row>
    <row r="6121" spans="1:10" x14ac:dyDescent="0.25">
      <c r="A6121" s="532"/>
      <c r="B6121" s="532"/>
      <c r="C6121" s="532"/>
      <c r="D6121" s="564">
        <f>SUM(D6106:D6120)</f>
        <v>2175732662</v>
      </c>
      <c r="E6121" s="564">
        <f t="shared" ref="E6121:G6121" si="339">SUM(E6106:E6120)</f>
        <v>484145094</v>
      </c>
      <c r="F6121" s="564">
        <f t="shared" si="339"/>
        <v>2659878800</v>
      </c>
      <c r="G6121" s="564">
        <f t="shared" si="339"/>
        <v>-1044</v>
      </c>
      <c r="H6121" s="532"/>
      <c r="I6121" s="532"/>
      <c r="J6121" s="532"/>
    </row>
    <row r="6122" spans="1:10" x14ac:dyDescent="0.25">
      <c r="A6122" s="362"/>
      <c r="B6122" s="611">
        <v>44495</v>
      </c>
      <c r="C6122" s="362" t="s">
        <v>86</v>
      </c>
      <c r="D6122" s="562">
        <v>38087559</v>
      </c>
      <c r="E6122" s="562">
        <v>64817991</v>
      </c>
      <c r="F6122" s="562"/>
      <c r="G6122" s="562">
        <f t="shared" si="337"/>
        <v>102905550</v>
      </c>
      <c r="H6122" s="362"/>
      <c r="I6122" s="362"/>
      <c r="J6122" s="362"/>
    </row>
    <row r="6123" spans="1:10" x14ac:dyDescent="0.25">
      <c r="A6123" s="362"/>
      <c r="B6123" s="611">
        <v>44495</v>
      </c>
      <c r="C6123" s="362" t="s">
        <v>87</v>
      </c>
      <c r="D6123" s="562">
        <v>106115004</v>
      </c>
      <c r="E6123" s="562">
        <v>85810266</v>
      </c>
      <c r="F6123" s="562"/>
      <c r="G6123" s="562">
        <f t="shared" si="337"/>
        <v>191925270</v>
      </c>
      <c r="H6123" s="362"/>
      <c r="I6123" s="362"/>
      <c r="J6123" s="362"/>
    </row>
    <row r="6124" spans="1:10" x14ac:dyDescent="0.25">
      <c r="A6124" s="362"/>
      <c r="B6124" s="611">
        <v>44495</v>
      </c>
      <c r="C6124" s="362" t="s">
        <v>88</v>
      </c>
      <c r="D6124" s="562">
        <v>176730698</v>
      </c>
      <c r="E6124" s="562">
        <v>19567939</v>
      </c>
      <c r="F6124" s="562"/>
      <c r="G6124" s="562">
        <f t="shared" si="337"/>
        <v>196298637</v>
      </c>
      <c r="H6124" s="362"/>
      <c r="I6124" s="362"/>
      <c r="J6124" s="362"/>
    </row>
    <row r="6125" spans="1:10" x14ac:dyDescent="0.25">
      <c r="A6125" s="362"/>
      <c r="B6125" s="611">
        <v>44495</v>
      </c>
      <c r="C6125" s="362" t="s">
        <v>82</v>
      </c>
      <c r="D6125" s="562">
        <v>76541253</v>
      </c>
      <c r="E6125" s="562">
        <v>9650593</v>
      </c>
      <c r="F6125" s="562"/>
      <c r="G6125" s="562">
        <f t="shared" si="337"/>
        <v>86191846</v>
      </c>
      <c r="H6125" s="362"/>
      <c r="I6125" s="362"/>
      <c r="J6125" s="362"/>
    </row>
    <row r="6126" spans="1:10" x14ac:dyDescent="0.25">
      <c r="A6126" s="362"/>
      <c r="B6126" s="611">
        <v>44495</v>
      </c>
      <c r="C6126" s="362" t="s">
        <v>80</v>
      </c>
      <c r="D6126" s="562">
        <v>287078762</v>
      </c>
      <c r="E6126" s="562">
        <v>86084940</v>
      </c>
      <c r="F6126" s="562"/>
      <c r="G6126" s="562">
        <f t="shared" si="337"/>
        <v>373163702</v>
      </c>
      <c r="H6126" s="362"/>
      <c r="I6126" s="362"/>
      <c r="J6126" s="362"/>
    </row>
    <row r="6127" spans="1:10" x14ac:dyDescent="0.25">
      <c r="A6127" s="362"/>
      <c r="B6127" s="611">
        <v>44495</v>
      </c>
      <c r="C6127" s="362" t="s">
        <v>83</v>
      </c>
      <c r="D6127" s="562">
        <v>193218182</v>
      </c>
      <c r="E6127" s="562">
        <v>12217560</v>
      </c>
      <c r="F6127" s="562"/>
      <c r="G6127" s="562">
        <f t="shared" si="337"/>
        <v>205435742</v>
      </c>
      <c r="H6127" s="362"/>
      <c r="I6127" s="362"/>
      <c r="J6127" s="362"/>
    </row>
    <row r="6128" spans="1:10" x14ac:dyDescent="0.25">
      <c r="A6128" s="362"/>
      <c r="B6128" s="611">
        <v>44495</v>
      </c>
      <c r="C6128" s="362" t="s">
        <v>78</v>
      </c>
      <c r="D6128" s="562">
        <v>137332789</v>
      </c>
      <c r="E6128" s="562">
        <v>1529611</v>
      </c>
      <c r="F6128" s="562"/>
      <c r="G6128" s="562">
        <f t="shared" si="337"/>
        <v>138862400</v>
      </c>
      <c r="H6128" s="362"/>
      <c r="I6128" s="362"/>
      <c r="J6128" s="362"/>
    </row>
    <row r="6129" spans="1:10" x14ac:dyDescent="0.25">
      <c r="A6129" s="362"/>
      <c r="B6129" s="611">
        <v>44495</v>
      </c>
      <c r="C6129" s="362" t="s">
        <v>141</v>
      </c>
      <c r="D6129" s="562">
        <v>79906110</v>
      </c>
      <c r="E6129" s="562"/>
      <c r="F6129" s="562"/>
      <c r="G6129" s="562">
        <f t="shared" si="337"/>
        <v>79906110</v>
      </c>
      <c r="H6129" s="362"/>
      <c r="I6129" s="362"/>
      <c r="J6129" s="362"/>
    </row>
    <row r="6130" spans="1:10" x14ac:dyDescent="0.25">
      <c r="A6130" s="362"/>
      <c r="B6130" s="611">
        <v>44495</v>
      </c>
      <c r="C6130" s="362" t="s">
        <v>89</v>
      </c>
      <c r="D6130" s="562">
        <v>101231936</v>
      </c>
      <c r="E6130" s="562">
        <v>15848964</v>
      </c>
      <c r="F6130" s="562"/>
      <c r="G6130" s="562">
        <f t="shared" si="337"/>
        <v>117080900</v>
      </c>
      <c r="H6130" s="362"/>
      <c r="I6130" s="362"/>
      <c r="J6130" s="362"/>
    </row>
    <row r="6131" spans="1:10" x14ac:dyDescent="0.25">
      <c r="A6131" s="362"/>
      <c r="B6131" s="611">
        <v>44495</v>
      </c>
      <c r="C6131" s="362" t="s">
        <v>81</v>
      </c>
      <c r="D6131" s="562">
        <v>70987130</v>
      </c>
      <c r="E6131" s="562">
        <v>9605826</v>
      </c>
      <c r="F6131" s="562"/>
      <c r="G6131" s="562">
        <f t="shared" si="337"/>
        <v>80592956</v>
      </c>
      <c r="H6131" s="362"/>
      <c r="I6131" s="362"/>
      <c r="J6131" s="362"/>
    </row>
    <row r="6132" spans="1:10" x14ac:dyDescent="0.25">
      <c r="A6132" s="362"/>
      <c r="B6132" s="611">
        <v>44495</v>
      </c>
      <c r="C6132" s="362" t="s">
        <v>84</v>
      </c>
      <c r="D6132" s="562">
        <v>275371405</v>
      </c>
      <c r="E6132" s="562">
        <v>16229126</v>
      </c>
      <c r="F6132" s="562"/>
      <c r="G6132" s="562">
        <f t="shared" si="337"/>
        <v>291600531</v>
      </c>
      <c r="H6132" s="362"/>
      <c r="I6132" s="362"/>
      <c r="J6132" s="362"/>
    </row>
    <row r="6133" spans="1:10" x14ac:dyDescent="0.25">
      <c r="A6133" s="362"/>
      <c r="B6133" s="611">
        <v>44495</v>
      </c>
      <c r="C6133" s="362" t="s">
        <v>4751</v>
      </c>
      <c r="D6133" s="562">
        <v>307269180</v>
      </c>
      <c r="E6133" s="562">
        <v>7357620</v>
      </c>
      <c r="F6133" s="562"/>
      <c r="G6133" s="562">
        <f t="shared" si="337"/>
        <v>314626800</v>
      </c>
      <c r="H6133" s="362"/>
      <c r="I6133" s="362"/>
      <c r="J6133" s="362"/>
    </row>
    <row r="6134" spans="1:10" x14ac:dyDescent="0.25">
      <c r="A6134" s="362"/>
      <c r="B6134" s="611">
        <v>44495</v>
      </c>
      <c r="C6134" s="362" t="s">
        <v>166</v>
      </c>
      <c r="D6134" s="562">
        <v>107778565</v>
      </c>
      <c r="E6134" s="562"/>
      <c r="F6134" s="562"/>
      <c r="G6134" s="562">
        <f t="shared" si="337"/>
        <v>107778565</v>
      </c>
      <c r="H6134" s="362"/>
      <c r="I6134" s="362"/>
      <c r="J6134" s="362"/>
    </row>
    <row r="6135" spans="1:10" x14ac:dyDescent="0.25">
      <c r="A6135" s="362"/>
      <c r="B6135" s="611">
        <v>44495</v>
      </c>
      <c r="C6135" s="362" t="s">
        <v>3435</v>
      </c>
      <c r="D6135" s="562">
        <v>28621041</v>
      </c>
      <c r="E6135" s="562"/>
      <c r="F6135" s="562"/>
      <c r="G6135" s="562">
        <f t="shared" si="337"/>
        <v>28621041</v>
      </c>
      <c r="H6135" s="362"/>
      <c r="I6135" s="362"/>
      <c r="J6135" s="362"/>
    </row>
    <row r="6136" spans="1:10" x14ac:dyDescent="0.25">
      <c r="A6136" s="362"/>
      <c r="B6136" s="611">
        <v>44495</v>
      </c>
      <c r="C6136" s="370" t="s">
        <v>85</v>
      </c>
      <c r="D6136" s="562">
        <v>41585000</v>
      </c>
      <c r="E6136" s="562"/>
      <c r="F6136" s="562"/>
      <c r="G6136" s="562">
        <f t="shared" si="337"/>
        <v>41585000</v>
      </c>
      <c r="H6136" s="362"/>
      <c r="I6136" s="362"/>
      <c r="J6136" s="362"/>
    </row>
    <row r="6137" spans="1:10" x14ac:dyDescent="0.25">
      <c r="A6137" s="532"/>
      <c r="B6137" s="532"/>
      <c r="C6137" s="532"/>
      <c r="D6137" s="564">
        <f>SUM(D6122:D6136)</f>
        <v>2027854614</v>
      </c>
      <c r="E6137" s="564">
        <f t="shared" ref="E6137:G6137" si="340">SUM(E6122:E6136)</f>
        <v>328720436</v>
      </c>
      <c r="F6137" s="564">
        <f t="shared" si="340"/>
        <v>0</v>
      </c>
      <c r="G6137" s="564">
        <f t="shared" si="340"/>
        <v>2356575050</v>
      </c>
      <c r="H6137" s="532"/>
      <c r="I6137" s="532"/>
      <c r="J6137" s="532"/>
    </row>
    <row r="6138" spans="1:10" x14ac:dyDescent="0.25">
      <c r="A6138" s="362"/>
      <c r="B6138" s="611">
        <v>44496</v>
      </c>
      <c r="C6138" s="362" t="s">
        <v>86</v>
      </c>
      <c r="D6138" s="562">
        <v>81459756</v>
      </c>
      <c r="E6138" s="562">
        <v>130405387</v>
      </c>
      <c r="F6138" s="562"/>
      <c r="G6138" s="562">
        <f t="shared" si="337"/>
        <v>211865143</v>
      </c>
      <c r="H6138" s="362"/>
      <c r="I6138" s="362"/>
      <c r="J6138" s="362"/>
    </row>
    <row r="6139" spans="1:10" x14ac:dyDescent="0.25">
      <c r="A6139" s="362"/>
      <c r="B6139" s="611">
        <v>44496</v>
      </c>
      <c r="C6139" s="362" t="s">
        <v>87</v>
      </c>
      <c r="D6139" s="562">
        <v>68697381</v>
      </c>
      <c r="E6139" s="562">
        <v>58182811</v>
      </c>
      <c r="F6139" s="562"/>
      <c r="G6139" s="562">
        <f t="shared" si="337"/>
        <v>126880192</v>
      </c>
      <c r="H6139" s="362"/>
      <c r="I6139" s="362"/>
      <c r="J6139" s="362"/>
    </row>
    <row r="6140" spans="1:10" x14ac:dyDescent="0.25">
      <c r="A6140" s="362"/>
      <c r="B6140" s="611">
        <v>44496</v>
      </c>
      <c r="C6140" s="362" t="s">
        <v>88</v>
      </c>
      <c r="D6140" s="562">
        <v>186066387</v>
      </c>
      <c r="E6140" s="562">
        <v>8041241</v>
      </c>
      <c r="F6140" s="562"/>
      <c r="G6140" s="562">
        <f t="shared" si="337"/>
        <v>194107628</v>
      </c>
      <c r="H6140" s="362"/>
      <c r="I6140" s="362"/>
      <c r="J6140" s="362"/>
    </row>
    <row r="6141" spans="1:10" x14ac:dyDescent="0.25">
      <c r="A6141" s="362"/>
      <c r="B6141" s="611">
        <v>44496</v>
      </c>
      <c r="C6141" s="362" t="s">
        <v>82</v>
      </c>
      <c r="D6141" s="562">
        <v>127949167</v>
      </c>
      <c r="E6141" s="562">
        <v>2693420</v>
      </c>
      <c r="F6141" s="562"/>
      <c r="G6141" s="562">
        <f t="shared" si="337"/>
        <v>130642587</v>
      </c>
      <c r="H6141" s="362"/>
      <c r="I6141" s="362"/>
      <c r="J6141" s="362"/>
    </row>
    <row r="6142" spans="1:10" x14ac:dyDescent="0.25">
      <c r="A6142" s="362"/>
      <c r="B6142" s="611">
        <v>44496</v>
      </c>
      <c r="C6142" s="362" t="s">
        <v>80</v>
      </c>
      <c r="D6142" s="562">
        <v>369991312</v>
      </c>
      <c r="E6142" s="562">
        <v>7771388</v>
      </c>
      <c r="F6142" s="562"/>
      <c r="G6142" s="562">
        <f t="shared" si="337"/>
        <v>377762700</v>
      </c>
      <c r="H6142" s="362"/>
      <c r="I6142" s="362"/>
      <c r="J6142" s="362"/>
    </row>
    <row r="6143" spans="1:10" x14ac:dyDescent="0.25">
      <c r="A6143" s="362"/>
      <c r="B6143" s="611">
        <v>44496</v>
      </c>
      <c r="C6143" s="362" t="s">
        <v>83</v>
      </c>
      <c r="D6143" s="562">
        <v>253640312</v>
      </c>
      <c r="E6143" s="562">
        <v>300607818</v>
      </c>
      <c r="F6143" s="562"/>
      <c r="G6143" s="562">
        <f t="shared" si="337"/>
        <v>554248130</v>
      </c>
      <c r="H6143" s="362"/>
      <c r="I6143" s="362"/>
      <c r="J6143" s="362"/>
    </row>
    <row r="6144" spans="1:10" x14ac:dyDescent="0.25">
      <c r="A6144" s="362"/>
      <c r="B6144" s="611">
        <v>44496</v>
      </c>
      <c r="C6144" s="362" t="s">
        <v>78</v>
      </c>
      <c r="D6144" s="562">
        <v>200766774</v>
      </c>
      <c r="E6144" s="562">
        <v>9283626</v>
      </c>
      <c r="F6144" s="562"/>
      <c r="G6144" s="562">
        <f t="shared" si="337"/>
        <v>210050400</v>
      </c>
      <c r="H6144" s="362"/>
      <c r="I6144" s="362"/>
      <c r="J6144" s="362"/>
    </row>
    <row r="6145" spans="1:10" x14ac:dyDescent="0.25">
      <c r="A6145" s="362"/>
      <c r="B6145" s="611">
        <v>44496</v>
      </c>
      <c r="C6145" s="362" t="s">
        <v>141</v>
      </c>
      <c r="D6145" s="562">
        <v>160617978</v>
      </c>
      <c r="E6145" s="562">
        <v>773649</v>
      </c>
      <c r="F6145" s="562"/>
      <c r="G6145" s="562">
        <f t="shared" si="337"/>
        <v>161391627</v>
      </c>
      <c r="H6145" s="362"/>
      <c r="I6145" s="362"/>
      <c r="J6145" s="362"/>
    </row>
    <row r="6146" spans="1:10" x14ac:dyDescent="0.25">
      <c r="A6146" s="362"/>
      <c r="B6146" s="611">
        <v>44496</v>
      </c>
      <c r="C6146" s="362" t="s">
        <v>89</v>
      </c>
      <c r="D6146" s="562">
        <v>117926125</v>
      </c>
      <c r="E6146" s="562">
        <v>30572675</v>
      </c>
      <c r="F6146" s="562"/>
      <c r="G6146" s="562">
        <f t="shared" si="337"/>
        <v>148498800</v>
      </c>
      <c r="H6146" s="362"/>
      <c r="I6146" s="362"/>
      <c r="J6146" s="362"/>
    </row>
    <row r="6147" spans="1:10" x14ac:dyDescent="0.25">
      <c r="A6147" s="362"/>
      <c r="B6147" s="611">
        <v>44496</v>
      </c>
      <c r="C6147" s="362" t="s">
        <v>81</v>
      </c>
      <c r="D6147" s="562">
        <v>132098630</v>
      </c>
      <c r="E6147" s="562">
        <v>19424873</v>
      </c>
      <c r="F6147" s="562"/>
      <c r="G6147" s="562">
        <f t="shared" si="337"/>
        <v>151523503</v>
      </c>
      <c r="H6147" s="362"/>
      <c r="I6147" s="362"/>
      <c r="J6147" s="362"/>
    </row>
    <row r="6148" spans="1:10" x14ac:dyDescent="0.25">
      <c r="A6148" s="362"/>
      <c r="B6148" s="611">
        <v>44496</v>
      </c>
      <c r="C6148" s="362" t="s">
        <v>84</v>
      </c>
      <c r="D6148" s="562">
        <v>266279163</v>
      </c>
      <c r="E6148" s="562">
        <v>9602741</v>
      </c>
      <c r="F6148" s="562"/>
      <c r="G6148" s="562">
        <f t="shared" si="337"/>
        <v>275881904</v>
      </c>
      <c r="H6148" s="362"/>
      <c r="I6148" s="362"/>
      <c r="J6148" s="362"/>
    </row>
    <row r="6149" spans="1:10" x14ac:dyDescent="0.25">
      <c r="A6149" s="362"/>
      <c r="B6149" s="611">
        <v>44496</v>
      </c>
      <c r="C6149" s="362" t="s">
        <v>4751</v>
      </c>
      <c r="D6149" s="562">
        <v>185155896</v>
      </c>
      <c r="E6149" s="562">
        <v>16112204</v>
      </c>
      <c r="F6149" s="562"/>
      <c r="G6149" s="562">
        <f t="shared" si="337"/>
        <v>201268100</v>
      </c>
      <c r="H6149" s="362"/>
      <c r="I6149" s="362"/>
      <c r="J6149" s="362"/>
    </row>
    <row r="6150" spans="1:10" x14ac:dyDescent="0.25">
      <c r="A6150" s="362"/>
      <c r="B6150" s="611">
        <v>44496</v>
      </c>
      <c r="C6150" s="362" t="s">
        <v>166</v>
      </c>
      <c r="D6150" s="562">
        <v>58368945</v>
      </c>
      <c r="E6150" s="562"/>
      <c r="F6150" s="562"/>
      <c r="G6150" s="562">
        <f t="shared" si="337"/>
        <v>58368945</v>
      </c>
      <c r="H6150" s="362"/>
      <c r="I6150" s="362"/>
      <c r="J6150" s="362"/>
    </row>
    <row r="6151" spans="1:10" x14ac:dyDescent="0.25">
      <c r="A6151" s="362"/>
      <c r="B6151" s="611">
        <v>44496</v>
      </c>
      <c r="C6151" s="362" t="s">
        <v>3435</v>
      </c>
      <c r="D6151" s="562">
        <v>62791668</v>
      </c>
      <c r="E6151" s="562"/>
      <c r="F6151" s="562"/>
      <c r="G6151" s="562">
        <f t="shared" si="337"/>
        <v>62791668</v>
      </c>
      <c r="H6151" s="362"/>
      <c r="I6151" s="362"/>
      <c r="J6151" s="362"/>
    </row>
    <row r="6152" spans="1:10" x14ac:dyDescent="0.25">
      <c r="A6152" s="362"/>
      <c r="B6152" s="611">
        <v>44496</v>
      </c>
      <c r="C6152" s="370" t="s">
        <v>85</v>
      </c>
      <c r="D6152" s="562">
        <v>62760400</v>
      </c>
      <c r="E6152" s="562"/>
      <c r="F6152" s="562"/>
      <c r="G6152" s="562">
        <f t="shared" si="337"/>
        <v>62760400</v>
      </c>
      <c r="H6152" s="362"/>
      <c r="I6152" s="362"/>
      <c r="J6152" s="362"/>
    </row>
    <row r="6153" spans="1:10" x14ac:dyDescent="0.25">
      <c r="A6153" s="532"/>
      <c r="B6153" s="532"/>
      <c r="C6153" s="532"/>
      <c r="D6153" s="564">
        <f>SUM(D6138:D6152)</f>
        <v>2334569894</v>
      </c>
      <c r="E6153" s="564">
        <f t="shared" ref="E6153:G6153" si="341">SUM(E6138:E6152)</f>
        <v>593471833</v>
      </c>
      <c r="F6153" s="564">
        <f t="shared" si="341"/>
        <v>0</v>
      </c>
      <c r="G6153" s="564">
        <f t="shared" si="341"/>
        <v>2928041727</v>
      </c>
      <c r="H6153" s="532"/>
      <c r="I6153" s="532"/>
      <c r="J6153" s="532"/>
    </row>
    <row r="6154" spans="1:10" x14ac:dyDescent="0.25">
      <c r="A6154" s="362"/>
      <c r="B6154" s="611">
        <v>44497</v>
      </c>
      <c r="C6154" s="362" t="s">
        <v>86</v>
      </c>
      <c r="D6154" s="562">
        <v>130243661</v>
      </c>
      <c r="E6154" s="562">
        <v>76461300</v>
      </c>
      <c r="F6154" s="562"/>
      <c r="G6154" s="562">
        <f t="shared" si="337"/>
        <v>206704961</v>
      </c>
      <c r="H6154" s="562"/>
      <c r="I6154" s="362"/>
      <c r="J6154" s="362"/>
    </row>
    <row r="6155" spans="1:10" x14ac:dyDescent="0.25">
      <c r="A6155" s="362"/>
      <c r="B6155" s="611">
        <v>44497</v>
      </c>
      <c r="C6155" s="362" t="s">
        <v>87</v>
      </c>
      <c r="D6155" s="562">
        <v>70234850</v>
      </c>
      <c r="E6155" s="562">
        <v>159036493</v>
      </c>
      <c r="F6155" s="562"/>
      <c r="G6155" s="562">
        <f t="shared" si="337"/>
        <v>229271343</v>
      </c>
      <c r="H6155" s="562"/>
      <c r="I6155" s="362"/>
      <c r="J6155" s="362"/>
    </row>
    <row r="6156" spans="1:10" x14ac:dyDescent="0.25">
      <c r="A6156" s="362"/>
      <c r="B6156" s="611">
        <v>44497</v>
      </c>
      <c r="C6156" s="362" t="s">
        <v>88</v>
      </c>
      <c r="D6156" s="562">
        <v>226550213</v>
      </c>
      <c r="E6156" s="562">
        <v>51645182</v>
      </c>
      <c r="F6156" s="562"/>
      <c r="G6156" s="562">
        <f t="shared" ref="G6156:G6219" si="342">D6156+E6156-F6156</f>
        <v>278195395</v>
      </c>
      <c r="H6156" s="562"/>
      <c r="I6156" s="362"/>
      <c r="J6156" s="362"/>
    </row>
    <row r="6157" spans="1:10" x14ac:dyDescent="0.25">
      <c r="A6157" s="362"/>
      <c r="B6157" s="611">
        <v>44497</v>
      </c>
      <c r="C6157" s="362" t="s">
        <v>82</v>
      </c>
      <c r="D6157" s="562">
        <v>150949523</v>
      </c>
      <c r="E6157" s="562">
        <v>2082690</v>
      </c>
      <c r="F6157" s="562"/>
      <c r="G6157" s="562">
        <f t="shared" si="342"/>
        <v>153032213</v>
      </c>
      <c r="H6157" s="562"/>
      <c r="I6157" s="362"/>
      <c r="J6157" s="362"/>
    </row>
    <row r="6158" spans="1:10" x14ac:dyDescent="0.25">
      <c r="A6158" s="362"/>
      <c r="B6158" s="611">
        <v>44497</v>
      </c>
      <c r="C6158" s="362" t="s">
        <v>80</v>
      </c>
      <c r="D6158" s="562">
        <v>370891800</v>
      </c>
      <c r="E6158" s="562">
        <v>14936200</v>
      </c>
      <c r="F6158" s="562"/>
      <c r="G6158" s="562">
        <f t="shared" si="342"/>
        <v>385828000</v>
      </c>
      <c r="H6158" s="562"/>
      <c r="I6158" s="362"/>
      <c r="J6158" s="362"/>
    </row>
    <row r="6159" spans="1:10" x14ac:dyDescent="0.25">
      <c r="A6159" s="362"/>
      <c r="B6159" s="611">
        <v>44497</v>
      </c>
      <c r="C6159" s="362" t="s">
        <v>83</v>
      </c>
      <c r="D6159" s="562">
        <v>188496262</v>
      </c>
      <c r="E6159" s="562">
        <v>59025735</v>
      </c>
      <c r="F6159" s="562"/>
      <c r="G6159" s="562">
        <f t="shared" si="342"/>
        <v>247521997</v>
      </c>
      <c r="H6159" s="562"/>
      <c r="I6159" s="362"/>
      <c r="J6159" s="362"/>
    </row>
    <row r="6160" spans="1:10" x14ac:dyDescent="0.25">
      <c r="A6160" s="362"/>
      <c r="B6160" s="611">
        <v>44497</v>
      </c>
      <c r="C6160" s="362" t="s">
        <v>78</v>
      </c>
      <c r="D6160" s="562">
        <v>100963535</v>
      </c>
      <c r="E6160" s="562">
        <v>490165</v>
      </c>
      <c r="F6160" s="562"/>
      <c r="G6160" s="562">
        <f t="shared" si="342"/>
        <v>101453700</v>
      </c>
      <c r="H6160" s="562"/>
      <c r="I6160" s="362"/>
      <c r="J6160" s="362"/>
    </row>
    <row r="6161" spans="1:10" x14ac:dyDescent="0.25">
      <c r="A6161" s="362"/>
      <c r="B6161" s="611">
        <v>44497</v>
      </c>
      <c r="C6161" s="362" t="s">
        <v>141</v>
      </c>
      <c r="D6161" s="562">
        <v>90630214</v>
      </c>
      <c r="E6161" s="562">
        <v>405942</v>
      </c>
      <c r="F6161" s="562"/>
      <c r="G6161" s="562">
        <f t="shared" si="342"/>
        <v>91036156</v>
      </c>
      <c r="H6161" s="562"/>
      <c r="I6161" s="362"/>
      <c r="J6161" s="362"/>
    </row>
    <row r="6162" spans="1:10" x14ac:dyDescent="0.25">
      <c r="A6162" s="362"/>
      <c r="B6162" s="611">
        <v>44497</v>
      </c>
      <c r="C6162" s="362" t="s">
        <v>89</v>
      </c>
      <c r="D6162" s="562">
        <v>130221946</v>
      </c>
      <c r="E6162" s="562">
        <v>47003954</v>
      </c>
      <c r="F6162" s="562"/>
      <c r="G6162" s="562">
        <f t="shared" si="342"/>
        <v>177225900</v>
      </c>
      <c r="H6162" s="562"/>
      <c r="I6162" s="362"/>
      <c r="J6162" s="362"/>
    </row>
    <row r="6163" spans="1:10" x14ac:dyDescent="0.25">
      <c r="A6163" s="362"/>
      <c r="B6163" s="611">
        <v>44497</v>
      </c>
      <c r="C6163" s="362" t="s">
        <v>81</v>
      </c>
      <c r="D6163" s="562">
        <v>126331950</v>
      </c>
      <c r="E6163" s="562">
        <v>66850782</v>
      </c>
      <c r="F6163" s="562"/>
      <c r="G6163" s="562">
        <f t="shared" si="342"/>
        <v>193182732</v>
      </c>
      <c r="H6163" s="562"/>
      <c r="I6163" s="362"/>
      <c r="J6163" s="362"/>
    </row>
    <row r="6164" spans="1:10" x14ac:dyDescent="0.25">
      <c r="A6164" s="362"/>
      <c r="B6164" s="611">
        <v>44497</v>
      </c>
      <c r="C6164" s="362" t="s">
        <v>84</v>
      </c>
      <c r="D6164" s="562">
        <v>312280895</v>
      </c>
      <c r="E6164" s="562">
        <v>20697785</v>
      </c>
      <c r="F6164" s="562"/>
      <c r="G6164" s="562">
        <f t="shared" si="342"/>
        <v>332978680</v>
      </c>
      <c r="H6164" s="562"/>
      <c r="I6164" s="362"/>
      <c r="J6164" s="362"/>
    </row>
    <row r="6165" spans="1:10" x14ac:dyDescent="0.25">
      <c r="A6165" s="362"/>
      <c r="B6165" s="611">
        <v>44497</v>
      </c>
      <c r="C6165" s="362" t="s">
        <v>4751</v>
      </c>
      <c r="D6165" s="562">
        <v>228973482</v>
      </c>
      <c r="E6165" s="562">
        <v>7496418</v>
      </c>
      <c r="F6165" s="562"/>
      <c r="G6165" s="562">
        <f t="shared" si="342"/>
        <v>236469900</v>
      </c>
      <c r="H6165" s="562"/>
      <c r="I6165" s="362"/>
      <c r="J6165" s="362"/>
    </row>
    <row r="6166" spans="1:10" x14ac:dyDescent="0.25">
      <c r="A6166" s="362"/>
      <c r="B6166" s="611">
        <v>44497</v>
      </c>
      <c r="C6166" s="362" t="s">
        <v>166</v>
      </c>
      <c r="D6166" s="562">
        <v>138601817</v>
      </c>
      <c r="E6166" s="562"/>
      <c r="F6166" s="562"/>
      <c r="G6166" s="562">
        <f t="shared" si="342"/>
        <v>138601817</v>
      </c>
      <c r="H6166" s="562"/>
      <c r="I6166" s="362"/>
      <c r="J6166" s="362"/>
    </row>
    <row r="6167" spans="1:10" x14ac:dyDescent="0.25">
      <c r="A6167" s="362"/>
      <c r="B6167" s="611">
        <v>44497</v>
      </c>
      <c r="C6167" s="362" t="s">
        <v>3435</v>
      </c>
      <c r="D6167" s="562">
        <v>77205426</v>
      </c>
      <c r="E6167" s="562"/>
      <c r="F6167" s="562"/>
      <c r="G6167" s="562">
        <f t="shared" si="342"/>
        <v>77205426</v>
      </c>
      <c r="H6167" s="562"/>
      <c r="I6167" s="362"/>
      <c r="J6167" s="362"/>
    </row>
    <row r="6168" spans="1:10" x14ac:dyDescent="0.25">
      <c r="A6168" s="362"/>
      <c r="B6168" s="611">
        <v>44497</v>
      </c>
      <c r="C6168" s="370" t="s">
        <v>85</v>
      </c>
      <c r="D6168" s="562">
        <v>32098400</v>
      </c>
      <c r="E6168" s="562"/>
      <c r="F6168" s="562"/>
      <c r="G6168" s="562">
        <f t="shared" si="342"/>
        <v>32098400</v>
      </c>
      <c r="H6168" s="562"/>
      <c r="I6168" s="362"/>
      <c r="J6168" s="362"/>
    </row>
    <row r="6169" spans="1:10" x14ac:dyDescent="0.25">
      <c r="A6169" s="532"/>
      <c r="B6169" s="532"/>
      <c r="C6169" s="532"/>
      <c r="D6169" s="564">
        <f>SUM(D6154:D6168)</f>
        <v>2374673974</v>
      </c>
      <c r="E6169" s="564">
        <f t="shared" ref="E6169:G6169" si="343">SUM(E6154:E6168)</f>
        <v>506132646</v>
      </c>
      <c r="F6169" s="564">
        <f t="shared" si="343"/>
        <v>0</v>
      </c>
      <c r="G6169" s="564">
        <f t="shared" si="343"/>
        <v>2880806620</v>
      </c>
      <c r="H6169" s="564"/>
      <c r="I6169" s="532"/>
      <c r="J6169" s="532"/>
    </row>
    <row r="6170" spans="1:10" x14ac:dyDescent="0.25">
      <c r="A6170" s="362"/>
      <c r="B6170" s="611">
        <v>44498</v>
      </c>
      <c r="C6170" s="362" t="s">
        <v>86</v>
      </c>
      <c r="D6170" s="562">
        <v>98960424</v>
      </c>
      <c r="E6170" s="562">
        <v>152473900</v>
      </c>
      <c r="F6170" s="562">
        <v>251434300</v>
      </c>
      <c r="G6170" s="562">
        <f t="shared" si="342"/>
        <v>24</v>
      </c>
      <c r="H6170" s="562"/>
      <c r="I6170" s="362"/>
      <c r="J6170" s="362"/>
    </row>
    <row r="6171" spans="1:10" x14ac:dyDescent="0.25">
      <c r="A6171" s="362"/>
      <c r="B6171" s="611">
        <v>44498</v>
      </c>
      <c r="C6171" s="362" t="s">
        <v>87</v>
      </c>
      <c r="D6171" s="562">
        <v>120436909</v>
      </c>
      <c r="E6171" s="562">
        <v>95722074</v>
      </c>
      <c r="F6171" s="562">
        <v>216159000</v>
      </c>
      <c r="G6171" s="562">
        <f t="shared" si="342"/>
        <v>-17</v>
      </c>
      <c r="H6171" s="562"/>
      <c r="I6171" s="362"/>
      <c r="J6171" s="362"/>
    </row>
    <row r="6172" spans="1:10" x14ac:dyDescent="0.25">
      <c r="A6172" s="362"/>
      <c r="B6172" s="611">
        <v>44498</v>
      </c>
      <c r="C6172" s="362" t="s">
        <v>88</v>
      </c>
      <c r="D6172" s="562">
        <v>110871742</v>
      </c>
      <c r="E6172" s="562">
        <v>171679165</v>
      </c>
      <c r="F6172" s="562">
        <v>282551000</v>
      </c>
      <c r="G6172" s="562">
        <f t="shared" si="342"/>
        <v>-93</v>
      </c>
      <c r="H6172" s="562"/>
      <c r="I6172" s="362"/>
      <c r="J6172" s="362"/>
    </row>
    <row r="6173" spans="1:10" x14ac:dyDescent="0.25">
      <c r="A6173" s="362"/>
      <c r="B6173" s="611">
        <v>44498</v>
      </c>
      <c r="C6173" s="362" t="s">
        <v>82</v>
      </c>
      <c r="D6173" s="562">
        <v>141489947</v>
      </c>
      <c r="E6173" s="562">
        <v>2469033</v>
      </c>
      <c r="F6173" s="562">
        <v>143956000</v>
      </c>
      <c r="G6173" s="562">
        <f t="shared" si="342"/>
        <v>2980</v>
      </c>
      <c r="H6173" s="562"/>
      <c r="I6173" s="362"/>
      <c r="J6173" s="362"/>
    </row>
    <row r="6174" spans="1:10" x14ac:dyDescent="0.25">
      <c r="A6174" s="362"/>
      <c r="B6174" s="611">
        <v>44498</v>
      </c>
      <c r="C6174" s="362" t="s">
        <v>80</v>
      </c>
      <c r="D6174" s="562">
        <v>341850743</v>
      </c>
      <c r="E6174" s="562"/>
      <c r="F6174" s="562">
        <v>341850900</v>
      </c>
      <c r="G6174" s="562">
        <f t="shared" si="342"/>
        <v>-157</v>
      </c>
      <c r="H6174" s="562"/>
      <c r="I6174" s="362"/>
      <c r="J6174" s="362"/>
    </row>
    <row r="6175" spans="1:10" x14ac:dyDescent="0.25">
      <c r="A6175" s="362"/>
      <c r="B6175" s="611">
        <v>44498</v>
      </c>
      <c r="C6175" s="362" t="s">
        <v>83</v>
      </c>
      <c r="D6175" s="562">
        <v>187751196</v>
      </c>
      <c r="E6175" s="562">
        <v>238781103</v>
      </c>
      <c r="F6175" s="562">
        <v>426532300</v>
      </c>
      <c r="G6175" s="562">
        <f t="shared" si="342"/>
        <v>-1</v>
      </c>
      <c r="H6175" s="562"/>
      <c r="I6175" s="362"/>
      <c r="J6175" s="362"/>
    </row>
    <row r="6176" spans="1:10" x14ac:dyDescent="0.25">
      <c r="A6176" s="362"/>
      <c r="B6176" s="611">
        <v>44498</v>
      </c>
      <c r="C6176" s="362" t="s">
        <v>78</v>
      </c>
      <c r="D6176" s="562">
        <v>176210361</v>
      </c>
      <c r="E6176" s="562">
        <v>863739</v>
      </c>
      <c r="F6176" s="562">
        <v>177074100</v>
      </c>
      <c r="G6176" s="562">
        <f t="shared" si="342"/>
        <v>0</v>
      </c>
      <c r="H6176" s="562"/>
      <c r="I6176" s="362"/>
      <c r="J6176" s="362"/>
    </row>
    <row r="6177" spans="1:10" x14ac:dyDescent="0.25">
      <c r="A6177" s="362"/>
      <c r="B6177" s="611">
        <v>44498</v>
      </c>
      <c r="C6177" s="362" t="s">
        <v>141</v>
      </c>
      <c r="D6177" s="562">
        <v>123950888</v>
      </c>
      <c r="E6177" s="562">
        <v>1619352</v>
      </c>
      <c r="F6177" s="562">
        <v>125570300</v>
      </c>
      <c r="G6177" s="562">
        <f t="shared" si="342"/>
        <v>-60</v>
      </c>
      <c r="H6177" s="562"/>
      <c r="I6177" s="362"/>
      <c r="J6177" s="362"/>
    </row>
    <row r="6178" spans="1:10" x14ac:dyDescent="0.25">
      <c r="A6178" s="362"/>
      <c r="B6178" s="611">
        <v>44498</v>
      </c>
      <c r="C6178" s="362" t="s">
        <v>89</v>
      </c>
      <c r="D6178" s="562">
        <v>129644555</v>
      </c>
      <c r="E6178" s="562">
        <v>51390345</v>
      </c>
      <c r="F6178" s="562">
        <v>181034800</v>
      </c>
      <c r="G6178" s="562">
        <f t="shared" si="342"/>
        <v>100</v>
      </c>
      <c r="H6178" s="562"/>
      <c r="I6178" s="362"/>
      <c r="J6178" s="362"/>
    </row>
    <row r="6179" spans="1:10" x14ac:dyDescent="0.25">
      <c r="A6179" s="362"/>
      <c r="B6179" s="611">
        <v>44498</v>
      </c>
      <c r="C6179" s="362" t="s">
        <v>81</v>
      </c>
      <c r="D6179" s="562">
        <v>112681246</v>
      </c>
      <c r="E6179" s="562">
        <v>103727121</v>
      </c>
      <c r="F6179" s="562">
        <v>216408400</v>
      </c>
      <c r="G6179" s="562">
        <f t="shared" si="342"/>
        <v>-33</v>
      </c>
      <c r="H6179" s="562"/>
      <c r="I6179" s="362"/>
      <c r="J6179" s="362"/>
    </row>
    <row r="6180" spans="1:10" x14ac:dyDescent="0.25">
      <c r="A6180" s="362"/>
      <c r="B6180" s="611">
        <v>44498</v>
      </c>
      <c r="C6180" s="362" t="s">
        <v>84</v>
      </c>
      <c r="D6180" s="562">
        <v>304179855</v>
      </c>
      <c r="E6180" s="562">
        <v>16390269</v>
      </c>
      <c r="F6180" s="562">
        <v>320569900</v>
      </c>
      <c r="G6180" s="562">
        <f t="shared" si="342"/>
        <v>224</v>
      </c>
      <c r="H6180" s="562"/>
      <c r="I6180" s="362"/>
      <c r="J6180" s="362"/>
    </row>
    <row r="6181" spans="1:10" x14ac:dyDescent="0.25">
      <c r="A6181" s="362"/>
      <c r="B6181" s="611">
        <v>44498</v>
      </c>
      <c r="C6181" s="362" t="s">
        <v>4751</v>
      </c>
      <c r="D6181" s="562">
        <v>124389158</v>
      </c>
      <c r="E6181" s="562">
        <v>14693942</v>
      </c>
      <c r="F6181" s="562">
        <v>139083100</v>
      </c>
      <c r="G6181" s="562">
        <f t="shared" si="342"/>
        <v>0</v>
      </c>
      <c r="H6181" s="562"/>
      <c r="I6181" s="362"/>
      <c r="J6181" s="362"/>
    </row>
    <row r="6182" spans="1:10" x14ac:dyDescent="0.25">
      <c r="A6182" s="362"/>
      <c r="B6182" s="611">
        <v>44498</v>
      </c>
      <c r="C6182" s="362" t="s">
        <v>166</v>
      </c>
      <c r="D6182" s="562">
        <v>47577076</v>
      </c>
      <c r="E6182" s="562"/>
      <c r="F6182" s="562">
        <v>47577000</v>
      </c>
      <c r="G6182" s="562">
        <f t="shared" si="342"/>
        <v>76</v>
      </c>
      <c r="H6182" s="562"/>
      <c r="I6182" s="362"/>
      <c r="J6182" s="362"/>
    </row>
    <row r="6183" spans="1:10" x14ac:dyDescent="0.25">
      <c r="A6183" s="362"/>
      <c r="B6183" s="611">
        <v>44498</v>
      </c>
      <c r="C6183" s="362" t="s">
        <v>3435</v>
      </c>
      <c r="D6183" s="562">
        <v>76589239</v>
      </c>
      <c r="E6183" s="562"/>
      <c r="F6183" s="562">
        <v>76589300</v>
      </c>
      <c r="G6183" s="562">
        <f t="shared" si="342"/>
        <v>-61</v>
      </c>
      <c r="H6183" s="562"/>
      <c r="I6183" s="362"/>
      <c r="J6183" s="362"/>
    </row>
    <row r="6184" spans="1:10" x14ac:dyDescent="0.25">
      <c r="A6184" s="362"/>
      <c r="B6184" s="611">
        <v>44498</v>
      </c>
      <c r="C6184" s="370" t="s">
        <v>85</v>
      </c>
      <c r="D6184" s="562">
        <v>30678400</v>
      </c>
      <c r="E6184" s="562"/>
      <c r="F6184" s="562">
        <v>30678400</v>
      </c>
      <c r="G6184" s="562">
        <f t="shared" si="342"/>
        <v>0</v>
      </c>
      <c r="H6184" s="562"/>
      <c r="I6184" s="362"/>
      <c r="J6184" s="362"/>
    </row>
    <row r="6185" spans="1:10" x14ac:dyDescent="0.25">
      <c r="A6185" s="532"/>
      <c r="B6185" s="532"/>
      <c r="C6185" s="532"/>
      <c r="D6185" s="564">
        <f>SUM(D6170:D6184)</f>
        <v>2127261739</v>
      </c>
      <c r="E6185" s="564">
        <f t="shared" ref="E6185:F6185" si="344">SUM(E6170:E6184)</f>
        <v>849810043</v>
      </c>
      <c r="F6185" s="564">
        <f t="shared" si="344"/>
        <v>2977068800</v>
      </c>
      <c r="G6185" s="564">
        <f>SUM(G6170:G6184)</f>
        <v>2982</v>
      </c>
      <c r="H6185" s="564"/>
      <c r="I6185" s="532"/>
      <c r="J6185" s="532"/>
    </row>
    <row r="6186" spans="1:10" x14ac:dyDescent="0.25">
      <c r="A6186" s="362"/>
      <c r="B6186" s="611">
        <v>44499</v>
      </c>
      <c r="C6186" s="362" t="s">
        <v>86</v>
      </c>
      <c r="D6186" s="562">
        <v>47768557</v>
      </c>
      <c r="E6186" s="562">
        <v>52829200</v>
      </c>
      <c r="F6186" s="562">
        <v>100597800</v>
      </c>
      <c r="G6186" s="562">
        <f t="shared" si="342"/>
        <v>-43</v>
      </c>
      <c r="H6186" s="562"/>
      <c r="I6186" s="362"/>
      <c r="J6186" s="362"/>
    </row>
    <row r="6187" spans="1:10" x14ac:dyDescent="0.25">
      <c r="A6187" s="362"/>
      <c r="B6187" s="611">
        <v>44499</v>
      </c>
      <c r="C6187" s="362" t="s">
        <v>87</v>
      </c>
      <c r="D6187" s="562">
        <v>113199547</v>
      </c>
      <c r="E6187" s="562">
        <v>135438107</v>
      </c>
      <c r="F6187" s="562">
        <v>248637700</v>
      </c>
      <c r="G6187" s="562">
        <f t="shared" si="342"/>
        <v>-46</v>
      </c>
      <c r="H6187" s="362"/>
      <c r="I6187" s="362"/>
      <c r="J6187" s="362"/>
    </row>
    <row r="6188" spans="1:10" x14ac:dyDescent="0.25">
      <c r="A6188" s="362"/>
      <c r="B6188" s="611">
        <v>44499</v>
      </c>
      <c r="C6188" s="362" t="s">
        <v>88</v>
      </c>
      <c r="D6188" s="562">
        <v>102929552</v>
      </c>
      <c r="E6188" s="562">
        <v>10574177</v>
      </c>
      <c r="F6188" s="562">
        <v>113503800</v>
      </c>
      <c r="G6188" s="562">
        <f t="shared" si="342"/>
        <v>-71</v>
      </c>
      <c r="H6188" s="362"/>
      <c r="I6188" s="362"/>
      <c r="J6188" s="362"/>
    </row>
    <row r="6189" spans="1:10" x14ac:dyDescent="0.25">
      <c r="A6189" s="362"/>
      <c r="B6189" s="611">
        <v>44499</v>
      </c>
      <c r="C6189" s="362" t="s">
        <v>82</v>
      </c>
      <c r="D6189" s="562">
        <v>46578570</v>
      </c>
      <c r="E6189" s="562">
        <v>66269145</v>
      </c>
      <c r="F6189" s="562">
        <v>112847800</v>
      </c>
      <c r="G6189" s="562">
        <f t="shared" si="342"/>
        <v>-85</v>
      </c>
      <c r="H6189" s="362"/>
      <c r="I6189" s="362"/>
      <c r="J6189" s="362"/>
    </row>
    <row r="6190" spans="1:10" x14ac:dyDescent="0.25">
      <c r="A6190" s="362"/>
      <c r="B6190" s="611">
        <v>44499</v>
      </c>
      <c r="C6190" s="362" t="s">
        <v>80</v>
      </c>
      <c r="D6190" s="562">
        <v>324490800</v>
      </c>
      <c r="E6190" s="562"/>
      <c r="F6190" s="562">
        <v>324490800</v>
      </c>
      <c r="G6190" s="562">
        <f t="shared" si="342"/>
        <v>0</v>
      </c>
      <c r="H6190" s="362"/>
      <c r="I6190" s="362"/>
      <c r="J6190" s="362"/>
    </row>
    <row r="6191" spans="1:10" x14ac:dyDescent="0.25">
      <c r="A6191" s="362"/>
      <c r="B6191" s="611">
        <v>44499</v>
      </c>
      <c r="C6191" s="362" t="s">
        <v>83</v>
      </c>
      <c r="D6191" s="562">
        <v>165398705</v>
      </c>
      <c r="E6191" s="562">
        <v>207467695</v>
      </c>
      <c r="F6191" s="562">
        <v>372866400</v>
      </c>
      <c r="G6191" s="562">
        <f t="shared" si="342"/>
        <v>0</v>
      </c>
      <c r="H6191" s="362"/>
      <c r="I6191" s="362"/>
      <c r="J6191" s="362"/>
    </row>
    <row r="6192" spans="1:10" x14ac:dyDescent="0.25">
      <c r="A6192" s="362"/>
      <c r="B6192" s="611">
        <v>44499</v>
      </c>
      <c r="C6192" s="362" t="s">
        <v>78</v>
      </c>
      <c r="D6192" s="562">
        <v>171920731</v>
      </c>
      <c r="E6192" s="562">
        <v>4322969</v>
      </c>
      <c r="F6192" s="562">
        <v>176243700</v>
      </c>
      <c r="G6192" s="562">
        <f t="shared" si="342"/>
        <v>0</v>
      </c>
      <c r="H6192" s="362"/>
      <c r="I6192" s="362"/>
      <c r="J6192" s="362"/>
    </row>
    <row r="6193" spans="1:10" x14ac:dyDescent="0.25">
      <c r="A6193" s="362"/>
      <c r="B6193" s="611">
        <v>44499</v>
      </c>
      <c r="C6193" s="362" t="s">
        <v>141</v>
      </c>
      <c r="D6193" s="562">
        <v>59483454</v>
      </c>
      <c r="E6193" s="562">
        <v>744070</v>
      </c>
      <c r="F6193" s="562">
        <v>60227600</v>
      </c>
      <c r="G6193" s="562">
        <f t="shared" si="342"/>
        <v>-76</v>
      </c>
      <c r="H6193" s="362"/>
      <c r="I6193" s="362"/>
      <c r="J6193" s="362"/>
    </row>
    <row r="6194" spans="1:10" x14ac:dyDescent="0.25">
      <c r="A6194" s="362"/>
      <c r="B6194" s="611">
        <v>44499</v>
      </c>
      <c r="C6194" s="362" t="s">
        <v>89</v>
      </c>
      <c r="D6194" s="562">
        <v>74678361</v>
      </c>
      <c r="E6194" s="562">
        <v>47359739</v>
      </c>
      <c r="F6194" s="562">
        <v>122038200</v>
      </c>
      <c r="G6194" s="562">
        <f t="shared" si="342"/>
        <v>-100</v>
      </c>
      <c r="H6194" s="362"/>
      <c r="I6194" s="362"/>
      <c r="J6194" s="362"/>
    </row>
    <row r="6195" spans="1:10" x14ac:dyDescent="0.25">
      <c r="A6195" s="362"/>
      <c r="B6195" s="611">
        <v>44499</v>
      </c>
      <c r="C6195" s="362" t="s">
        <v>81</v>
      </c>
      <c r="D6195" s="562">
        <v>114168525</v>
      </c>
      <c r="E6195" s="562">
        <v>15405579</v>
      </c>
      <c r="F6195" s="562">
        <f>48894300+80681700</f>
        <v>129576000</v>
      </c>
      <c r="G6195" s="562">
        <f t="shared" si="342"/>
        <v>-1896</v>
      </c>
      <c r="H6195" s="362"/>
      <c r="I6195" s="362"/>
      <c r="J6195" s="362"/>
    </row>
    <row r="6196" spans="1:10" x14ac:dyDescent="0.25">
      <c r="A6196" s="362"/>
      <c r="B6196" s="611">
        <v>44499</v>
      </c>
      <c r="C6196" s="362" t="s">
        <v>84</v>
      </c>
      <c r="D6196" s="562">
        <v>150224006</v>
      </c>
      <c r="E6196" s="562">
        <v>15779385</v>
      </c>
      <c r="F6196" s="562">
        <v>166003400</v>
      </c>
      <c r="G6196" s="562">
        <f t="shared" si="342"/>
        <v>-9</v>
      </c>
      <c r="H6196" s="362"/>
      <c r="I6196" s="362"/>
      <c r="J6196" s="362"/>
    </row>
    <row r="6197" spans="1:10" x14ac:dyDescent="0.25">
      <c r="A6197" s="362"/>
      <c r="B6197" s="611">
        <v>44499</v>
      </c>
      <c r="C6197" s="362" t="s">
        <v>4751</v>
      </c>
      <c r="D6197" s="562">
        <v>134925045</v>
      </c>
      <c r="E6197" s="562">
        <v>7134455</v>
      </c>
      <c r="F6197" s="562">
        <v>142059500</v>
      </c>
      <c r="G6197" s="562">
        <f t="shared" si="342"/>
        <v>0</v>
      </c>
      <c r="H6197" s="362"/>
      <c r="I6197" s="362"/>
      <c r="J6197" s="362"/>
    </row>
    <row r="6198" spans="1:10" x14ac:dyDescent="0.25">
      <c r="A6198" s="362"/>
      <c r="B6198" s="611">
        <v>44499</v>
      </c>
      <c r="C6198" s="362" t="s">
        <v>166</v>
      </c>
      <c r="D6198" s="562"/>
      <c r="E6198" s="562"/>
      <c r="F6198" s="562"/>
      <c r="G6198" s="562">
        <f t="shared" si="342"/>
        <v>0</v>
      </c>
      <c r="H6198" s="362"/>
      <c r="I6198" s="362"/>
      <c r="J6198" s="362"/>
    </row>
    <row r="6199" spans="1:10" x14ac:dyDescent="0.25">
      <c r="A6199" s="362"/>
      <c r="B6199" s="611">
        <v>44499</v>
      </c>
      <c r="C6199" s="362" t="s">
        <v>3435</v>
      </c>
      <c r="D6199" s="562"/>
      <c r="E6199" s="562"/>
      <c r="F6199" s="562"/>
      <c r="G6199" s="562">
        <f t="shared" si="342"/>
        <v>0</v>
      </c>
      <c r="H6199" s="362"/>
      <c r="I6199" s="362"/>
      <c r="J6199" s="362"/>
    </row>
    <row r="6200" spans="1:10" x14ac:dyDescent="0.25">
      <c r="A6200" s="362"/>
      <c r="B6200" s="611">
        <v>44499</v>
      </c>
      <c r="C6200" s="370" t="s">
        <v>85</v>
      </c>
      <c r="D6200" s="562">
        <v>42287500</v>
      </c>
      <c r="E6200" s="562"/>
      <c r="F6200" s="562">
        <v>42287500</v>
      </c>
      <c r="G6200" s="562">
        <f t="shared" si="342"/>
        <v>0</v>
      </c>
      <c r="H6200" s="362"/>
      <c r="I6200" s="362"/>
      <c r="J6200" s="362"/>
    </row>
    <row r="6201" spans="1:10" x14ac:dyDescent="0.25">
      <c r="A6201" s="532"/>
      <c r="B6201" s="532"/>
      <c r="C6201" s="532"/>
      <c r="D6201" s="564">
        <f>SUM(D6186:D6200)</f>
        <v>1548053353</v>
      </c>
      <c r="E6201" s="564">
        <f t="shared" ref="E6201:G6201" si="345">SUM(E6186:E6200)</f>
        <v>563324521</v>
      </c>
      <c r="F6201" s="564">
        <f t="shared" si="345"/>
        <v>2111380200</v>
      </c>
      <c r="G6201" s="564">
        <f t="shared" si="345"/>
        <v>-2326</v>
      </c>
      <c r="H6201" s="532"/>
      <c r="I6201" s="532"/>
      <c r="J6201" s="532"/>
    </row>
    <row r="6202" spans="1:10" x14ac:dyDescent="0.25">
      <c r="A6202" s="362"/>
      <c r="B6202" s="611">
        <v>44501</v>
      </c>
      <c r="C6202" s="362" t="s">
        <v>86</v>
      </c>
      <c r="D6202" s="562">
        <v>27003436</v>
      </c>
      <c r="E6202" s="562">
        <v>36696284</v>
      </c>
      <c r="F6202" s="562">
        <v>63699800</v>
      </c>
      <c r="G6202" s="562">
        <f t="shared" si="342"/>
        <v>-80</v>
      </c>
      <c r="H6202" s="362"/>
      <c r="I6202" s="362"/>
      <c r="J6202" s="362"/>
    </row>
    <row r="6203" spans="1:10" x14ac:dyDescent="0.25">
      <c r="A6203" s="362"/>
      <c r="B6203" s="611">
        <v>44501</v>
      </c>
      <c r="C6203" s="362" t="s">
        <v>87</v>
      </c>
      <c r="D6203" s="562">
        <v>103455309</v>
      </c>
      <c r="E6203" s="562">
        <v>31346399</v>
      </c>
      <c r="F6203" s="562">
        <v>134801800</v>
      </c>
      <c r="G6203" s="562">
        <f t="shared" si="342"/>
        <v>-92</v>
      </c>
      <c r="H6203" s="362"/>
      <c r="I6203" s="362"/>
      <c r="J6203" s="362"/>
    </row>
    <row r="6204" spans="1:10" x14ac:dyDescent="0.25">
      <c r="A6204" s="362"/>
      <c r="B6204" s="611">
        <v>44501</v>
      </c>
      <c r="C6204" s="362" t="s">
        <v>88</v>
      </c>
      <c r="D6204" s="562">
        <v>172506034</v>
      </c>
      <c r="E6204" s="562">
        <v>28157005</v>
      </c>
      <c r="F6204" s="562">
        <v>200663100</v>
      </c>
      <c r="G6204" s="562">
        <f t="shared" si="342"/>
        <v>-61</v>
      </c>
      <c r="H6204" s="362"/>
      <c r="I6204" s="362"/>
      <c r="J6204" s="362"/>
    </row>
    <row r="6205" spans="1:10" x14ac:dyDescent="0.25">
      <c r="A6205" s="362"/>
      <c r="B6205" s="611">
        <v>44501</v>
      </c>
      <c r="C6205" s="362" t="s">
        <v>82</v>
      </c>
      <c r="D6205" s="562">
        <v>59728813</v>
      </c>
      <c r="E6205" s="562">
        <v>6777170</v>
      </c>
      <c r="F6205" s="562">
        <v>66506000</v>
      </c>
      <c r="G6205" s="562">
        <f t="shared" si="342"/>
        <v>-17</v>
      </c>
      <c r="H6205" s="362"/>
      <c r="I6205" s="362"/>
      <c r="J6205" s="362"/>
    </row>
    <row r="6206" spans="1:10" x14ac:dyDescent="0.25">
      <c r="A6206" s="362"/>
      <c r="B6206" s="611">
        <v>44501</v>
      </c>
      <c r="C6206" s="362" t="s">
        <v>80</v>
      </c>
      <c r="D6206" s="562">
        <v>198521616</v>
      </c>
      <c r="E6206" s="562">
        <v>114701460</v>
      </c>
      <c r="F6206" s="562">
        <v>313221900</v>
      </c>
      <c r="G6206" s="562">
        <f t="shared" si="342"/>
        <v>1176</v>
      </c>
      <c r="H6206" s="362"/>
      <c r="I6206" s="362"/>
      <c r="J6206" s="362"/>
    </row>
    <row r="6207" spans="1:10" x14ac:dyDescent="0.25">
      <c r="A6207" s="362"/>
      <c r="B6207" s="611">
        <v>44501</v>
      </c>
      <c r="C6207" s="362" t="s">
        <v>83</v>
      </c>
      <c r="D6207" s="562">
        <v>170616501</v>
      </c>
      <c r="E6207" s="562">
        <v>9754700</v>
      </c>
      <c r="F6207" s="562">
        <v>180371200</v>
      </c>
      <c r="G6207" s="562">
        <f t="shared" si="342"/>
        <v>1</v>
      </c>
      <c r="H6207" s="362"/>
      <c r="I6207" s="362"/>
      <c r="J6207" s="362"/>
    </row>
    <row r="6208" spans="1:10" x14ac:dyDescent="0.25">
      <c r="A6208" s="362"/>
      <c r="B6208" s="611">
        <v>44501</v>
      </c>
      <c r="C6208" s="362" t="s">
        <v>78</v>
      </c>
      <c r="D6208" s="562">
        <v>81304885</v>
      </c>
      <c r="E6208" s="562">
        <v>851215</v>
      </c>
      <c r="F6208" s="562">
        <v>82156100</v>
      </c>
      <c r="G6208" s="562">
        <f t="shared" si="342"/>
        <v>0</v>
      </c>
      <c r="H6208" s="362"/>
      <c r="I6208" s="362"/>
      <c r="J6208" s="362"/>
    </row>
    <row r="6209" spans="1:10" x14ac:dyDescent="0.25">
      <c r="A6209" s="362"/>
      <c r="B6209" s="611">
        <v>44501</v>
      </c>
      <c r="C6209" s="362" t="s">
        <v>141</v>
      </c>
      <c r="D6209" s="562">
        <v>56332407</v>
      </c>
      <c r="E6209" s="562">
        <v>1496686</v>
      </c>
      <c r="F6209" s="562">
        <v>57829100</v>
      </c>
      <c r="G6209" s="562">
        <f t="shared" si="342"/>
        <v>-7</v>
      </c>
      <c r="H6209" s="362"/>
      <c r="I6209" s="362"/>
      <c r="J6209" s="362"/>
    </row>
    <row r="6210" spans="1:10" x14ac:dyDescent="0.25">
      <c r="A6210" s="362"/>
      <c r="B6210" s="611">
        <v>44501</v>
      </c>
      <c r="C6210" s="362" t="s">
        <v>89</v>
      </c>
      <c r="D6210" s="562">
        <v>138124852</v>
      </c>
      <c r="E6210" s="562">
        <v>101806248</v>
      </c>
      <c r="F6210" s="562">
        <v>239931100</v>
      </c>
      <c r="G6210" s="562">
        <f t="shared" si="342"/>
        <v>0</v>
      </c>
      <c r="H6210" s="362"/>
      <c r="I6210" s="362"/>
      <c r="J6210" s="362"/>
    </row>
    <row r="6211" spans="1:10" x14ac:dyDescent="0.25">
      <c r="A6211" s="362"/>
      <c r="B6211" s="611">
        <v>44501</v>
      </c>
      <c r="C6211" s="362" t="s">
        <v>81</v>
      </c>
      <c r="D6211" s="562">
        <v>88584197</v>
      </c>
      <c r="E6211" s="562">
        <v>16330803</v>
      </c>
      <c r="F6211" s="562">
        <v>104915000</v>
      </c>
      <c r="G6211" s="562">
        <f t="shared" si="342"/>
        <v>0</v>
      </c>
      <c r="H6211" s="362"/>
      <c r="I6211" s="362"/>
      <c r="J6211" s="362"/>
    </row>
    <row r="6212" spans="1:10" x14ac:dyDescent="0.25">
      <c r="A6212" s="362"/>
      <c r="B6212" s="611">
        <v>44501</v>
      </c>
      <c r="C6212" s="362" t="s">
        <v>84</v>
      </c>
      <c r="D6212" s="562">
        <v>258295545</v>
      </c>
      <c r="E6212" s="562">
        <v>9544381</v>
      </c>
      <c r="F6212" s="562">
        <v>267840000</v>
      </c>
      <c r="G6212" s="562">
        <f t="shared" si="342"/>
        <v>-74</v>
      </c>
      <c r="H6212" s="362"/>
      <c r="I6212" s="362"/>
      <c r="J6212" s="362"/>
    </row>
    <row r="6213" spans="1:10" x14ac:dyDescent="0.25">
      <c r="A6213" s="362"/>
      <c r="B6213" s="611">
        <v>44501</v>
      </c>
      <c r="C6213" s="362" t="s">
        <v>4751</v>
      </c>
      <c r="D6213" s="562">
        <v>148094849</v>
      </c>
      <c r="E6213" s="562">
        <v>12622251</v>
      </c>
      <c r="F6213" s="562">
        <v>160717100</v>
      </c>
      <c r="G6213" s="562">
        <f t="shared" si="342"/>
        <v>0</v>
      </c>
      <c r="H6213" s="362"/>
      <c r="I6213" s="362"/>
      <c r="J6213" s="362"/>
    </row>
    <row r="6214" spans="1:10" x14ac:dyDescent="0.25">
      <c r="A6214" s="362"/>
      <c r="B6214" s="611">
        <v>44501</v>
      </c>
      <c r="C6214" s="362" t="s">
        <v>166</v>
      </c>
      <c r="D6214" s="562">
        <v>61882103</v>
      </c>
      <c r="E6214" s="562"/>
      <c r="F6214" s="562">
        <v>61882500</v>
      </c>
      <c r="G6214" s="562">
        <f t="shared" si="342"/>
        <v>-397</v>
      </c>
      <c r="H6214" s="362"/>
      <c r="I6214" s="362"/>
      <c r="J6214" s="362"/>
    </row>
    <row r="6215" spans="1:10" x14ac:dyDescent="0.25">
      <c r="A6215" s="362"/>
      <c r="B6215" s="611">
        <v>44501</v>
      </c>
      <c r="C6215" s="362" t="s">
        <v>3435</v>
      </c>
      <c r="D6215" s="562">
        <v>30243372</v>
      </c>
      <c r="E6215" s="562"/>
      <c r="F6215" s="562">
        <v>30243400</v>
      </c>
      <c r="G6215" s="562">
        <f t="shared" si="342"/>
        <v>-28</v>
      </c>
      <c r="H6215" s="362"/>
      <c r="I6215" s="362"/>
      <c r="J6215" s="362"/>
    </row>
    <row r="6216" spans="1:10" x14ac:dyDescent="0.25">
      <c r="A6216" s="362"/>
      <c r="B6216" s="611">
        <v>44501</v>
      </c>
      <c r="C6216" s="370" t="s">
        <v>85</v>
      </c>
      <c r="D6216" s="562">
        <v>66568300</v>
      </c>
      <c r="E6216" s="562"/>
      <c r="F6216" s="562">
        <v>66517700</v>
      </c>
      <c r="G6216" s="562">
        <f t="shared" si="342"/>
        <v>50600</v>
      </c>
      <c r="H6216" s="362"/>
      <c r="I6216" s="362"/>
      <c r="J6216" s="362"/>
    </row>
    <row r="6217" spans="1:10" x14ac:dyDescent="0.25">
      <c r="A6217" s="532"/>
      <c r="B6217" s="532"/>
      <c r="C6217" s="532"/>
      <c r="D6217" s="564">
        <f>SUM(D6202:D6216)</f>
        <v>1661262219</v>
      </c>
      <c r="E6217" s="564">
        <f t="shared" ref="E6217:G6217" si="346">SUM(E6202:E6216)</f>
        <v>370084602</v>
      </c>
      <c r="F6217" s="564">
        <f t="shared" si="346"/>
        <v>2031295800</v>
      </c>
      <c r="G6217" s="564">
        <f t="shared" si="346"/>
        <v>51021</v>
      </c>
      <c r="H6217" s="532"/>
      <c r="I6217" s="532"/>
      <c r="J6217" s="532"/>
    </row>
    <row r="6218" spans="1:10" x14ac:dyDescent="0.25">
      <c r="A6218" s="362"/>
      <c r="B6218" s="611">
        <v>44502</v>
      </c>
      <c r="C6218" s="362" t="s">
        <v>86</v>
      </c>
      <c r="D6218" s="562">
        <v>139768297</v>
      </c>
      <c r="E6218" s="562">
        <v>15115660</v>
      </c>
      <c r="F6218" s="562"/>
      <c r="G6218" s="562">
        <f t="shared" si="342"/>
        <v>154883957</v>
      </c>
      <c r="H6218" s="362"/>
      <c r="I6218" s="362"/>
      <c r="J6218" s="362"/>
    </row>
    <row r="6219" spans="1:10" x14ac:dyDescent="0.25">
      <c r="A6219" s="362"/>
      <c r="B6219" s="611">
        <v>44502</v>
      </c>
      <c r="C6219" s="362" t="s">
        <v>87</v>
      </c>
      <c r="D6219" s="562">
        <v>76389462</v>
      </c>
      <c r="E6219" s="562">
        <v>28169532</v>
      </c>
      <c r="F6219" s="562"/>
      <c r="G6219" s="562">
        <f t="shared" si="342"/>
        <v>104558994</v>
      </c>
      <c r="H6219" s="362"/>
      <c r="I6219" s="362"/>
      <c r="J6219" s="362"/>
    </row>
    <row r="6220" spans="1:10" x14ac:dyDescent="0.25">
      <c r="A6220" s="362"/>
      <c r="B6220" s="611">
        <v>44502</v>
      </c>
      <c r="C6220" s="362" t="s">
        <v>88</v>
      </c>
      <c r="D6220" s="562">
        <v>237210889</v>
      </c>
      <c r="E6220" s="562">
        <v>34874732</v>
      </c>
      <c r="F6220" s="562"/>
      <c r="G6220" s="562">
        <f t="shared" ref="G6220:G6283" si="347">D6220+E6220-F6220</f>
        <v>272085621</v>
      </c>
      <c r="H6220" s="362"/>
      <c r="I6220" s="362"/>
      <c r="J6220" s="362"/>
    </row>
    <row r="6221" spans="1:10" x14ac:dyDescent="0.25">
      <c r="A6221" s="362"/>
      <c r="B6221" s="611">
        <v>44502</v>
      </c>
      <c r="C6221" s="362" t="s">
        <v>82</v>
      </c>
      <c r="D6221" s="562">
        <v>91221457</v>
      </c>
      <c r="E6221" s="562">
        <v>2142320</v>
      </c>
      <c r="F6221" s="562"/>
      <c r="G6221" s="562">
        <f t="shared" si="347"/>
        <v>93363777</v>
      </c>
      <c r="H6221" s="362"/>
      <c r="I6221" s="362"/>
      <c r="J6221" s="362"/>
    </row>
    <row r="6222" spans="1:10" x14ac:dyDescent="0.25">
      <c r="A6222" s="362"/>
      <c r="B6222" s="611">
        <v>44502</v>
      </c>
      <c r="C6222" s="362" t="s">
        <v>80</v>
      </c>
      <c r="D6222" s="562">
        <v>239733411</v>
      </c>
      <c r="E6222" s="562">
        <v>47422180</v>
      </c>
      <c r="F6222" s="562"/>
      <c r="G6222" s="562">
        <f t="shared" si="347"/>
        <v>287155591</v>
      </c>
      <c r="H6222" s="362"/>
      <c r="I6222" s="362"/>
      <c r="J6222" s="362"/>
    </row>
    <row r="6223" spans="1:10" x14ac:dyDescent="0.25">
      <c r="A6223" s="362"/>
      <c r="B6223" s="611">
        <v>44502</v>
      </c>
      <c r="C6223" s="362" t="s">
        <v>83</v>
      </c>
      <c r="D6223" s="562">
        <v>170728418</v>
      </c>
      <c r="E6223" s="562">
        <v>10172978</v>
      </c>
      <c r="F6223" s="562"/>
      <c r="G6223" s="562">
        <f t="shared" si="347"/>
        <v>180901396</v>
      </c>
      <c r="H6223" s="362"/>
      <c r="I6223" s="362"/>
      <c r="J6223" s="362"/>
    </row>
    <row r="6224" spans="1:10" x14ac:dyDescent="0.25">
      <c r="A6224" s="362"/>
      <c r="B6224" s="611">
        <v>44502</v>
      </c>
      <c r="C6224" s="362" t="s">
        <v>78</v>
      </c>
      <c r="D6224" s="562">
        <v>121075103</v>
      </c>
      <c r="E6224" s="562">
        <v>2617397</v>
      </c>
      <c r="F6224" s="562"/>
      <c r="G6224" s="562">
        <f t="shared" si="347"/>
        <v>123692500</v>
      </c>
      <c r="H6224" s="362"/>
      <c r="I6224" s="362"/>
      <c r="J6224" s="362"/>
    </row>
    <row r="6225" spans="1:10" x14ac:dyDescent="0.25">
      <c r="A6225" s="362"/>
      <c r="B6225" s="611">
        <v>44502</v>
      </c>
      <c r="C6225" s="362" t="s">
        <v>141</v>
      </c>
      <c r="D6225" s="562">
        <v>125682997</v>
      </c>
      <c r="E6225" s="562">
        <v>1179984</v>
      </c>
      <c r="F6225" s="562"/>
      <c r="G6225" s="562">
        <f t="shared" si="347"/>
        <v>126862981</v>
      </c>
      <c r="H6225" s="362"/>
      <c r="I6225" s="362"/>
      <c r="J6225" s="362"/>
    </row>
    <row r="6226" spans="1:10" x14ac:dyDescent="0.25">
      <c r="A6226" s="362"/>
      <c r="B6226" s="611">
        <v>44502</v>
      </c>
      <c r="C6226" s="362" t="s">
        <v>89</v>
      </c>
      <c r="D6226" s="562">
        <v>161720779</v>
      </c>
      <c r="E6226" s="562">
        <v>31223221</v>
      </c>
      <c r="F6226" s="562"/>
      <c r="G6226" s="562">
        <f t="shared" si="347"/>
        <v>192944000</v>
      </c>
      <c r="H6226" s="362"/>
      <c r="I6226" s="362"/>
      <c r="J6226" s="362"/>
    </row>
    <row r="6227" spans="1:10" x14ac:dyDescent="0.25">
      <c r="A6227" s="362"/>
      <c r="B6227" s="611">
        <v>44502</v>
      </c>
      <c r="C6227" s="362" t="s">
        <v>81</v>
      </c>
      <c r="D6227" s="562">
        <v>115948191</v>
      </c>
      <c r="E6227" s="562">
        <v>11630444</v>
      </c>
      <c r="F6227" s="562"/>
      <c r="G6227" s="562">
        <f t="shared" si="347"/>
        <v>127578635</v>
      </c>
      <c r="H6227" s="362"/>
      <c r="I6227" s="362"/>
      <c r="J6227" s="362"/>
    </row>
    <row r="6228" spans="1:10" x14ac:dyDescent="0.25">
      <c r="A6228" s="362"/>
      <c r="B6228" s="611">
        <v>44502</v>
      </c>
      <c r="C6228" s="362" t="s">
        <v>84</v>
      </c>
      <c r="D6228" s="562">
        <v>287238225</v>
      </c>
      <c r="E6228" s="562">
        <v>18290081</v>
      </c>
      <c r="F6228" s="562"/>
      <c r="G6228" s="562">
        <f t="shared" si="347"/>
        <v>305528306</v>
      </c>
      <c r="H6228" s="362"/>
      <c r="I6228" s="362"/>
      <c r="J6228" s="362"/>
    </row>
    <row r="6229" spans="1:10" x14ac:dyDescent="0.25">
      <c r="A6229" s="362"/>
      <c r="B6229" s="611">
        <v>44502</v>
      </c>
      <c r="C6229" s="362" t="s">
        <v>4751</v>
      </c>
      <c r="D6229" s="562">
        <v>167446820</v>
      </c>
      <c r="E6229" s="562">
        <v>7487180</v>
      </c>
      <c r="F6229" s="562"/>
      <c r="G6229" s="562">
        <f t="shared" si="347"/>
        <v>174934000</v>
      </c>
      <c r="H6229" s="362"/>
      <c r="I6229" s="362"/>
      <c r="J6229" s="362"/>
    </row>
    <row r="6230" spans="1:10" x14ac:dyDescent="0.25">
      <c r="A6230" s="362"/>
      <c r="B6230" s="611">
        <v>44502</v>
      </c>
      <c r="C6230" s="362" t="s">
        <v>166</v>
      </c>
      <c r="D6230" s="562">
        <v>72257570</v>
      </c>
      <c r="E6230" s="562"/>
      <c r="F6230" s="562"/>
      <c r="G6230" s="562">
        <f t="shared" si="347"/>
        <v>72257570</v>
      </c>
      <c r="H6230" s="362"/>
      <c r="I6230" s="362"/>
      <c r="J6230" s="362"/>
    </row>
    <row r="6231" spans="1:10" x14ac:dyDescent="0.25">
      <c r="A6231" s="362"/>
      <c r="B6231" s="611">
        <v>44502</v>
      </c>
      <c r="C6231" s="362" t="s">
        <v>3435</v>
      </c>
      <c r="D6231" s="562">
        <v>91583589</v>
      </c>
      <c r="E6231" s="562"/>
      <c r="F6231" s="562"/>
      <c r="G6231" s="562">
        <f t="shared" si="347"/>
        <v>91583589</v>
      </c>
      <c r="H6231" s="362"/>
      <c r="I6231" s="362"/>
      <c r="J6231" s="362"/>
    </row>
    <row r="6232" spans="1:10" x14ac:dyDescent="0.25">
      <c r="A6232" s="362"/>
      <c r="B6232" s="611">
        <v>44502</v>
      </c>
      <c r="C6232" s="370" t="s">
        <v>85</v>
      </c>
      <c r="D6232" s="562">
        <v>43538200</v>
      </c>
      <c r="E6232" s="562"/>
      <c r="F6232" s="562"/>
      <c r="G6232" s="562">
        <f t="shared" si="347"/>
        <v>43538200</v>
      </c>
      <c r="H6232" s="362"/>
      <c r="I6232" s="362"/>
      <c r="J6232" s="362"/>
    </row>
    <row r="6233" spans="1:10" x14ac:dyDescent="0.25">
      <c r="A6233" s="532"/>
      <c r="B6233" s="532"/>
      <c r="C6233" s="532"/>
      <c r="D6233" s="564">
        <f>SUM(D6218:D6232)</f>
        <v>2141543408</v>
      </c>
      <c r="E6233" s="564">
        <f t="shared" ref="E6233:G6233" si="348">SUM(E6218:E6232)</f>
        <v>210325709</v>
      </c>
      <c r="F6233" s="564">
        <f t="shared" si="348"/>
        <v>0</v>
      </c>
      <c r="G6233" s="564">
        <f t="shared" si="348"/>
        <v>2351869117</v>
      </c>
      <c r="H6233" s="532"/>
      <c r="I6233" s="532"/>
      <c r="J6233" s="532"/>
    </row>
    <row r="6234" spans="1:10" x14ac:dyDescent="0.25">
      <c r="A6234" s="362"/>
      <c r="B6234" s="611">
        <v>44503</v>
      </c>
      <c r="C6234" s="362" t="s">
        <v>86</v>
      </c>
      <c r="D6234" s="562">
        <v>85819005</v>
      </c>
      <c r="E6234" s="562">
        <v>105468668</v>
      </c>
      <c r="F6234" s="562"/>
      <c r="G6234" s="562">
        <f t="shared" si="347"/>
        <v>191287673</v>
      </c>
      <c r="H6234" s="362"/>
      <c r="I6234" s="362"/>
      <c r="J6234" s="362"/>
    </row>
    <row r="6235" spans="1:10" x14ac:dyDescent="0.25">
      <c r="A6235" s="362"/>
      <c r="B6235" s="611">
        <v>44503</v>
      </c>
      <c r="C6235" s="362" t="s">
        <v>87</v>
      </c>
      <c r="D6235" s="562">
        <v>134454875</v>
      </c>
      <c r="E6235" s="562">
        <v>105310808</v>
      </c>
      <c r="F6235" s="562"/>
      <c r="G6235" s="562">
        <f t="shared" si="347"/>
        <v>239765683</v>
      </c>
      <c r="H6235" s="362"/>
      <c r="I6235" s="362"/>
      <c r="J6235" s="362"/>
    </row>
    <row r="6236" spans="1:10" x14ac:dyDescent="0.25">
      <c r="A6236" s="362"/>
      <c r="B6236" s="611">
        <v>44503</v>
      </c>
      <c r="C6236" s="362" t="s">
        <v>88</v>
      </c>
      <c r="D6236" s="562">
        <v>144172459</v>
      </c>
      <c r="E6236" s="562">
        <v>131075359</v>
      </c>
      <c r="F6236" s="562"/>
      <c r="G6236" s="562">
        <f t="shared" si="347"/>
        <v>275247818</v>
      </c>
      <c r="H6236" s="362"/>
      <c r="I6236" s="362"/>
      <c r="J6236" s="362"/>
    </row>
    <row r="6237" spans="1:10" x14ac:dyDescent="0.25">
      <c r="A6237" s="362"/>
      <c r="B6237" s="611">
        <v>44503</v>
      </c>
      <c r="C6237" s="362" t="s">
        <v>82</v>
      </c>
      <c r="D6237" s="562">
        <v>106353321</v>
      </c>
      <c r="E6237" s="562">
        <v>2485903</v>
      </c>
      <c r="F6237" s="562"/>
      <c r="G6237" s="562">
        <f t="shared" si="347"/>
        <v>108839224</v>
      </c>
      <c r="H6237" s="362"/>
      <c r="I6237" s="362"/>
      <c r="J6237" s="362"/>
    </row>
    <row r="6238" spans="1:10" x14ac:dyDescent="0.25">
      <c r="A6238" s="362"/>
      <c r="B6238" s="611">
        <v>44503</v>
      </c>
      <c r="C6238" s="362" t="s">
        <v>80</v>
      </c>
      <c r="D6238" s="562">
        <v>378425906</v>
      </c>
      <c r="E6238" s="562">
        <v>46223340</v>
      </c>
      <c r="F6238" s="562"/>
      <c r="G6238" s="562">
        <f t="shared" si="347"/>
        <v>424649246</v>
      </c>
      <c r="H6238" s="362"/>
      <c r="I6238" s="362"/>
      <c r="J6238" s="362"/>
    </row>
    <row r="6239" spans="1:10" x14ac:dyDescent="0.25">
      <c r="A6239" s="362"/>
      <c r="B6239" s="611">
        <v>44503</v>
      </c>
      <c r="C6239" s="362" t="s">
        <v>83</v>
      </c>
      <c r="D6239" s="562">
        <v>104480469</v>
      </c>
      <c r="E6239" s="562">
        <v>8901307</v>
      </c>
      <c r="F6239" s="562"/>
      <c r="G6239" s="562">
        <f t="shared" si="347"/>
        <v>113381776</v>
      </c>
      <c r="H6239" s="362"/>
      <c r="I6239" s="362"/>
      <c r="J6239" s="362"/>
    </row>
    <row r="6240" spans="1:10" x14ac:dyDescent="0.25">
      <c r="A6240" s="362"/>
      <c r="B6240" s="611">
        <v>44503</v>
      </c>
      <c r="C6240" s="362" t="s">
        <v>78</v>
      </c>
      <c r="D6240" s="562">
        <v>137413746</v>
      </c>
      <c r="E6240" s="562">
        <v>19010654</v>
      </c>
      <c r="F6240" s="562"/>
      <c r="G6240" s="562">
        <f t="shared" si="347"/>
        <v>156424400</v>
      </c>
      <c r="H6240" s="362"/>
      <c r="I6240" s="362"/>
      <c r="J6240" s="362"/>
    </row>
    <row r="6241" spans="1:10" x14ac:dyDescent="0.25">
      <c r="A6241" s="362"/>
      <c r="B6241" s="611">
        <v>44503</v>
      </c>
      <c r="C6241" s="362" t="s">
        <v>141</v>
      </c>
      <c r="D6241" s="562">
        <v>90652598</v>
      </c>
      <c r="E6241" s="562">
        <v>1169341</v>
      </c>
      <c r="F6241" s="362"/>
      <c r="G6241" s="562">
        <f t="shared" si="347"/>
        <v>91821939</v>
      </c>
      <c r="H6241" s="362"/>
      <c r="I6241" s="362"/>
      <c r="J6241" s="362"/>
    </row>
    <row r="6242" spans="1:10" x14ac:dyDescent="0.25">
      <c r="A6242" s="362"/>
      <c r="B6242" s="611">
        <v>44503</v>
      </c>
      <c r="C6242" s="362" t="s">
        <v>89</v>
      </c>
      <c r="D6242" s="562">
        <v>115799580</v>
      </c>
      <c r="E6242" s="562">
        <v>167934120</v>
      </c>
      <c r="F6242" s="362"/>
      <c r="G6242" s="562">
        <f t="shared" si="347"/>
        <v>283733700</v>
      </c>
      <c r="H6242" s="362"/>
      <c r="I6242" s="362"/>
      <c r="J6242" s="362"/>
    </row>
    <row r="6243" spans="1:10" x14ac:dyDescent="0.25">
      <c r="A6243" s="362"/>
      <c r="B6243" s="611">
        <v>44503</v>
      </c>
      <c r="C6243" s="362" t="s">
        <v>81</v>
      </c>
      <c r="D6243" s="562">
        <v>144730038</v>
      </c>
      <c r="E6243" s="562">
        <v>32702556</v>
      </c>
      <c r="F6243" s="362"/>
      <c r="G6243" s="562">
        <f t="shared" si="347"/>
        <v>177432594</v>
      </c>
      <c r="H6243" s="362"/>
      <c r="I6243" s="362"/>
      <c r="J6243" s="362"/>
    </row>
    <row r="6244" spans="1:10" x14ac:dyDescent="0.25">
      <c r="A6244" s="362"/>
      <c r="B6244" s="611">
        <v>44503</v>
      </c>
      <c r="C6244" s="362" t="s">
        <v>84</v>
      </c>
      <c r="D6244" s="562">
        <v>267491949</v>
      </c>
      <c r="E6244" s="562">
        <v>18160699</v>
      </c>
      <c r="F6244" s="362"/>
      <c r="G6244" s="562">
        <f t="shared" si="347"/>
        <v>285652648</v>
      </c>
      <c r="H6244" s="362"/>
      <c r="I6244" s="362"/>
      <c r="J6244" s="362"/>
    </row>
    <row r="6245" spans="1:10" x14ac:dyDescent="0.25">
      <c r="A6245" s="362"/>
      <c r="B6245" s="611">
        <v>44503</v>
      </c>
      <c r="C6245" s="362" t="s">
        <v>4751</v>
      </c>
      <c r="D6245" s="562">
        <v>259146405</v>
      </c>
      <c r="E6245" s="562">
        <v>14567595</v>
      </c>
      <c r="F6245" s="362"/>
      <c r="G6245" s="562">
        <f t="shared" si="347"/>
        <v>273714000</v>
      </c>
      <c r="H6245" s="362"/>
      <c r="I6245" s="362"/>
      <c r="J6245" s="362"/>
    </row>
    <row r="6246" spans="1:10" x14ac:dyDescent="0.25">
      <c r="A6246" s="362"/>
      <c r="B6246" s="611">
        <v>44503</v>
      </c>
      <c r="C6246" s="362" t="s">
        <v>166</v>
      </c>
      <c r="D6246" s="562">
        <v>64195433</v>
      </c>
      <c r="E6246" s="562"/>
      <c r="F6246" s="362"/>
      <c r="G6246" s="562">
        <f t="shared" si="347"/>
        <v>64195433</v>
      </c>
      <c r="H6246" s="362"/>
      <c r="I6246" s="362"/>
      <c r="J6246" s="362"/>
    </row>
    <row r="6247" spans="1:10" x14ac:dyDescent="0.25">
      <c r="A6247" s="362"/>
      <c r="B6247" s="611">
        <v>44503</v>
      </c>
      <c r="C6247" s="362" t="s">
        <v>3435</v>
      </c>
      <c r="D6247" s="562">
        <v>123740994</v>
      </c>
      <c r="E6247" s="562"/>
      <c r="F6247" s="362"/>
      <c r="G6247" s="562">
        <f t="shared" si="347"/>
        <v>123740994</v>
      </c>
      <c r="H6247" s="362"/>
      <c r="I6247" s="362"/>
      <c r="J6247" s="362"/>
    </row>
    <row r="6248" spans="1:10" x14ac:dyDescent="0.25">
      <c r="A6248" s="362"/>
      <c r="B6248" s="611">
        <v>44503</v>
      </c>
      <c r="C6248" s="370" t="s">
        <v>85</v>
      </c>
      <c r="D6248" s="562">
        <v>53609100</v>
      </c>
      <c r="E6248" s="562"/>
      <c r="F6248" s="362"/>
      <c r="G6248" s="562">
        <f t="shared" si="347"/>
        <v>53609100</v>
      </c>
      <c r="H6248" s="362"/>
      <c r="I6248" s="362"/>
      <c r="J6248" s="362"/>
    </row>
    <row r="6249" spans="1:10" x14ac:dyDescent="0.25">
      <c r="A6249" s="532"/>
      <c r="B6249" s="532"/>
      <c r="C6249" s="532"/>
      <c r="D6249" s="564">
        <f>SUM(D6234:D6248)</f>
        <v>2210485878</v>
      </c>
      <c r="E6249" s="564">
        <f t="shared" ref="E6249:G6249" si="349">SUM(E6234:E6248)</f>
        <v>653010350</v>
      </c>
      <c r="F6249" s="564">
        <f t="shared" si="349"/>
        <v>0</v>
      </c>
      <c r="G6249" s="564">
        <f t="shared" si="349"/>
        <v>2863496228</v>
      </c>
      <c r="H6249" s="532"/>
      <c r="I6249" s="532"/>
      <c r="J6249" s="532"/>
    </row>
    <row r="6250" spans="1:10" x14ac:dyDescent="0.25">
      <c r="A6250" s="362"/>
      <c r="B6250" s="611">
        <v>44504</v>
      </c>
      <c r="C6250" s="362" t="s">
        <v>86</v>
      </c>
      <c r="D6250" s="562">
        <v>104071082</v>
      </c>
      <c r="E6250" s="562">
        <v>73790000</v>
      </c>
      <c r="F6250" s="362"/>
      <c r="G6250" s="562">
        <f t="shared" si="347"/>
        <v>177861082</v>
      </c>
      <c r="H6250" s="362"/>
      <c r="I6250" s="362"/>
      <c r="J6250" s="362"/>
    </row>
    <row r="6251" spans="1:10" x14ac:dyDescent="0.25">
      <c r="A6251" s="362"/>
      <c r="B6251" s="611">
        <v>44504</v>
      </c>
      <c r="C6251" s="362" t="s">
        <v>87</v>
      </c>
      <c r="D6251" s="562">
        <v>60275703</v>
      </c>
      <c r="E6251" s="562">
        <v>33729543</v>
      </c>
      <c r="F6251" s="362"/>
      <c r="G6251" s="562">
        <f t="shared" si="347"/>
        <v>94005246</v>
      </c>
      <c r="H6251" s="362"/>
      <c r="I6251" s="362"/>
      <c r="J6251" s="362"/>
    </row>
    <row r="6252" spans="1:10" x14ac:dyDescent="0.25">
      <c r="A6252" s="362"/>
      <c r="B6252" s="611">
        <v>44504</v>
      </c>
      <c r="C6252" s="362" t="s">
        <v>88</v>
      </c>
      <c r="D6252" s="562">
        <v>180354607</v>
      </c>
      <c r="E6252" s="562">
        <v>45940286</v>
      </c>
      <c r="F6252" s="362"/>
      <c r="G6252" s="562">
        <f t="shared" si="347"/>
        <v>226294893</v>
      </c>
      <c r="H6252" s="362"/>
      <c r="I6252" s="362"/>
      <c r="J6252" s="362"/>
    </row>
    <row r="6253" spans="1:10" x14ac:dyDescent="0.25">
      <c r="A6253" s="362"/>
      <c r="B6253" s="611">
        <v>44504</v>
      </c>
      <c r="C6253" s="362" t="s">
        <v>82</v>
      </c>
      <c r="D6253" s="562">
        <v>152390695</v>
      </c>
      <c r="E6253" s="562">
        <v>2686709</v>
      </c>
      <c r="F6253" s="362"/>
      <c r="G6253" s="562">
        <f t="shared" si="347"/>
        <v>155077404</v>
      </c>
      <c r="H6253" s="362"/>
      <c r="I6253" s="362"/>
      <c r="J6253" s="362"/>
    </row>
    <row r="6254" spans="1:10" x14ac:dyDescent="0.25">
      <c r="A6254" s="362"/>
      <c r="B6254" s="611">
        <v>44504</v>
      </c>
      <c r="C6254" s="362" t="s">
        <v>80</v>
      </c>
      <c r="D6254" s="562">
        <v>327320928</v>
      </c>
      <c r="E6254" s="562"/>
      <c r="F6254" s="362"/>
      <c r="G6254" s="562">
        <f t="shared" si="347"/>
        <v>327320928</v>
      </c>
      <c r="H6254" s="362"/>
      <c r="I6254" s="362"/>
      <c r="J6254" s="362"/>
    </row>
    <row r="6255" spans="1:10" x14ac:dyDescent="0.25">
      <c r="A6255" s="362"/>
      <c r="B6255" s="611">
        <v>44504</v>
      </c>
      <c r="C6255" s="362" t="s">
        <v>83</v>
      </c>
      <c r="D6255" s="562">
        <v>151046991</v>
      </c>
      <c r="E6255" s="562">
        <v>123998327</v>
      </c>
      <c r="F6255" s="362"/>
      <c r="G6255" s="562">
        <f t="shared" si="347"/>
        <v>275045318</v>
      </c>
      <c r="H6255" s="362"/>
      <c r="I6255" s="362"/>
      <c r="J6255" s="362"/>
    </row>
    <row r="6256" spans="1:10" x14ac:dyDescent="0.25">
      <c r="A6256" s="362"/>
      <c r="B6256" s="611">
        <v>44504</v>
      </c>
      <c r="C6256" s="362" t="s">
        <v>78</v>
      </c>
      <c r="D6256" s="562">
        <v>227189275</v>
      </c>
      <c r="E6256" s="562">
        <v>2002825</v>
      </c>
      <c r="F6256" s="362"/>
      <c r="G6256" s="562">
        <f t="shared" si="347"/>
        <v>229192100</v>
      </c>
      <c r="H6256" s="362"/>
      <c r="I6256" s="362"/>
      <c r="J6256" s="362"/>
    </row>
    <row r="6257" spans="1:10" x14ac:dyDescent="0.25">
      <c r="A6257" s="362"/>
      <c r="B6257" s="611">
        <v>44504</v>
      </c>
      <c r="C6257" s="362" t="s">
        <v>141</v>
      </c>
      <c r="D6257" s="562">
        <v>96244013</v>
      </c>
      <c r="E6257" s="562">
        <v>1371828</v>
      </c>
      <c r="F6257" s="362"/>
      <c r="G6257" s="562">
        <f t="shared" si="347"/>
        <v>97615841</v>
      </c>
      <c r="H6257" s="362"/>
      <c r="I6257" s="362"/>
      <c r="J6257" s="362"/>
    </row>
    <row r="6258" spans="1:10" x14ac:dyDescent="0.25">
      <c r="A6258" s="362"/>
      <c r="B6258" s="611">
        <v>44504</v>
      </c>
      <c r="C6258" s="362" t="s">
        <v>89</v>
      </c>
      <c r="D6258" s="562">
        <v>164739790</v>
      </c>
      <c r="E6258" s="562">
        <v>7203010</v>
      </c>
      <c r="F6258" s="362"/>
      <c r="G6258" s="562">
        <f t="shared" si="347"/>
        <v>171942800</v>
      </c>
      <c r="H6258" s="362"/>
      <c r="I6258" s="362"/>
      <c r="J6258" s="362"/>
    </row>
    <row r="6259" spans="1:10" x14ac:dyDescent="0.25">
      <c r="A6259" s="362"/>
      <c r="B6259" s="611">
        <v>44504</v>
      </c>
      <c r="C6259" s="362" t="s">
        <v>81</v>
      </c>
      <c r="D6259" s="562">
        <v>107849904</v>
      </c>
      <c r="E6259" s="562">
        <v>11391123</v>
      </c>
      <c r="F6259" s="362"/>
      <c r="G6259" s="562">
        <f t="shared" si="347"/>
        <v>119241027</v>
      </c>
      <c r="H6259" s="362"/>
      <c r="I6259" s="362"/>
      <c r="J6259" s="362"/>
    </row>
    <row r="6260" spans="1:10" x14ac:dyDescent="0.25">
      <c r="A6260" s="362"/>
      <c r="B6260" s="611">
        <v>44504</v>
      </c>
      <c r="C6260" s="362" t="s">
        <v>84</v>
      </c>
      <c r="D6260" s="562">
        <v>264638887</v>
      </c>
      <c r="E6260" s="562">
        <v>22214720</v>
      </c>
      <c r="F6260" s="362"/>
      <c r="G6260" s="562">
        <f t="shared" si="347"/>
        <v>286853607</v>
      </c>
      <c r="H6260" s="362"/>
      <c r="I6260" s="362"/>
      <c r="J6260" s="362"/>
    </row>
    <row r="6261" spans="1:10" x14ac:dyDescent="0.25">
      <c r="A6261" s="362"/>
      <c r="B6261" s="611">
        <v>44504</v>
      </c>
      <c r="C6261" s="362" t="s">
        <v>4751</v>
      </c>
      <c r="D6261" s="562">
        <v>266603645</v>
      </c>
      <c r="E6261" s="562">
        <v>27059155</v>
      </c>
      <c r="F6261" s="362"/>
      <c r="G6261" s="562">
        <f t="shared" si="347"/>
        <v>293662800</v>
      </c>
      <c r="H6261" s="362"/>
      <c r="I6261" s="362"/>
      <c r="J6261" s="362"/>
    </row>
    <row r="6262" spans="1:10" x14ac:dyDescent="0.25">
      <c r="A6262" s="362"/>
      <c r="B6262" s="611">
        <v>44504</v>
      </c>
      <c r="C6262" s="362" t="s">
        <v>166</v>
      </c>
      <c r="D6262" s="562">
        <v>139590855</v>
      </c>
      <c r="E6262" s="562"/>
      <c r="F6262" s="362"/>
      <c r="G6262" s="562">
        <f t="shared" si="347"/>
        <v>139590855</v>
      </c>
      <c r="H6262" s="362"/>
      <c r="I6262" s="362"/>
      <c r="J6262" s="362"/>
    </row>
    <row r="6263" spans="1:10" x14ac:dyDescent="0.25">
      <c r="A6263" s="362"/>
      <c r="B6263" s="611">
        <v>44504</v>
      </c>
      <c r="C6263" s="362" t="s">
        <v>3435</v>
      </c>
      <c r="D6263" s="562">
        <v>55199678</v>
      </c>
      <c r="E6263" s="562"/>
      <c r="F6263" s="362"/>
      <c r="G6263" s="562">
        <f t="shared" si="347"/>
        <v>55199678</v>
      </c>
      <c r="H6263" s="362"/>
      <c r="I6263" s="362"/>
      <c r="J6263" s="362"/>
    </row>
    <row r="6264" spans="1:10" x14ac:dyDescent="0.25">
      <c r="A6264" s="362"/>
      <c r="B6264" s="611">
        <v>44504</v>
      </c>
      <c r="C6264" s="370" t="s">
        <v>85</v>
      </c>
      <c r="D6264" s="562">
        <v>33386800</v>
      </c>
      <c r="E6264" s="562"/>
      <c r="F6264" s="362"/>
      <c r="G6264" s="562">
        <f t="shared" si="347"/>
        <v>33386800</v>
      </c>
      <c r="H6264" s="362"/>
      <c r="I6264" s="362"/>
      <c r="J6264" s="362"/>
    </row>
    <row r="6265" spans="1:10" x14ac:dyDescent="0.25">
      <c r="A6265" s="532"/>
      <c r="B6265" s="532"/>
      <c r="C6265" s="532"/>
      <c r="D6265" s="564">
        <f>SUM(D6250:D6264)</f>
        <v>2330902853</v>
      </c>
      <c r="E6265" s="564">
        <f t="shared" ref="E6265:G6265" si="350">SUM(E6250:E6264)</f>
        <v>351387526</v>
      </c>
      <c r="F6265" s="564">
        <f t="shared" si="350"/>
        <v>0</v>
      </c>
      <c r="G6265" s="564">
        <f t="shared" si="350"/>
        <v>2682290379</v>
      </c>
      <c r="H6265" s="532"/>
      <c r="I6265" s="532"/>
      <c r="J6265" s="532"/>
    </row>
    <row r="6266" spans="1:10" x14ac:dyDescent="0.25">
      <c r="A6266" s="362"/>
      <c r="B6266" s="611">
        <v>44505</v>
      </c>
      <c r="C6266" s="362" t="s">
        <v>86</v>
      </c>
      <c r="D6266" s="562">
        <v>62628581</v>
      </c>
      <c r="E6266" s="562">
        <v>74216542</v>
      </c>
      <c r="F6266" s="562">
        <v>136845200</v>
      </c>
      <c r="G6266" s="562">
        <f t="shared" si="347"/>
        <v>-77</v>
      </c>
      <c r="H6266" s="362"/>
      <c r="I6266" s="362"/>
      <c r="J6266" s="362"/>
    </row>
    <row r="6267" spans="1:10" x14ac:dyDescent="0.25">
      <c r="A6267" s="362"/>
      <c r="B6267" s="611">
        <v>44505</v>
      </c>
      <c r="C6267" s="362" t="s">
        <v>87</v>
      </c>
      <c r="D6267" s="562">
        <v>109769677</v>
      </c>
      <c r="E6267" s="562">
        <v>10274610</v>
      </c>
      <c r="F6267" s="562">
        <v>120044300</v>
      </c>
      <c r="G6267" s="562">
        <f t="shared" si="347"/>
        <v>-13</v>
      </c>
      <c r="H6267" s="362"/>
      <c r="I6267" s="362"/>
      <c r="J6267" s="362"/>
    </row>
    <row r="6268" spans="1:10" x14ac:dyDescent="0.25">
      <c r="A6268" s="362"/>
      <c r="B6268" s="611">
        <v>44505</v>
      </c>
      <c r="C6268" s="362" t="s">
        <v>88</v>
      </c>
      <c r="D6268" s="562">
        <v>99837808</v>
      </c>
      <c r="E6268" s="562">
        <v>87143286</v>
      </c>
      <c r="F6268" s="562">
        <v>186981100</v>
      </c>
      <c r="G6268" s="562">
        <f t="shared" si="347"/>
        <v>-6</v>
      </c>
      <c r="H6268" s="362"/>
      <c r="I6268" s="362"/>
      <c r="J6268" s="362"/>
    </row>
    <row r="6269" spans="1:10" x14ac:dyDescent="0.25">
      <c r="A6269" s="362"/>
      <c r="B6269" s="611">
        <v>44505</v>
      </c>
      <c r="C6269" s="362" t="s">
        <v>82</v>
      </c>
      <c r="D6269" s="562">
        <v>114517283</v>
      </c>
      <c r="E6269" s="562">
        <v>24633195</v>
      </c>
      <c r="F6269" s="562">
        <v>139150500</v>
      </c>
      <c r="G6269" s="562">
        <f t="shared" si="347"/>
        <v>-22</v>
      </c>
      <c r="H6269" s="362"/>
      <c r="I6269" s="362"/>
      <c r="J6269" s="362"/>
    </row>
    <row r="6270" spans="1:10" x14ac:dyDescent="0.25">
      <c r="A6270" s="362"/>
      <c r="B6270" s="611">
        <v>44505</v>
      </c>
      <c r="C6270" s="362" t="s">
        <v>80</v>
      </c>
      <c r="D6270" s="562">
        <v>254313400</v>
      </c>
      <c r="E6270" s="562"/>
      <c r="F6270" s="562">
        <v>254313400</v>
      </c>
      <c r="G6270" s="562">
        <f t="shared" si="347"/>
        <v>0</v>
      </c>
      <c r="H6270" s="362"/>
      <c r="I6270" s="362"/>
      <c r="J6270" s="362"/>
    </row>
    <row r="6271" spans="1:10" x14ac:dyDescent="0.25">
      <c r="A6271" s="362"/>
      <c r="B6271" s="611">
        <v>44505</v>
      </c>
      <c r="C6271" s="362" t="s">
        <v>83</v>
      </c>
      <c r="D6271" s="562">
        <v>144801045</v>
      </c>
      <c r="E6271" s="562">
        <v>161125170</v>
      </c>
      <c r="F6271" s="562">
        <v>305926200</v>
      </c>
      <c r="G6271" s="562">
        <f t="shared" si="347"/>
        <v>15</v>
      </c>
      <c r="H6271" s="362"/>
      <c r="I6271" s="362"/>
      <c r="J6271" s="362"/>
    </row>
    <row r="6272" spans="1:10" x14ac:dyDescent="0.25">
      <c r="A6272" s="362"/>
      <c r="B6272" s="611">
        <v>44505</v>
      </c>
      <c r="C6272" s="362" t="s">
        <v>78</v>
      </c>
      <c r="D6272" s="562">
        <v>127398106</v>
      </c>
      <c r="E6272" s="562">
        <v>253094</v>
      </c>
      <c r="F6272" s="562">
        <v>127649200</v>
      </c>
      <c r="G6272" s="562">
        <f t="shared" si="347"/>
        <v>2000</v>
      </c>
      <c r="H6272" s="362"/>
      <c r="I6272" s="362"/>
      <c r="J6272" s="362"/>
    </row>
    <row r="6273" spans="1:10" x14ac:dyDescent="0.25">
      <c r="A6273" s="362"/>
      <c r="B6273" s="611">
        <v>44505</v>
      </c>
      <c r="C6273" s="362" t="s">
        <v>141</v>
      </c>
      <c r="D6273" s="562">
        <v>74563705</v>
      </c>
      <c r="E6273" s="562">
        <v>1358952</v>
      </c>
      <c r="F6273" s="562">
        <v>75922700</v>
      </c>
      <c r="G6273" s="562">
        <f t="shared" si="347"/>
        <v>-43</v>
      </c>
      <c r="H6273" s="362"/>
      <c r="I6273" s="362"/>
      <c r="J6273" s="362"/>
    </row>
    <row r="6274" spans="1:10" x14ac:dyDescent="0.25">
      <c r="A6274" s="362"/>
      <c r="B6274" s="611">
        <v>44505</v>
      </c>
      <c r="C6274" s="362" t="s">
        <v>89</v>
      </c>
      <c r="D6274" s="562">
        <v>154055102</v>
      </c>
      <c r="E6274" s="562">
        <v>27268998</v>
      </c>
      <c r="F6274" s="562">
        <v>181324000</v>
      </c>
      <c r="G6274" s="562">
        <f t="shared" si="347"/>
        <v>100</v>
      </c>
      <c r="H6274" s="362"/>
      <c r="I6274" s="362"/>
      <c r="J6274" s="362"/>
    </row>
    <row r="6275" spans="1:10" x14ac:dyDescent="0.25">
      <c r="A6275" s="362"/>
      <c r="B6275" s="611">
        <v>44505</v>
      </c>
      <c r="C6275" s="362" t="s">
        <v>81</v>
      </c>
      <c r="D6275" s="562">
        <v>74991041</v>
      </c>
      <c r="E6275" s="562">
        <v>5058916</v>
      </c>
      <c r="F6275" s="562">
        <v>80050000</v>
      </c>
      <c r="G6275" s="562">
        <f t="shared" si="347"/>
        <v>-43</v>
      </c>
      <c r="H6275" s="362"/>
      <c r="I6275" s="362"/>
      <c r="J6275" s="362"/>
    </row>
    <row r="6276" spans="1:10" x14ac:dyDescent="0.25">
      <c r="A6276" s="362"/>
      <c r="B6276" s="611">
        <v>44505</v>
      </c>
      <c r="C6276" s="362" t="s">
        <v>84</v>
      </c>
      <c r="D6276" s="562">
        <v>299788559</v>
      </c>
      <c r="E6276" s="562">
        <v>16116009</v>
      </c>
      <c r="F6276" s="562">
        <v>315904600</v>
      </c>
      <c r="G6276" s="562">
        <f t="shared" si="347"/>
        <v>-32</v>
      </c>
      <c r="H6276" s="362"/>
      <c r="I6276" s="362"/>
      <c r="J6276" s="362"/>
    </row>
    <row r="6277" spans="1:10" x14ac:dyDescent="0.25">
      <c r="A6277" s="362"/>
      <c r="B6277" s="611">
        <v>44505</v>
      </c>
      <c r="C6277" s="362" t="s">
        <v>4751</v>
      </c>
      <c r="D6277" s="562">
        <v>130723643</v>
      </c>
      <c r="E6277" s="562">
        <v>13806657</v>
      </c>
      <c r="F6277" s="562">
        <v>144530300</v>
      </c>
      <c r="G6277" s="562">
        <f t="shared" si="347"/>
        <v>0</v>
      </c>
      <c r="H6277" s="362"/>
      <c r="I6277" s="362"/>
      <c r="J6277" s="362"/>
    </row>
    <row r="6278" spans="1:10" x14ac:dyDescent="0.25">
      <c r="A6278" s="362"/>
      <c r="B6278" s="611">
        <v>44505</v>
      </c>
      <c r="C6278" s="362" t="s">
        <v>166</v>
      </c>
      <c r="D6278" s="562">
        <v>56436723</v>
      </c>
      <c r="E6278" s="562"/>
      <c r="F6278" s="562">
        <v>56436800</v>
      </c>
      <c r="G6278" s="562">
        <f t="shared" si="347"/>
        <v>-77</v>
      </c>
      <c r="H6278" s="362"/>
      <c r="I6278" s="362"/>
      <c r="J6278" s="362"/>
    </row>
    <row r="6279" spans="1:10" x14ac:dyDescent="0.25">
      <c r="A6279" s="362"/>
      <c r="B6279" s="611">
        <v>44505</v>
      </c>
      <c r="C6279" s="362" t="s">
        <v>3435</v>
      </c>
      <c r="D6279" s="562">
        <v>43494927</v>
      </c>
      <c r="E6279" s="562"/>
      <c r="F6279" s="562">
        <v>43495000</v>
      </c>
      <c r="G6279" s="562">
        <f t="shared" si="347"/>
        <v>-73</v>
      </c>
      <c r="H6279" s="362"/>
      <c r="I6279" s="362"/>
      <c r="J6279" s="362"/>
    </row>
    <row r="6280" spans="1:10" x14ac:dyDescent="0.25">
      <c r="A6280" s="362"/>
      <c r="B6280" s="611">
        <v>44505</v>
      </c>
      <c r="C6280" s="370" t="s">
        <v>85</v>
      </c>
      <c r="D6280" s="562">
        <v>33026000</v>
      </c>
      <c r="E6280" s="562"/>
      <c r="F6280" s="562">
        <v>33026000</v>
      </c>
      <c r="G6280" s="562">
        <f t="shared" si="347"/>
        <v>0</v>
      </c>
      <c r="H6280" s="362"/>
      <c r="I6280" s="362"/>
      <c r="J6280" s="362"/>
    </row>
    <row r="6281" spans="1:10" x14ac:dyDescent="0.25">
      <c r="A6281" s="532"/>
      <c r="B6281" s="532"/>
      <c r="C6281" s="532"/>
      <c r="D6281" s="564">
        <f>SUM(D6266:D6280)</f>
        <v>1780345600</v>
      </c>
      <c r="E6281" s="564">
        <f t="shared" ref="E6281:G6281" si="351">SUM(E6266:E6280)</f>
        <v>421255429</v>
      </c>
      <c r="F6281" s="564">
        <f t="shared" si="351"/>
        <v>2201599300</v>
      </c>
      <c r="G6281" s="564">
        <f t="shared" si="351"/>
        <v>1729</v>
      </c>
      <c r="H6281" s="532"/>
      <c r="I6281" s="532"/>
      <c r="J6281" s="532"/>
    </row>
    <row r="6282" spans="1:10" x14ac:dyDescent="0.25">
      <c r="A6282" s="362"/>
      <c r="B6282" s="611">
        <v>44506</v>
      </c>
      <c r="C6282" s="362" t="s">
        <v>86</v>
      </c>
      <c r="D6282" s="562">
        <v>58776029</v>
      </c>
      <c r="E6282" s="562">
        <v>63453953</v>
      </c>
      <c r="F6282" s="562"/>
      <c r="G6282" s="562">
        <f t="shared" si="347"/>
        <v>122229982</v>
      </c>
      <c r="H6282" s="362"/>
      <c r="I6282" s="362"/>
      <c r="J6282" s="362"/>
    </row>
    <row r="6283" spans="1:10" x14ac:dyDescent="0.25">
      <c r="A6283" s="362"/>
      <c r="B6283" s="611">
        <v>44506</v>
      </c>
      <c r="C6283" s="362" t="s">
        <v>87</v>
      </c>
      <c r="D6283" s="562">
        <v>54671681</v>
      </c>
      <c r="E6283" s="562">
        <v>58687841</v>
      </c>
      <c r="F6283" s="562"/>
      <c r="G6283" s="562">
        <f t="shared" si="347"/>
        <v>113359522</v>
      </c>
      <c r="H6283" s="362"/>
      <c r="I6283" s="362"/>
      <c r="J6283" s="362"/>
    </row>
    <row r="6284" spans="1:10" x14ac:dyDescent="0.25">
      <c r="A6284" s="362"/>
      <c r="B6284" s="611">
        <v>44506</v>
      </c>
      <c r="C6284" s="362" t="s">
        <v>88</v>
      </c>
      <c r="D6284" s="562">
        <v>452463166</v>
      </c>
      <c r="E6284" s="562">
        <v>49009100</v>
      </c>
      <c r="F6284" s="562"/>
      <c r="G6284" s="562">
        <f t="shared" ref="G6284:G6347" si="352">D6284+E6284-F6284</f>
        <v>501472266</v>
      </c>
      <c r="H6284" s="362"/>
      <c r="I6284" s="362"/>
      <c r="J6284" s="362"/>
    </row>
    <row r="6285" spans="1:10" x14ac:dyDescent="0.25">
      <c r="A6285" s="362"/>
      <c r="B6285" s="611">
        <v>44506</v>
      </c>
      <c r="C6285" s="362" t="s">
        <v>82</v>
      </c>
      <c r="D6285" s="562">
        <v>126145100</v>
      </c>
      <c r="E6285" s="562">
        <v>2068522</v>
      </c>
      <c r="F6285" s="562"/>
      <c r="G6285" s="562">
        <f t="shared" si="352"/>
        <v>128213622</v>
      </c>
      <c r="H6285" s="362"/>
      <c r="I6285" s="362"/>
      <c r="J6285" s="362"/>
    </row>
    <row r="6286" spans="1:10" x14ac:dyDescent="0.25">
      <c r="A6286" s="362"/>
      <c r="B6286" s="611">
        <v>44506</v>
      </c>
      <c r="C6286" s="362" t="s">
        <v>80</v>
      </c>
      <c r="D6286" s="562">
        <v>307374593</v>
      </c>
      <c r="E6286" s="562">
        <v>18683597</v>
      </c>
      <c r="F6286" s="562"/>
      <c r="G6286" s="562">
        <f t="shared" si="352"/>
        <v>326058190</v>
      </c>
      <c r="H6286" s="362"/>
      <c r="I6286" s="362"/>
      <c r="J6286" s="362"/>
    </row>
    <row r="6287" spans="1:10" x14ac:dyDescent="0.25">
      <c r="A6287" s="362"/>
      <c r="B6287" s="611">
        <v>44506</v>
      </c>
      <c r="C6287" s="362" t="s">
        <v>83</v>
      </c>
      <c r="D6287" s="562">
        <v>143614215</v>
      </c>
      <c r="E6287" s="562">
        <v>108292771</v>
      </c>
      <c r="F6287" s="562"/>
      <c r="G6287" s="562">
        <f t="shared" si="352"/>
        <v>251906986</v>
      </c>
      <c r="H6287" s="362"/>
      <c r="I6287" s="362"/>
      <c r="J6287" s="362"/>
    </row>
    <row r="6288" spans="1:10" x14ac:dyDescent="0.25">
      <c r="A6288" s="362"/>
      <c r="B6288" s="611">
        <v>44506</v>
      </c>
      <c r="C6288" s="362" t="s">
        <v>78</v>
      </c>
      <c r="D6288" s="562">
        <v>143472811</v>
      </c>
      <c r="E6288" s="562">
        <v>18083889</v>
      </c>
      <c r="F6288" s="562"/>
      <c r="G6288" s="562">
        <f t="shared" si="352"/>
        <v>161556700</v>
      </c>
      <c r="H6288" s="362"/>
      <c r="I6288" s="362"/>
      <c r="J6288" s="362"/>
    </row>
    <row r="6289" spans="1:10" x14ac:dyDescent="0.25">
      <c r="A6289" s="362"/>
      <c r="B6289" s="611">
        <v>44506</v>
      </c>
      <c r="C6289" s="362" t="s">
        <v>141</v>
      </c>
      <c r="D6289" s="562">
        <v>61319534</v>
      </c>
      <c r="E6289" s="562">
        <v>1263967</v>
      </c>
      <c r="F6289" s="562"/>
      <c r="G6289" s="562">
        <f t="shared" si="352"/>
        <v>62583501</v>
      </c>
      <c r="H6289" s="362"/>
      <c r="I6289" s="362"/>
      <c r="J6289" s="362"/>
    </row>
    <row r="6290" spans="1:10" x14ac:dyDescent="0.25">
      <c r="A6290" s="362"/>
      <c r="B6290" s="611">
        <v>44506</v>
      </c>
      <c r="C6290" s="362" t="s">
        <v>89</v>
      </c>
      <c r="D6290" s="562">
        <v>113122582</v>
      </c>
      <c r="E6290" s="562">
        <v>26716918</v>
      </c>
      <c r="F6290" s="562"/>
      <c r="G6290" s="562">
        <f t="shared" si="352"/>
        <v>139839500</v>
      </c>
      <c r="H6290" s="362"/>
      <c r="I6290" s="362"/>
      <c r="J6290" s="362"/>
    </row>
    <row r="6291" spans="1:10" x14ac:dyDescent="0.25">
      <c r="A6291" s="362"/>
      <c r="B6291" s="611">
        <v>44506</v>
      </c>
      <c r="C6291" s="362" t="s">
        <v>81</v>
      </c>
      <c r="D6291" s="562">
        <v>191232803</v>
      </c>
      <c r="E6291" s="562">
        <v>12202987</v>
      </c>
      <c r="F6291" s="562"/>
      <c r="G6291" s="562">
        <f t="shared" si="352"/>
        <v>203435790</v>
      </c>
      <c r="H6291" s="362"/>
      <c r="I6291" s="362"/>
      <c r="J6291" s="362"/>
    </row>
    <row r="6292" spans="1:10" x14ac:dyDescent="0.25">
      <c r="A6292" s="362"/>
      <c r="B6292" s="611">
        <v>44506</v>
      </c>
      <c r="C6292" s="362" t="s">
        <v>84</v>
      </c>
      <c r="D6292" s="562">
        <v>215393116</v>
      </c>
      <c r="E6292" s="562">
        <v>11386924</v>
      </c>
      <c r="F6292" s="562"/>
      <c r="G6292" s="562">
        <f t="shared" si="352"/>
        <v>226780040</v>
      </c>
      <c r="H6292" s="362"/>
      <c r="I6292" s="362"/>
      <c r="J6292" s="362"/>
    </row>
    <row r="6293" spans="1:10" x14ac:dyDescent="0.25">
      <c r="A6293" s="362"/>
      <c r="B6293" s="611">
        <v>44506</v>
      </c>
      <c r="C6293" s="362" t="s">
        <v>4751</v>
      </c>
      <c r="D6293" s="562">
        <v>223311727</v>
      </c>
      <c r="E6293" s="562">
        <v>64662173</v>
      </c>
      <c r="F6293" s="562"/>
      <c r="G6293" s="562">
        <f t="shared" si="352"/>
        <v>287973900</v>
      </c>
      <c r="H6293" s="362"/>
      <c r="I6293" s="362"/>
      <c r="J6293" s="362"/>
    </row>
    <row r="6294" spans="1:10" x14ac:dyDescent="0.25">
      <c r="A6294" s="362"/>
      <c r="B6294" s="611">
        <v>44506</v>
      </c>
      <c r="C6294" s="362" t="s">
        <v>166</v>
      </c>
      <c r="D6294" s="562"/>
      <c r="E6294" s="562"/>
      <c r="F6294" s="562"/>
      <c r="G6294" s="562">
        <f t="shared" si="352"/>
        <v>0</v>
      </c>
      <c r="H6294" s="362"/>
      <c r="I6294" s="362"/>
      <c r="J6294" s="362"/>
    </row>
    <row r="6295" spans="1:10" x14ac:dyDescent="0.25">
      <c r="A6295" s="362"/>
      <c r="B6295" s="611">
        <v>44506</v>
      </c>
      <c r="C6295" s="362" t="s">
        <v>3435</v>
      </c>
      <c r="D6295" s="562"/>
      <c r="E6295" s="562"/>
      <c r="F6295" s="562"/>
      <c r="G6295" s="562">
        <f t="shared" si="352"/>
        <v>0</v>
      </c>
      <c r="H6295" s="362"/>
      <c r="I6295" s="362"/>
      <c r="J6295" s="362"/>
    </row>
    <row r="6296" spans="1:10" x14ac:dyDescent="0.25">
      <c r="A6296" s="362"/>
      <c r="B6296" s="611">
        <v>44506</v>
      </c>
      <c r="C6296" s="370" t="s">
        <v>85</v>
      </c>
      <c r="D6296" s="562">
        <v>24267300</v>
      </c>
      <c r="E6296" s="562"/>
      <c r="F6296" s="562"/>
      <c r="G6296" s="562">
        <f t="shared" si="352"/>
        <v>24267300</v>
      </c>
      <c r="H6296" s="362"/>
      <c r="I6296" s="362"/>
      <c r="J6296" s="362"/>
    </row>
    <row r="6297" spans="1:10" x14ac:dyDescent="0.25">
      <c r="A6297" s="532"/>
      <c r="B6297" s="532"/>
      <c r="C6297" s="532"/>
      <c r="D6297" s="564">
        <f>SUM(D6282:D6296)</f>
        <v>2115164657</v>
      </c>
      <c r="E6297" s="564">
        <f t="shared" ref="E6297:G6297" si="353">SUM(E6282:E6296)</f>
        <v>434512642</v>
      </c>
      <c r="F6297" s="564">
        <f t="shared" si="353"/>
        <v>0</v>
      </c>
      <c r="G6297" s="564">
        <f t="shared" si="353"/>
        <v>2549677299</v>
      </c>
      <c r="H6297" s="532"/>
      <c r="I6297" s="532"/>
      <c r="J6297" s="532"/>
    </row>
    <row r="6298" spans="1:10" x14ac:dyDescent="0.25">
      <c r="A6298" s="362"/>
      <c r="B6298" s="611">
        <v>44508</v>
      </c>
      <c r="C6298" s="362" t="s">
        <v>86</v>
      </c>
      <c r="D6298" s="562">
        <v>61789378</v>
      </c>
      <c r="E6298" s="562">
        <v>26300780</v>
      </c>
      <c r="F6298" s="562">
        <v>88090100</v>
      </c>
      <c r="G6298" s="562">
        <f t="shared" si="352"/>
        <v>58</v>
      </c>
      <c r="H6298" s="362"/>
      <c r="I6298" s="362"/>
      <c r="J6298" s="362"/>
    </row>
    <row r="6299" spans="1:10" x14ac:dyDescent="0.25">
      <c r="A6299" s="362"/>
      <c r="B6299" s="611">
        <v>44508</v>
      </c>
      <c r="C6299" s="362" t="s">
        <v>87</v>
      </c>
      <c r="D6299" s="562">
        <v>119226310</v>
      </c>
      <c r="E6299" s="562">
        <v>47960204</v>
      </c>
      <c r="F6299" s="562">
        <v>167186600</v>
      </c>
      <c r="G6299" s="562">
        <f t="shared" si="352"/>
        <v>-86</v>
      </c>
      <c r="H6299" s="362"/>
      <c r="I6299" s="362"/>
      <c r="J6299" s="362"/>
    </row>
    <row r="6300" spans="1:10" x14ac:dyDescent="0.25">
      <c r="A6300" s="362"/>
      <c r="B6300" s="611">
        <v>44508</v>
      </c>
      <c r="C6300" s="362" t="s">
        <v>88</v>
      </c>
      <c r="D6300" s="562">
        <v>167792377</v>
      </c>
      <c r="E6300" s="562">
        <v>67089388</v>
      </c>
      <c r="F6300" s="562">
        <v>234881800</v>
      </c>
      <c r="G6300" s="562">
        <f t="shared" si="352"/>
        <v>-35</v>
      </c>
      <c r="H6300" s="362"/>
      <c r="I6300" s="362"/>
      <c r="J6300" s="362"/>
    </row>
    <row r="6301" spans="1:10" x14ac:dyDescent="0.25">
      <c r="A6301" s="362"/>
      <c r="B6301" s="611">
        <v>44508</v>
      </c>
      <c r="C6301" s="362" t="s">
        <v>82</v>
      </c>
      <c r="D6301" s="562">
        <v>62399163</v>
      </c>
      <c r="E6301" s="562"/>
      <c r="F6301" s="562">
        <v>62399200</v>
      </c>
      <c r="G6301" s="562">
        <f t="shared" si="352"/>
        <v>-37</v>
      </c>
      <c r="H6301" s="362"/>
      <c r="I6301" s="362"/>
      <c r="J6301" s="362"/>
    </row>
    <row r="6302" spans="1:10" x14ac:dyDescent="0.25">
      <c r="A6302" s="362"/>
      <c r="B6302" s="611">
        <v>44508</v>
      </c>
      <c r="C6302" s="362" t="s">
        <v>80</v>
      </c>
      <c r="D6302" s="562">
        <v>248312624</v>
      </c>
      <c r="E6302" s="562"/>
      <c r="F6302" s="562">
        <v>248312700</v>
      </c>
      <c r="G6302" s="562">
        <f t="shared" si="352"/>
        <v>-76</v>
      </c>
      <c r="H6302" s="362"/>
      <c r="I6302" s="362"/>
      <c r="J6302" s="362"/>
    </row>
    <row r="6303" spans="1:10" x14ac:dyDescent="0.25">
      <c r="A6303" s="362"/>
      <c r="B6303" s="611">
        <v>44508</v>
      </c>
      <c r="C6303" s="362" t="s">
        <v>83</v>
      </c>
      <c r="D6303" s="562">
        <v>185421905</v>
      </c>
      <c r="E6303" s="562">
        <v>43481461</v>
      </c>
      <c r="F6303" s="562">
        <v>228903400</v>
      </c>
      <c r="G6303" s="562">
        <f t="shared" si="352"/>
        <v>-34</v>
      </c>
      <c r="H6303" s="362"/>
      <c r="I6303" s="362"/>
      <c r="J6303" s="362"/>
    </row>
    <row r="6304" spans="1:10" x14ac:dyDescent="0.25">
      <c r="A6304" s="362"/>
      <c r="B6304" s="611">
        <v>44508</v>
      </c>
      <c r="C6304" s="362" t="s">
        <v>78</v>
      </c>
      <c r="D6304" s="562">
        <v>154213820</v>
      </c>
      <c r="E6304" s="562">
        <v>1942980</v>
      </c>
      <c r="F6304" s="562">
        <v>156156800</v>
      </c>
      <c r="G6304" s="562">
        <f t="shared" si="352"/>
        <v>0</v>
      </c>
      <c r="H6304" s="362"/>
      <c r="I6304" s="362"/>
      <c r="J6304" s="362"/>
    </row>
    <row r="6305" spans="1:11" x14ac:dyDescent="0.25">
      <c r="A6305" s="362"/>
      <c r="B6305" s="611">
        <v>44508</v>
      </c>
      <c r="C6305" s="362" t="s">
        <v>141</v>
      </c>
      <c r="D6305" s="562">
        <v>134967036</v>
      </c>
      <c r="E6305" s="562">
        <v>1414062</v>
      </c>
      <c r="F6305" s="562">
        <v>136381100</v>
      </c>
      <c r="G6305" s="562">
        <f t="shared" si="352"/>
        <v>-2</v>
      </c>
      <c r="H6305" s="362"/>
      <c r="I6305" s="362"/>
      <c r="J6305" s="362"/>
    </row>
    <row r="6306" spans="1:11" x14ac:dyDescent="0.25">
      <c r="A6306" s="362"/>
      <c r="B6306" s="611">
        <v>44508</v>
      </c>
      <c r="C6306" s="362" t="s">
        <v>89</v>
      </c>
      <c r="D6306" s="562">
        <v>122992651</v>
      </c>
      <c r="E6306" s="562">
        <v>55526149</v>
      </c>
      <c r="F6306" s="562">
        <v>178518700</v>
      </c>
      <c r="G6306" s="562">
        <f t="shared" si="352"/>
        <v>100</v>
      </c>
      <c r="H6306" s="362"/>
      <c r="I6306" s="362"/>
      <c r="J6306" s="362"/>
    </row>
    <row r="6307" spans="1:11" x14ac:dyDescent="0.25">
      <c r="A6307" s="362"/>
      <c r="B6307" s="611">
        <v>44508</v>
      </c>
      <c r="C6307" s="362" t="s">
        <v>81</v>
      </c>
      <c r="D6307" s="562">
        <v>179715430</v>
      </c>
      <c r="E6307" s="562">
        <v>30871473</v>
      </c>
      <c r="F6307" s="562">
        <v>210586900</v>
      </c>
      <c r="G6307" s="562">
        <f t="shared" si="352"/>
        <v>3</v>
      </c>
      <c r="H6307" s="362"/>
      <c r="I6307" s="362"/>
      <c r="J6307" s="362"/>
    </row>
    <row r="6308" spans="1:11" x14ac:dyDescent="0.25">
      <c r="A6308" s="362"/>
      <c r="B6308" s="611">
        <v>44508</v>
      </c>
      <c r="C6308" s="362" t="s">
        <v>84</v>
      </c>
      <c r="D6308" s="562">
        <v>219518940</v>
      </c>
      <c r="E6308" s="562">
        <v>17065381</v>
      </c>
      <c r="F6308" s="562">
        <v>236584400</v>
      </c>
      <c r="G6308" s="562">
        <f t="shared" si="352"/>
        <v>-79</v>
      </c>
      <c r="H6308" s="362"/>
      <c r="I6308" s="362"/>
      <c r="J6308" s="362"/>
    </row>
    <row r="6309" spans="1:11" x14ac:dyDescent="0.25">
      <c r="A6309" s="362"/>
      <c r="B6309" s="611">
        <v>44508</v>
      </c>
      <c r="C6309" s="362" t="s">
        <v>4751</v>
      </c>
      <c r="D6309" s="562">
        <v>231320071</v>
      </c>
      <c r="E6309" s="562">
        <v>11848329</v>
      </c>
      <c r="F6309" s="562">
        <v>243168400</v>
      </c>
      <c r="G6309" s="562">
        <f t="shared" si="352"/>
        <v>0</v>
      </c>
      <c r="H6309" s="362"/>
      <c r="I6309" s="362"/>
      <c r="J6309" s="362"/>
    </row>
    <row r="6310" spans="1:11" x14ac:dyDescent="0.25">
      <c r="A6310" s="362"/>
      <c r="B6310" s="611">
        <v>44508</v>
      </c>
      <c r="C6310" s="362" t="s">
        <v>166</v>
      </c>
      <c r="D6310" s="562">
        <v>78018603</v>
      </c>
      <c r="E6310" s="562"/>
      <c r="F6310" s="562">
        <v>78018600</v>
      </c>
      <c r="G6310" s="562">
        <f t="shared" si="352"/>
        <v>3</v>
      </c>
      <c r="H6310" s="362"/>
      <c r="I6310" s="362"/>
      <c r="J6310" s="362"/>
    </row>
    <row r="6311" spans="1:11" x14ac:dyDescent="0.25">
      <c r="A6311" s="362"/>
      <c r="B6311" s="611">
        <v>44508</v>
      </c>
      <c r="C6311" s="362" t="s">
        <v>3435</v>
      </c>
      <c r="D6311" s="562">
        <v>25737835</v>
      </c>
      <c r="E6311" s="562"/>
      <c r="F6311" s="562">
        <v>25737900</v>
      </c>
      <c r="G6311" s="562">
        <f t="shared" si="352"/>
        <v>-65</v>
      </c>
      <c r="H6311" s="362"/>
      <c r="I6311" s="362"/>
      <c r="J6311" s="362"/>
    </row>
    <row r="6312" spans="1:11" x14ac:dyDescent="0.25">
      <c r="A6312" s="362"/>
      <c r="B6312" s="611">
        <v>44508</v>
      </c>
      <c r="C6312" s="370" t="s">
        <v>85</v>
      </c>
      <c r="D6312" s="562">
        <v>51630400</v>
      </c>
      <c r="E6312" s="562"/>
      <c r="F6312" s="562">
        <v>51630400</v>
      </c>
      <c r="G6312" s="562">
        <f t="shared" si="352"/>
        <v>0</v>
      </c>
      <c r="H6312" s="362"/>
      <c r="I6312" s="362"/>
      <c r="J6312" s="362"/>
    </row>
    <row r="6313" spans="1:11" x14ac:dyDescent="0.25">
      <c r="A6313" s="532"/>
      <c r="B6313" s="532"/>
      <c r="C6313" s="532"/>
      <c r="D6313" s="564">
        <f>SUM(D6298:D6312)</f>
        <v>2043056543</v>
      </c>
      <c r="E6313" s="564">
        <f t="shared" ref="E6313:G6313" si="354">SUM(E6298:E6312)</f>
        <v>303500207</v>
      </c>
      <c r="F6313" s="564">
        <f t="shared" si="354"/>
        <v>2346557000</v>
      </c>
      <c r="G6313" s="564">
        <f t="shared" si="354"/>
        <v>-250</v>
      </c>
      <c r="H6313" s="532"/>
      <c r="I6313" s="532"/>
      <c r="J6313" s="532"/>
      <c r="K6313" s="738"/>
    </row>
    <row r="6314" spans="1:11" x14ac:dyDescent="0.25">
      <c r="A6314" s="362"/>
      <c r="B6314" s="611">
        <v>44509</v>
      </c>
      <c r="C6314" s="362" t="s">
        <v>86</v>
      </c>
      <c r="D6314" s="562">
        <v>63795171</v>
      </c>
      <c r="E6314" s="562">
        <v>20979320</v>
      </c>
      <c r="F6314" s="562"/>
      <c r="G6314" s="562">
        <f t="shared" si="352"/>
        <v>84774491</v>
      </c>
      <c r="H6314" s="362"/>
      <c r="I6314" s="362"/>
      <c r="J6314" s="362"/>
    </row>
    <row r="6315" spans="1:11" x14ac:dyDescent="0.25">
      <c r="A6315" s="362"/>
      <c r="B6315" s="611">
        <v>44509</v>
      </c>
      <c r="C6315" s="362" t="s">
        <v>87</v>
      </c>
      <c r="D6315" s="562">
        <v>97893797</v>
      </c>
      <c r="E6315" s="562">
        <v>39125877</v>
      </c>
      <c r="F6315" s="562"/>
      <c r="G6315" s="562">
        <f t="shared" si="352"/>
        <v>137019674</v>
      </c>
      <c r="H6315" s="362"/>
      <c r="I6315" s="362"/>
      <c r="J6315" s="362"/>
    </row>
    <row r="6316" spans="1:11" x14ac:dyDescent="0.25">
      <c r="A6316" s="362"/>
      <c r="B6316" s="611">
        <v>44509</v>
      </c>
      <c r="C6316" s="362" t="s">
        <v>88</v>
      </c>
      <c r="D6316" s="562">
        <v>142405252</v>
      </c>
      <c r="E6316" s="562">
        <v>209989571</v>
      </c>
      <c r="F6316" s="562"/>
      <c r="G6316" s="562">
        <f t="shared" si="352"/>
        <v>352394823</v>
      </c>
      <c r="H6316" s="362"/>
      <c r="I6316" s="362"/>
      <c r="J6316" s="362"/>
    </row>
    <row r="6317" spans="1:11" x14ac:dyDescent="0.25">
      <c r="A6317" s="362"/>
      <c r="B6317" s="611">
        <v>44509</v>
      </c>
      <c r="C6317" s="362" t="s">
        <v>82</v>
      </c>
      <c r="D6317" s="562">
        <v>73252202</v>
      </c>
      <c r="E6317" s="562">
        <v>3922491</v>
      </c>
      <c r="F6317" s="562"/>
      <c r="G6317" s="562">
        <f t="shared" si="352"/>
        <v>77174693</v>
      </c>
      <c r="H6317" s="362"/>
      <c r="I6317" s="362"/>
      <c r="J6317" s="362"/>
    </row>
    <row r="6318" spans="1:11" x14ac:dyDescent="0.25">
      <c r="A6318" s="362"/>
      <c r="B6318" s="611">
        <v>44509</v>
      </c>
      <c r="C6318" s="362" t="s">
        <v>80</v>
      </c>
      <c r="D6318" s="562">
        <v>287782150</v>
      </c>
      <c r="E6318" s="562">
        <v>107778450</v>
      </c>
      <c r="F6318" s="562"/>
      <c r="G6318" s="562">
        <f t="shared" si="352"/>
        <v>395560600</v>
      </c>
      <c r="H6318" s="362"/>
      <c r="I6318" s="362"/>
      <c r="J6318" s="362"/>
    </row>
    <row r="6319" spans="1:11" x14ac:dyDescent="0.25">
      <c r="A6319" s="362"/>
      <c r="B6319" s="611">
        <v>44509</v>
      </c>
      <c r="C6319" s="362" t="s">
        <v>83</v>
      </c>
      <c r="D6319" s="562">
        <v>154663647</v>
      </c>
      <c r="E6319" s="562">
        <v>15274020</v>
      </c>
      <c r="F6319" s="562"/>
      <c r="G6319" s="562">
        <f t="shared" si="352"/>
        <v>169937667</v>
      </c>
      <c r="H6319" s="362"/>
      <c r="I6319" s="362"/>
      <c r="J6319" s="362"/>
    </row>
    <row r="6320" spans="1:11" x14ac:dyDescent="0.25">
      <c r="A6320" s="362"/>
      <c r="B6320" s="611">
        <v>44509</v>
      </c>
      <c r="C6320" s="362" t="s">
        <v>78</v>
      </c>
      <c r="D6320" s="562">
        <v>138280652</v>
      </c>
      <c r="E6320" s="562">
        <v>3253448</v>
      </c>
      <c r="F6320" s="562"/>
      <c r="G6320" s="562">
        <f t="shared" si="352"/>
        <v>141534100</v>
      </c>
      <c r="H6320" s="362"/>
      <c r="I6320" s="362"/>
      <c r="J6320" s="362"/>
    </row>
    <row r="6321" spans="1:10" x14ac:dyDescent="0.25">
      <c r="A6321" s="362"/>
      <c r="B6321" s="611">
        <v>44509</v>
      </c>
      <c r="C6321" s="362" t="s">
        <v>141</v>
      </c>
      <c r="D6321" s="562">
        <v>59712560</v>
      </c>
      <c r="E6321" s="562">
        <v>1491789</v>
      </c>
      <c r="F6321" s="562"/>
      <c r="G6321" s="562">
        <f t="shared" si="352"/>
        <v>61204349</v>
      </c>
      <c r="H6321" s="362"/>
      <c r="I6321" s="362"/>
      <c r="J6321" s="362"/>
    </row>
    <row r="6322" spans="1:10" x14ac:dyDescent="0.25">
      <c r="A6322" s="362"/>
      <c r="B6322" s="611">
        <v>44509</v>
      </c>
      <c r="C6322" s="362" t="s">
        <v>89</v>
      </c>
      <c r="D6322" s="562">
        <v>104228430</v>
      </c>
      <c r="E6322" s="562">
        <v>5135970</v>
      </c>
      <c r="F6322" s="562"/>
      <c r="G6322" s="562">
        <f t="shared" si="352"/>
        <v>109364400</v>
      </c>
      <c r="H6322" s="362"/>
      <c r="I6322" s="362"/>
      <c r="J6322" s="362"/>
    </row>
    <row r="6323" spans="1:10" x14ac:dyDescent="0.25">
      <c r="A6323" s="362"/>
      <c r="B6323" s="611">
        <v>44509</v>
      </c>
      <c r="C6323" s="362" t="s">
        <v>81</v>
      </c>
      <c r="D6323" s="562">
        <v>90173263</v>
      </c>
      <c r="E6323" s="562">
        <v>9483115</v>
      </c>
      <c r="F6323" s="562"/>
      <c r="G6323" s="562">
        <f t="shared" si="352"/>
        <v>99656378</v>
      </c>
      <c r="H6323" s="362"/>
      <c r="I6323" s="362"/>
      <c r="J6323" s="362"/>
    </row>
    <row r="6324" spans="1:10" x14ac:dyDescent="0.25">
      <c r="A6324" s="362"/>
      <c r="B6324" s="611">
        <v>44509</v>
      </c>
      <c r="C6324" s="362" t="s">
        <v>84</v>
      </c>
      <c r="D6324" s="562">
        <v>458199154</v>
      </c>
      <c r="E6324" s="562">
        <v>12111019</v>
      </c>
      <c r="F6324" s="562"/>
      <c r="G6324" s="562">
        <f t="shared" si="352"/>
        <v>470310173</v>
      </c>
      <c r="H6324" s="362"/>
      <c r="I6324" s="362"/>
      <c r="J6324" s="362"/>
    </row>
    <row r="6325" spans="1:10" x14ac:dyDescent="0.25">
      <c r="A6325" s="362"/>
      <c r="B6325" s="611">
        <v>44509</v>
      </c>
      <c r="C6325" s="362" t="s">
        <v>4751</v>
      </c>
      <c r="D6325" s="562">
        <v>220478807</v>
      </c>
      <c r="E6325" s="562">
        <v>10075793</v>
      </c>
      <c r="F6325" s="562"/>
      <c r="G6325" s="562">
        <f t="shared" si="352"/>
        <v>230554600</v>
      </c>
      <c r="H6325" s="362"/>
      <c r="I6325" s="362"/>
      <c r="J6325" s="362"/>
    </row>
    <row r="6326" spans="1:10" x14ac:dyDescent="0.25">
      <c r="A6326" s="362"/>
      <c r="B6326" s="611">
        <v>44509</v>
      </c>
      <c r="C6326" s="362" t="s">
        <v>166</v>
      </c>
      <c r="D6326" s="562">
        <v>156360561</v>
      </c>
      <c r="E6326" s="562"/>
      <c r="F6326" s="562"/>
      <c r="G6326" s="562">
        <f t="shared" si="352"/>
        <v>156360561</v>
      </c>
      <c r="H6326" s="362"/>
      <c r="I6326" s="362"/>
      <c r="J6326" s="362"/>
    </row>
    <row r="6327" spans="1:10" x14ac:dyDescent="0.25">
      <c r="A6327" s="362"/>
      <c r="B6327" s="611">
        <v>44509</v>
      </c>
      <c r="C6327" s="362" t="s">
        <v>3435</v>
      </c>
      <c r="D6327" s="562">
        <v>91079246</v>
      </c>
      <c r="E6327" s="562"/>
      <c r="F6327" s="562"/>
      <c r="G6327" s="562">
        <f t="shared" si="352"/>
        <v>91079246</v>
      </c>
      <c r="H6327" s="362"/>
      <c r="I6327" s="362"/>
      <c r="J6327" s="362"/>
    </row>
    <row r="6328" spans="1:10" x14ac:dyDescent="0.25">
      <c r="A6328" s="362"/>
      <c r="B6328" s="611">
        <v>44509</v>
      </c>
      <c r="C6328" s="370" t="s">
        <v>85</v>
      </c>
      <c r="D6328" s="562">
        <v>37870700</v>
      </c>
      <c r="E6328" s="562"/>
      <c r="F6328" s="562"/>
      <c r="G6328" s="562">
        <f t="shared" si="352"/>
        <v>37870700</v>
      </c>
      <c r="H6328" s="362"/>
      <c r="I6328" s="362"/>
      <c r="J6328" s="362"/>
    </row>
    <row r="6329" spans="1:10" x14ac:dyDescent="0.25">
      <c r="A6329" s="532"/>
      <c r="B6329" s="532"/>
      <c r="C6329" s="532"/>
      <c r="D6329" s="564">
        <f>SUM(D6314:D6328)</f>
        <v>2176175592</v>
      </c>
      <c r="E6329" s="564">
        <f t="shared" ref="E6329:G6329" si="355">SUM(E6314:E6328)</f>
        <v>438620863</v>
      </c>
      <c r="F6329" s="564">
        <f t="shared" si="355"/>
        <v>0</v>
      </c>
      <c r="G6329" s="564">
        <f t="shared" si="355"/>
        <v>2614796455</v>
      </c>
      <c r="H6329" s="532"/>
      <c r="I6329" s="532"/>
      <c r="J6329" s="532"/>
    </row>
    <row r="6330" spans="1:10" x14ac:dyDescent="0.25">
      <c r="A6330" s="362"/>
      <c r="B6330" s="611">
        <v>44510</v>
      </c>
      <c r="C6330" s="362" t="s">
        <v>86</v>
      </c>
      <c r="D6330" s="562">
        <v>127477297</v>
      </c>
      <c r="E6330" s="562">
        <v>161578692</v>
      </c>
      <c r="F6330" s="562"/>
      <c r="G6330" s="562">
        <f t="shared" si="352"/>
        <v>289055989</v>
      </c>
      <c r="H6330" s="362"/>
      <c r="I6330" s="362"/>
      <c r="J6330" s="362"/>
    </row>
    <row r="6331" spans="1:10" x14ac:dyDescent="0.25">
      <c r="A6331" s="362"/>
      <c r="B6331" s="611">
        <v>44510</v>
      </c>
      <c r="C6331" s="362" t="s">
        <v>87</v>
      </c>
      <c r="D6331" s="562">
        <v>64009028</v>
      </c>
      <c r="E6331" s="562">
        <v>123773116</v>
      </c>
      <c r="F6331" s="562"/>
      <c r="G6331" s="562">
        <f t="shared" si="352"/>
        <v>187782144</v>
      </c>
      <c r="H6331" s="362"/>
      <c r="I6331" s="362"/>
      <c r="J6331" s="362"/>
    </row>
    <row r="6332" spans="1:10" x14ac:dyDescent="0.25">
      <c r="A6332" s="362"/>
      <c r="B6332" s="611">
        <v>44510</v>
      </c>
      <c r="C6332" s="362" t="s">
        <v>88</v>
      </c>
      <c r="D6332" s="562">
        <v>210041838</v>
      </c>
      <c r="E6332" s="562">
        <v>20694077</v>
      </c>
      <c r="F6332" s="562"/>
      <c r="G6332" s="562">
        <f t="shared" si="352"/>
        <v>230735915</v>
      </c>
      <c r="H6332" s="362"/>
      <c r="I6332" s="362"/>
      <c r="J6332" s="362"/>
    </row>
    <row r="6333" spans="1:10" x14ac:dyDescent="0.25">
      <c r="A6333" s="362"/>
      <c r="B6333" s="611">
        <v>44510</v>
      </c>
      <c r="C6333" s="362" t="s">
        <v>82</v>
      </c>
      <c r="D6333" s="562">
        <v>113233932</v>
      </c>
      <c r="E6333" s="562"/>
      <c r="F6333" s="562"/>
      <c r="G6333" s="562">
        <f t="shared" si="352"/>
        <v>113233932</v>
      </c>
      <c r="H6333" s="362"/>
      <c r="I6333" s="362"/>
      <c r="J6333" s="362"/>
    </row>
    <row r="6334" spans="1:10" x14ac:dyDescent="0.25">
      <c r="A6334" s="362"/>
      <c r="B6334" s="611">
        <v>44510</v>
      </c>
      <c r="C6334" s="362" t="s">
        <v>80</v>
      </c>
      <c r="D6334" s="562">
        <v>379374620</v>
      </c>
      <c r="E6334" s="562"/>
      <c r="F6334" s="562"/>
      <c r="G6334" s="562">
        <f t="shared" si="352"/>
        <v>379374620</v>
      </c>
      <c r="H6334" s="362"/>
      <c r="I6334" s="362"/>
      <c r="J6334" s="362"/>
    </row>
    <row r="6335" spans="1:10" x14ac:dyDescent="0.25">
      <c r="A6335" s="362"/>
      <c r="B6335" s="611">
        <v>44510</v>
      </c>
      <c r="C6335" s="362" t="s">
        <v>83</v>
      </c>
      <c r="D6335" s="562">
        <v>179394749</v>
      </c>
      <c r="E6335" s="562">
        <v>26796087</v>
      </c>
      <c r="F6335" s="562"/>
      <c r="G6335" s="562">
        <f t="shared" si="352"/>
        <v>206190836</v>
      </c>
      <c r="H6335" s="362"/>
      <c r="I6335" s="362"/>
      <c r="J6335" s="362"/>
    </row>
    <row r="6336" spans="1:10" x14ac:dyDescent="0.25">
      <c r="A6336" s="362"/>
      <c r="B6336" s="611">
        <v>44510</v>
      </c>
      <c r="C6336" s="362" t="s">
        <v>78</v>
      </c>
      <c r="D6336" s="562">
        <v>107003519</v>
      </c>
      <c r="E6336" s="562">
        <v>7344881</v>
      </c>
      <c r="F6336" s="562"/>
      <c r="G6336" s="562">
        <f t="shared" si="352"/>
        <v>114348400</v>
      </c>
      <c r="H6336" s="362"/>
      <c r="I6336" s="362"/>
      <c r="J6336" s="362"/>
    </row>
    <row r="6337" spans="1:10" x14ac:dyDescent="0.25">
      <c r="A6337" s="362"/>
      <c r="B6337" s="611">
        <v>44510</v>
      </c>
      <c r="C6337" s="362" t="s">
        <v>141</v>
      </c>
      <c r="D6337" s="562">
        <v>128118895</v>
      </c>
      <c r="E6337" s="562">
        <v>1526841</v>
      </c>
      <c r="F6337" s="562"/>
      <c r="G6337" s="562">
        <f t="shared" si="352"/>
        <v>129645736</v>
      </c>
      <c r="H6337" s="362"/>
      <c r="I6337" s="362"/>
      <c r="J6337" s="362"/>
    </row>
    <row r="6338" spans="1:10" x14ac:dyDescent="0.25">
      <c r="A6338" s="362"/>
      <c r="B6338" s="611">
        <v>44510</v>
      </c>
      <c r="C6338" s="362" t="s">
        <v>89</v>
      </c>
      <c r="D6338" s="562">
        <v>149658871</v>
      </c>
      <c r="E6338" s="562">
        <v>18478629</v>
      </c>
      <c r="F6338" s="562"/>
      <c r="G6338" s="562">
        <f t="shared" si="352"/>
        <v>168137500</v>
      </c>
      <c r="H6338" s="362"/>
      <c r="I6338" s="362"/>
      <c r="J6338" s="362"/>
    </row>
    <row r="6339" spans="1:10" x14ac:dyDescent="0.25">
      <c r="A6339" s="362"/>
      <c r="B6339" s="611">
        <v>44510</v>
      </c>
      <c r="C6339" s="362" t="s">
        <v>81</v>
      </c>
      <c r="D6339" s="562">
        <v>89858409</v>
      </c>
      <c r="E6339" s="562">
        <v>34702231</v>
      </c>
      <c r="F6339" s="562"/>
      <c r="G6339" s="562">
        <f t="shared" si="352"/>
        <v>124560640</v>
      </c>
      <c r="H6339" s="362"/>
      <c r="I6339" s="362"/>
      <c r="J6339" s="362"/>
    </row>
    <row r="6340" spans="1:10" x14ac:dyDescent="0.25">
      <c r="A6340" s="362"/>
      <c r="B6340" s="611">
        <v>44510</v>
      </c>
      <c r="C6340" s="362" t="s">
        <v>84</v>
      </c>
      <c r="D6340" s="562">
        <v>326856015</v>
      </c>
      <c r="E6340" s="562">
        <v>11546482</v>
      </c>
      <c r="F6340" s="562"/>
      <c r="G6340" s="562">
        <f t="shared" si="352"/>
        <v>338402497</v>
      </c>
      <c r="H6340" s="362"/>
      <c r="I6340" s="362"/>
      <c r="J6340" s="362"/>
    </row>
    <row r="6341" spans="1:10" x14ac:dyDescent="0.25">
      <c r="A6341" s="362"/>
      <c r="B6341" s="611">
        <v>44510</v>
      </c>
      <c r="C6341" s="362" t="s">
        <v>4751</v>
      </c>
      <c r="D6341" s="562">
        <v>159673921</v>
      </c>
      <c r="E6341" s="562">
        <v>17037179</v>
      </c>
      <c r="F6341" s="562"/>
      <c r="G6341" s="562">
        <f t="shared" si="352"/>
        <v>176711100</v>
      </c>
      <c r="H6341" s="362"/>
      <c r="I6341" s="362"/>
      <c r="J6341" s="362"/>
    </row>
    <row r="6342" spans="1:10" x14ac:dyDescent="0.25">
      <c r="A6342" s="362"/>
      <c r="B6342" s="611">
        <v>44510</v>
      </c>
      <c r="C6342" s="362" t="s">
        <v>166</v>
      </c>
      <c r="D6342" s="562">
        <v>81448424</v>
      </c>
      <c r="E6342" s="562"/>
      <c r="F6342" s="562"/>
      <c r="G6342" s="562">
        <f t="shared" si="352"/>
        <v>81448424</v>
      </c>
      <c r="H6342" s="362"/>
      <c r="I6342" s="362"/>
      <c r="J6342" s="362"/>
    </row>
    <row r="6343" spans="1:10" x14ac:dyDescent="0.25">
      <c r="A6343" s="362"/>
      <c r="B6343" s="611">
        <v>44510</v>
      </c>
      <c r="C6343" s="362" t="s">
        <v>3435</v>
      </c>
      <c r="D6343" s="562">
        <v>87129072</v>
      </c>
      <c r="E6343" s="562"/>
      <c r="F6343" s="562"/>
      <c r="G6343" s="562">
        <f t="shared" si="352"/>
        <v>87129072</v>
      </c>
      <c r="H6343" s="362"/>
      <c r="I6343" s="362"/>
      <c r="J6343" s="362"/>
    </row>
    <row r="6344" spans="1:10" x14ac:dyDescent="0.25">
      <c r="A6344" s="362"/>
      <c r="B6344" s="611">
        <v>44510</v>
      </c>
      <c r="C6344" s="370" t="s">
        <v>85</v>
      </c>
      <c r="D6344" s="562">
        <v>52679900</v>
      </c>
      <c r="E6344" s="562"/>
      <c r="F6344" s="562"/>
      <c r="G6344" s="562">
        <f t="shared" si="352"/>
        <v>52679900</v>
      </c>
      <c r="H6344" s="362"/>
      <c r="I6344" s="362"/>
      <c r="J6344" s="362"/>
    </row>
    <row r="6345" spans="1:10" x14ac:dyDescent="0.25">
      <c r="A6345" s="532"/>
      <c r="B6345" s="532"/>
      <c r="C6345" s="532"/>
      <c r="D6345" s="564">
        <f>SUM(D6330:D6344)</f>
        <v>2255958490</v>
      </c>
      <c r="E6345" s="564">
        <f t="shared" ref="E6345:G6345" si="356">SUM(E6330:E6344)</f>
        <v>423478215</v>
      </c>
      <c r="F6345" s="564">
        <f t="shared" si="356"/>
        <v>0</v>
      </c>
      <c r="G6345" s="564">
        <f t="shared" si="356"/>
        <v>2679436705</v>
      </c>
      <c r="H6345" s="532"/>
      <c r="I6345" s="532"/>
      <c r="J6345" s="532"/>
    </row>
    <row r="6346" spans="1:10" x14ac:dyDescent="0.25">
      <c r="A6346" s="362"/>
      <c r="B6346" s="611">
        <v>44511</v>
      </c>
      <c r="C6346" s="362" t="s">
        <v>86</v>
      </c>
      <c r="D6346" s="562">
        <v>110011497</v>
      </c>
      <c r="E6346" s="562">
        <v>35367648</v>
      </c>
      <c r="F6346" s="562"/>
      <c r="G6346" s="562">
        <f t="shared" si="352"/>
        <v>145379145</v>
      </c>
      <c r="H6346" s="362"/>
      <c r="I6346" s="362"/>
      <c r="J6346" s="362"/>
    </row>
    <row r="6347" spans="1:10" x14ac:dyDescent="0.25">
      <c r="A6347" s="362"/>
      <c r="B6347" s="611">
        <v>44511</v>
      </c>
      <c r="C6347" s="362" t="s">
        <v>87</v>
      </c>
      <c r="D6347" s="562">
        <v>52882631</v>
      </c>
      <c r="E6347" s="562">
        <v>156851342</v>
      </c>
      <c r="F6347" s="562"/>
      <c r="G6347" s="562">
        <f t="shared" si="352"/>
        <v>209733973</v>
      </c>
      <c r="H6347" s="362"/>
      <c r="I6347" s="362"/>
      <c r="J6347" s="362"/>
    </row>
    <row r="6348" spans="1:10" x14ac:dyDescent="0.25">
      <c r="A6348" s="362"/>
      <c r="B6348" s="611">
        <v>44511</v>
      </c>
      <c r="C6348" s="362" t="s">
        <v>88</v>
      </c>
      <c r="D6348" s="562">
        <v>206931744</v>
      </c>
      <c r="E6348" s="562">
        <v>34243004</v>
      </c>
      <c r="F6348" s="562"/>
      <c r="G6348" s="562">
        <f t="shared" ref="G6348:G6411" si="357">D6348+E6348-F6348</f>
        <v>241174748</v>
      </c>
      <c r="H6348" s="362"/>
      <c r="I6348" s="362"/>
      <c r="J6348" s="362"/>
    </row>
    <row r="6349" spans="1:10" x14ac:dyDescent="0.25">
      <c r="A6349" s="362"/>
      <c r="B6349" s="611">
        <v>44511</v>
      </c>
      <c r="C6349" s="362" t="s">
        <v>82</v>
      </c>
      <c r="D6349" s="562">
        <v>93837037</v>
      </c>
      <c r="E6349" s="562">
        <v>16605810</v>
      </c>
      <c r="F6349" s="562"/>
      <c r="G6349" s="562">
        <f t="shared" si="357"/>
        <v>110442847</v>
      </c>
      <c r="H6349" s="362"/>
      <c r="I6349" s="362"/>
      <c r="J6349" s="362"/>
    </row>
    <row r="6350" spans="1:10" x14ac:dyDescent="0.25">
      <c r="A6350" s="362"/>
      <c r="B6350" s="611">
        <v>44511</v>
      </c>
      <c r="C6350" s="362" t="s">
        <v>80</v>
      </c>
      <c r="D6350" s="562">
        <v>299850413</v>
      </c>
      <c r="E6350" s="562">
        <v>17985877</v>
      </c>
      <c r="F6350" s="562"/>
      <c r="G6350" s="562">
        <f t="shared" si="357"/>
        <v>317836290</v>
      </c>
      <c r="H6350" s="362"/>
      <c r="I6350" s="362"/>
      <c r="J6350" s="362"/>
    </row>
    <row r="6351" spans="1:10" x14ac:dyDescent="0.25">
      <c r="A6351" s="362"/>
      <c r="B6351" s="611">
        <v>44511</v>
      </c>
      <c r="C6351" s="362" t="s">
        <v>83</v>
      </c>
      <c r="D6351" s="562">
        <v>148425191</v>
      </c>
      <c r="E6351" s="562">
        <v>241577609</v>
      </c>
      <c r="F6351" s="562"/>
      <c r="G6351" s="562">
        <f t="shared" si="357"/>
        <v>390002800</v>
      </c>
      <c r="H6351" s="362"/>
      <c r="I6351" s="362"/>
      <c r="J6351" s="362"/>
    </row>
    <row r="6352" spans="1:10" x14ac:dyDescent="0.25">
      <c r="A6352" s="362"/>
      <c r="B6352" s="611">
        <v>44511</v>
      </c>
      <c r="C6352" s="362" t="s">
        <v>78</v>
      </c>
      <c r="D6352" s="562">
        <v>83749985</v>
      </c>
      <c r="E6352" s="562">
        <v>112515</v>
      </c>
      <c r="F6352" s="562"/>
      <c r="G6352" s="562">
        <f t="shared" si="357"/>
        <v>83862500</v>
      </c>
      <c r="H6352" s="362"/>
      <c r="I6352" s="362"/>
      <c r="J6352" s="362"/>
    </row>
    <row r="6353" spans="1:10" x14ac:dyDescent="0.25">
      <c r="A6353" s="362"/>
      <c r="B6353" s="611">
        <v>44511</v>
      </c>
      <c r="C6353" s="362" t="s">
        <v>141</v>
      </c>
      <c r="D6353" s="562">
        <v>92391207</v>
      </c>
      <c r="E6353" s="562">
        <v>1179360</v>
      </c>
      <c r="F6353" s="562"/>
      <c r="G6353" s="562">
        <f t="shared" si="357"/>
        <v>93570567</v>
      </c>
      <c r="H6353" s="362"/>
      <c r="I6353" s="362"/>
      <c r="J6353" s="362"/>
    </row>
    <row r="6354" spans="1:10" x14ac:dyDescent="0.25">
      <c r="A6354" s="362"/>
      <c r="B6354" s="611">
        <v>44511</v>
      </c>
      <c r="C6354" s="362" t="s">
        <v>89</v>
      </c>
      <c r="D6354" s="562">
        <v>118640815</v>
      </c>
      <c r="E6354" s="562">
        <v>25047385</v>
      </c>
      <c r="F6354" s="562"/>
      <c r="G6354" s="562">
        <f t="shared" si="357"/>
        <v>143688200</v>
      </c>
      <c r="H6354" s="362"/>
      <c r="I6354" s="362"/>
      <c r="J6354" s="362"/>
    </row>
    <row r="6355" spans="1:10" x14ac:dyDescent="0.25">
      <c r="A6355" s="362"/>
      <c r="B6355" s="611">
        <v>44511</v>
      </c>
      <c r="C6355" s="362" t="s">
        <v>81</v>
      </c>
      <c r="D6355" s="562">
        <v>169014020</v>
      </c>
      <c r="E6355" s="562">
        <v>95399777</v>
      </c>
      <c r="F6355" s="562"/>
      <c r="G6355" s="562">
        <f t="shared" si="357"/>
        <v>264413797</v>
      </c>
      <c r="H6355" s="362"/>
      <c r="I6355" s="362"/>
      <c r="J6355" s="362"/>
    </row>
    <row r="6356" spans="1:10" x14ac:dyDescent="0.25">
      <c r="A6356" s="362"/>
      <c r="B6356" s="611">
        <v>44511</v>
      </c>
      <c r="C6356" s="362" t="s">
        <v>84</v>
      </c>
      <c r="D6356" s="562">
        <v>194352623</v>
      </c>
      <c r="E6356" s="562">
        <v>17891211</v>
      </c>
      <c r="F6356" s="562"/>
      <c r="G6356" s="562">
        <f t="shared" si="357"/>
        <v>212243834</v>
      </c>
      <c r="H6356" s="362"/>
      <c r="I6356" s="362"/>
      <c r="J6356" s="362"/>
    </row>
    <row r="6357" spans="1:10" x14ac:dyDescent="0.25">
      <c r="A6357" s="362"/>
      <c r="B6357" s="611">
        <v>44511</v>
      </c>
      <c r="C6357" s="362" t="s">
        <v>4751</v>
      </c>
      <c r="D6357" s="562">
        <v>234269358</v>
      </c>
      <c r="E6357" s="562">
        <v>20728042</v>
      </c>
      <c r="F6357" s="562"/>
      <c r="G6357" s="562">
        <f t="shared" si="357"/>
        <v>254997400</v>
      </c>
      <c r="H6357" s="362"/>
      <c r="I6357" s="362"/>
      <c r="J6357" s="362"/>
    </row>
    <row r="6358" spans="1:10" x14ac:dyDescent="0.25">
      <c r="A6358" s="362"/>
      <c r="B6358" s="611">
        <v>44511</v>
      </c>
      <c r="C6358" s="362" t="s">
        <v>166</v>
      </c>
      <c r="D6358" s="562">
        <v>82656073</v>
      </c>
      <c r="E6358" s="562"/>
      <c r="F6358" s="562"/>
      <c r="G6358" s="562">
        <f t="shared" si="357"/>
        <v>82656073</v>
      </c>
      <c r="H6358" s="362"/>
      <c r="I6358" s="362"/>
      <c r="J6358" s="362"/>
    </row>
    <row r="6359" spans="1:10" x14ac:dyDescent="0.25">
      <c r="A6359" s="362"/>
      <c r="B6359" s="611">
        <v>44511</v>
      </c>
      <c r="C6359" s="362" t="s">
        <v>3435</v>
      </c>
      <c r="D6359" s="562">
        <v>51535362</v>
      </c>
      <c r="E6359" s="562"/>
      <c r="F6359" s="562"/>
      <c r="G6359" s="562">
        <f t="shared" si="357"/>
        <v>51535362</v>
      </c>
      <c r="H6359" s="362"/>
      <c r="I6359" s="362"/>
      <c r="J6359" s="362"/>
    </row>
    <row r="6360" spans="1:10" x14ac:dyDescent="0.25">
      <c r="A6360" s="362"/>
      <c r="B6360" s="611">
        <v>44511</v>
      </c>
      <c r="C6360" s="370" t="s">
        <v>85</v>
      </c>
      <c r="D6360" s="562">
        <v>26475300</v>
      </c>
      <c r="E6360" s="562"/>
      <c r="F6360" s="562"/>
      <c r="G6360" s="562">
        <f t="shared" si="357"/>
        <v>26475300</v>
      </c>
      <c r="H6360" s="362"/>
      <c r="I6360" s="362"/>
      <c r="J6360" s="362"/>
    </row>
    <row r="6361" spans="1:10" x14ac:dyDescent="0.25">
      <c r="A6361" s="532"/>
      <c r="B6361" s="532"/>
      <c r="C6361" s="532"/>
      <c r="D6361" s="564">
        <f>SUM(D6346:D6360)</f>
        <v>1965023256</v>
      </c>
      <c r="E6361" s="564">
        <f t="shared" ref="E6361:G6361" si="358">SUM(E6346:E6360)</f>
        <v>662989580</v>
      </c>
      <c r="F6361" s="564">
        <f t="shared" si="358"/>
        <v>0</v>
      </c>
      <c r="G6361" s="564">
        <f t="shared" si="358"/>
        <v>2628012836</v>
      </c>
      <c r="H6361" s="532"/>
      <c r="I6361" s="532"/>
      <c r="J6361" s="532"/>
    </row>
    <row r="6362" spans="1:10" x14ac:dyDescent="0.25">
      <c r="A6362" s="362"/>
      <c r="B6362" s="611">
        <v>44512</v>
      </c>
      <c r="C6362" s="362" t="s">
        <v>86</v>
      </c>
      <c r="D6362" s="562">
        <v>38074567</v>
      </c>
      <c r="E6362" s="562">
        <v>58704301</v>
      </c>
      <c r="F6362" s="562">
        <v>96779000</v>
      </c>
      <c r="G6362" s="562">
        <f t="shared" si="357"/>
        <v>-132</v>
      </c>
      <c r="H6362" s="362"/>
      <c r="I6362" s="362"/>
      <c r="J6362" s="362"/>
    </row>
    <row r="6363" spans="1:10" x14ac:dyDescent="0.25">
      <c r="A6363" s="362"/>
      <c r="B6363" s="611">
        <v>44512</v>
      </c>
      <c r="C6363" s="362" t="s">
        <v>87</v>
      </c>
      <c r="D6363" s="562">
        <v>105158671</v>
      </c>
      <c r="E6363" s="562">
        <v>6108202</v>
      </c>
      <c r="F6363" s="562">
        <v>111266900</v>
      </c>
      <c r="G6363" s="562">
        <f t="shared" si="357"/>
        <v>-27</v>
      </c>
      <c r="H6363" s="362"/>
      <c r="I6363" s="362"/>
      <c r="J6363" s="362"/>
    </row>
    <row r="6364" spans="1:10" x14ac:dyDescent="0.25">
      <c r="A6364" s="362"/>
      <c r="B6364" s="611">
        <v>44512</v>
      </c>
      <c r="C6364" s="362" t="s">
        <v>88</v>
      </c>
      <c r="D6364" s="562">
        <v>122788479</v>
      </c>
      <c r="E6364" s="562">
        <v>22367050</v>
      </c>
      <c r="F6364" s="562">
        <v>145155600</v>
      </c>
      <c r="G6364" s="562">
        <f t="shared" si="357"/>
        <v>-71</v>
      </c>
      <c r="H6364" s="362"/>
      <c r="I6364" s="362"/>
      <c r="J6364" s="362"/>
    </row>
    <row r="6365" spans="1:10" x14ac:dyDescent="0.25">
      <c r="A6365" s="362"/>
      <c r="B6365" s="611">
        <v>44512</v>
      </c>
      <c r="C6365" s="362" t="s">
        <v>82</v>
      </c>
      <c r="D6365" s="562">
        <v>122474888</v>
      </c>
      <c r="E6365" s="562">
        <v>59165</v>
      </c>
      <c r="F6365" s="562">
        <v>122534100</v>
      </c>
      <c r="G6365" s="562">
        <f t="shared" si="357"/>
        <v>-47</v>
      </c>
      <c r="H6365" s="362"/>
      <c r="I6365" s="362"/>
      <c r="J6365" s="362"/>
    </row>
    <row r="6366" spans="1:10" x14ac:dyDescent="0.25">
      <c r="A6366" s="362"/>
      <c r="B6366" s="611">
        <v>44512</v>
      </c>
      <c r="C6366" s="362" t="s">
        <v>80</v>
      </c>
      <c r="D6366" s="562">
        <v>383583982</v>
      </c>
      <c r="E6366" s="562">
        <v>44263512</v>
      </c>
      <c r="F6366" s="562">
        <v>427847500</v>
      </c>
      <c r="G6366" s="562">
        <f t="shared" si="357"/>
        <v>-6</v>
      </c>
      <c r="H6366" s="362"/>
      <c r="I6366" s="362"/>
      <c r="J6366" s="362"/>
    </row>
    <row r="6367" spans="1:10" x14ac:dyDescent="0.25">
      <c r="A6367" s="362"/>
      <c r="B6367" s="611">
        <v>44512</v>
      </c>
      <c r="C6367" s="362" t="s">
        <v>83</v>
      </c>
      <c r="D6367" s="562">
        <v>129777381</v>
      </c>
      <c r="E6367" s="562">
        <v>18949663</v>
      </c>
      <c r="F6367" s="562">
        <v>148727100</v>
      </c>
      <c r="G6367" s="562">
        <f t="shared" si="357"/>
        <v>-56</v>
      </c>
      <c r="H6367" s="362"/>
      <c r="I6367" s="362"/>
      <c r="J6367" s="362"/>
    </row>
    <row r="6368" spans="1:10" x14ac:dyDescent="0.25">
      <c r="A6368" s="362"/>
      <c r="B6368" s="611">
        <v>44512</v>
      </c>
      <c r="C6368" s="362" t="s">
        <v>78</v>
      </c>
      <c r="D6368" s="562">
        <v>239145285</v>
      </c>
      <c r="E6368" s="562">
        <v>35826615</v>
      </c>
      <c r="F6368" s="562">
        <v>274971900</v>
      </c>
      <c r="G6368" s="562">
        <f t="shared" si="357"/>
        <v>0</v>
      </c>
      <c r="H6368" s="362"/>
      <c r="I6368" s="362"/>
      <c r="J6368" s="362"/>
    </row>
    <row r="6369" spans="1:10" x14ac:dyDescent="0.25">
      <c r="A6369" s="362"/>
      <c r="B6369" s="611">
        <v>44512</v>
      </c>
      <c r="C6369" s="362" t="s">
        <v>141</v>
      </c>
      <c r="D6369" s="562">
        <v>100271826</v>
      </c>
      <c r="E6369" s="562">
        <v>847288</v>
      </c>
      <c r="F6369" s="562">
        <v>101119200</v>
      </c>
      <c r="G6369" s="562">
        <f t="shared" si="357"/>
        <v>-86</v>
      </c>
      <c r="H6369" s="362"/>
      <c r="I6369" s="362"/>
      <c r="J6369" s="362"/>
    </row>
    <row r="6370" spans="1:10" x14ac:dyDescent="0.25">
      <c r="A6370" s="362"/>
      <c r="B6370" s="611">
        <v>44512</v>
      </c>
      <c r="C6370" s="362" t="s">
        <v>89</v>
      </c>
      <c r="D6370" s="562">
        <v>139949178</v>
      </c>
      <c r="E6370" s="562">
        <v>58047822</v>
      </c>
      <c r="F6370" s="562">
        <v>197997000</v>
      </c>
      <c r="G6370" s="562">
        <f t="shared" si="357"/>
        <v>0</v>
      </c>
      <c r="H6370" s="362"/>
      <c r="I6370" s="362"/>
      <c r="J6370" s="362"/>
    </row>
    <row r="6371" spans="1:10" x14ac:dyDescent="0.25">
      <c r="A6371" s="362"/>
      <c r="B6371" s="611">
        <v>44512</v>
      </c>
      <c r="C6371" s="362" t="s">
        <v>81</v>
      </c>
      <c r="D6371" s="562">
        <v>77760244</v>
      </c>
      <c r="E6371" s="562">
        <v>8621685</v>
      </c>
      <c r="F6371" s="562">
        <v>86372000</v>
      </c>
      <c r="G6371" s="562">
        <f t="shared" si="357"/>
        <v>9929</v>
      </c>
      <c r="H6371" s="362"/>
      <c r="I6371" s="362"/>
      <c r="J6371" s="362"/>
    </row>
    <row r="6372" spans="1:10" x14ac:dyDescent="0.25">
      <c r="A6372" s="362"/>
      <c r="B6372" s="611">
        <v>44512</v>
      </c>
      <c r="C6372" s="362" t="s">
        <v>84</v>
      </c>
      <c r="D6372" s="562">
        <v>255755178</v>
      </c>
      <c r="E6372" s="562">
        <v>11812674</v>
      </c>
      <c r="F6372" s="562">
        <v>267567900</v>
      </c>
      <c r="G6372" s="562">
        <f t="shared" si="357"/>
        <v>-48</v>
      </c>
      <c r="H6372" s="362"/>
      <c r="I6372" s="362"/>
      <c r="J6372" s="362"/>
    </row>
    <row r="6373" spans="1:10" x14ac:dyDescent="0.25">
      <c r="A6373" s="362"/>
      <c r="B6373" s="611">
        <v>44512</v>
      </c>
      <c r="C6373" s="362" t="s">
        <v>4751</v>
      </c>
      <c r="D6373" s="562">
        <v>138363011</v>
      </c>
      <c r="E6373" s="562">
        <v>9229089</v>
      </c>
      <c r="F6373" s="562">
        <v>147592100</v>
      </c>
      <c r="G6373" s="562">
        <f t="shared" si="357"/>
        <v>0</v>
      </c>
      <c r="H6373" s="362"/>
      <c r="I6373" s="362"/>
      <c r="J6373" s="362"/>
    </row>
    <row r="6374" spans="1:10" x14ac:dyDescent="0.25">
      <c r="A6374" s="362"/>
      <c r="B6374" s="611">
        <v>44512</v>
      </c>
      <c r="C6374" s="362" t="s">
        <v>166</v>
      </c>
      <c r="D6374" s="562">
        <v>45060377</v>
      </c>
      <c r="E6374" s="562"/>
      <c r="F6374" s="562">
        <v>45060500</v>
      </c>
      <c r="G6374" s="562">
        <f t="shared" si="357"/>
        <v>-123</v>
      </c>
      <c r="H6374" s="362"/>
      <c r="I6374" s="362"/>
      <c r="J6374" s="362"/>
    </row>
    <row r="6375" spans="1:10" x14ac:dyDescent="0.25">
      <c r="A6375" s="362"/>
      <c r="B6375" s="611">
        <v>44512</v>
      </c>
      <c r="C6375" s="362" t="s">
        <v>3435</v>
      </c>
      <c r="D6375" s="562">
        <v>25101329</v>
      </c>
      <c r="E6375" s="562"/>
      <c r="F6375" s="562">
        <v>25101400</v>
      </c>
      <c r="G6375" s="562">
        <f t="shared" si="357"/>
        <v>-71</v>
      </c>
      <c r="H6375" s="362"/>
      <c r="I6375" s="362"/>
      <c r="J6375" s="362"/>
    </row>
    <row r="6376" spans="1:10" x14ac:dyDescent="0.25">
      <c r="A6376" s="362"/>
      <c r="B6376" s="611">
        <v>44512</v>
      </c>
      <c r="C6376" s="370" t="s">
        <v>85</v>
      </c>
      <c r="D6376" s="362">
        <v>24340000</v>
      </c>
      <c r="E6376" s="362"/>
      <c r="F6376" s="362">
        <v>24340000</v>
      </c>
      <c r="G6376" s="562">
        <f t="shared" si="357"/>
        <v>0</v>
      </c>
      <c r="H6376" s="362"/>
      <c r="I6376" s="362"/>
      <c r="J6376" s="362"/>
    </row>
    <row r="6377" spans="1:10" x14ac:dyDescent="0.25">
      <c r="A6377" s="532"/>
      <c r="B6377" s="532"/>
      <c r="C6377" s="532"/>
      <c r="D6377" s="632">
        <f>SUM(D6362:D6376)</f>
        <v>1947604396</v>
      </c>
      <c r="E6377" s="632">
        <f t="shared" ref="E6377:G6377" si="359">SUM(E6362:E6376)</f>
        <v>274837066</v>
      </c>
      <c r="F6377" s="632">
        <f t="shared" si="359"/>
        <v>2222432200</v>
      </c>
      <c r="G6377" s="632">
        <f t="shared" si="359"/>
        <v>9262</v>
      </c>
      <c r="H6377" s="532"/>
      <c r="I6377" s="532"/>
      <c r="J6377" s="532"/>
    </row>
    <row r="6378" spans="1:10" x14ac:dyDescent="0.25">
      <c r="A6378" s="362"/>
      <c r="B6378" s="611">
        <v>44513</v>
      </c>
      <c r="C6378" s="362" t="s">
        <v>86</v>
      </c>
      <c r="D6378" s="562">
        <v>46728514</v>
      </c>
      <c r="E6378" s="562">
        <v>65557305</v>
      </c>
      <c r="F6378" s="562"/>
      <c r="G6378" s="562">
        <f t="shared" si="357"/>
        <v>112285819</v>
      </c>
      <c r="H6378" s="362"/>
      <c r="I6378" s="362"/>
      <c r="J6378" s="362"/>
    </row>
    <row r="6379" spans="1:10" x14ac:dyDescent="0.25">
      <c r="A6379" s="362"/>
      <c r="B6379" s="611">
        <v>44513</v>
      </c>
      <c r="C6379" s="362" t="s">
        <v>87</v>
      </c>
      <c r="D6379" s="562">
        <v>48720751</v>
      </c>
      <c r="E6379" s="562">
        <v>206014091</v>
      </c>
      <c r="F6379" s="562"/>
      <c r="G6379" s="562">
        <f t="shared" si="357"/>
        <v>254734842</v>
      </c>
      <c r="H6379" s="362"/>
      <c r="I6379" s="362"/>
      <c r="J6379" s="362"/>
    </row>
    <row r="6380" spans="1:10" x14ac:dyDescent="0.25">
      <c r="A6380" s="362"/>
      <c r="B6380" s="611">
        <v>44513</v>
      </c>
      <c r="C6380" s="362" t="s">
        <v>88</v>
      </c>
      <c r="D6380" s="562">
        <v>149263447</v>
      </c>
      <c r="E6380" s="562">
        <v>6400511</v>
      </c>
      <c r="F6380" s="562"/>
      <c r="G6380" s="562">
        <f t="shared" si="357"/>
        <v>155663958</v>
      </c>
      <c r="H6380" s="362"/>
      <c r="I6380" s="362"/>
      <c r="J6380" s="362"/>
    </row>
    <row r="6381" spans="1:10" x14ac:dyDescent="0.25">
      <c r="A6381" s="362"/>
      <c r="B6381" s="611">
        <v>44513</v>
      </c>
      <c r="C6381" s="362" t="s">
        <v>82</v>
      </c>
      <c r="D6381" s="562">
        <v>61335544</v>
      </c>
      <c r="E6381" s="562">
        <v>21255075</v>
      </c>
      <c r="F6381" s="562"/>
      <c r="G6381" s="562">
        <f t="shared" si="357"/>
        <v>82590619</v>
      </c>
      <c r="H6381" s="362"/>
      <c r="I6381" s="362"/>
      <c r="J6381" s="362"/>
    </row>
    <row r="6382" spans="1:10" x14ac:dyDescent="0.25">
      <c r="A6382" s="362"/>
      <c r="B6382" s="611">
        <v>44513</v>
      </c>
      <c r="C6382" s="362" t="s">
        <v>80</v>
      </c>
      <c r="D6382" s="562">
        <v>219972923</v>
      </c>
      <c r="E6382" s="562">
        <v>40290000</v>
      </c>
      <c r="F6382" s="562"/>
      <c r="G6382" s="562">
        <f t="shared" si="357"/>
        <v>260262923</v>
      </c>
      <c r="H6382" s="362"/>
      <c r="I6382" s="362"/>
      <c r="J6382" s="362"/>
    </row>
    <row r="6383" spans="1:10" x14ac:dyDescent="0.25">
      <c r="A6383" s="362"/>
      <c r="B6383" s="611">
        <v>44513</v>
      </c>
      <c r="C6383" s="362" t="s">
        <v>83</v>
      </c>
      <c r="D6383" s="562">
        <v>129095324</v>
      </c>
      <c r="E6383" s="562">
        <v>150484966</v>
      </c>
      <c r="F6383" s="562"/>
      <c r="G6383" s="562">
        <f t="shared" si="357"/>
        <v>279580290</v>
      </c>
      <c r="H6383" s="362"/>
      <c r="I6383" s="362"/>
      <c r="J6383" s="362"/>
    </row>
    <row r="6384" spans="1:10" x14ac:dyDescent="0.25">
      <c r="A6384" s="362"/>
      <c r="B6384" s="611">
        <v>44513</v>
      </c>
      <c r="C6384" s="362" t="s">
        <v>78</v>
      </c>
      <c r="D6384" s="562">
        <v>136662039</v>
      </c>
      <c r="E6384" s="562">
        <v>9887361</v>
      </c>
      <c r="F6384" s="562"/>
      <c r="G6384" s="562">
        <f t="shared" si="357"/>
        <v>146549400</v>
      </c>
      <c r="H6384" s="362"/>
      <c r="I6384" s="362"/>
      <c r="J6384" s="362"/>
    </row>
    <row r="6385" spans="1:10" x14ac:dyDescent="0.25">
      <c r="A6385" s="362"/>
      <c r="B6385" s="611">
        <v>44513</v>
      </c>
      <c r="C6385" s="362" t="s">
        <v>141</v>
      </c>
      <c r="D6385" s="562">
        <v>41084827</v>
      </c>
      <c r="E6385" s="562">
        <v>1419214</v>
      </c>
      <c r="F6385" s="562"/>
      <c r="G6385" s="562">
        <f t="shared" si="357"/>
        <v>42504041</v>
      </c>
      <c r="H6385" s="362"/>
      <c r="I6385" s="362"/>
      <c r="J6385" s="362"/>
    </row>
    <row r="6386" spans="1:10" x14ac:dyDescent="0.25">
      <c r="A6386" s="362"/>
      <c r="B6386" s="611">
        <v>44513</v>
      </c>
      <c r="C6386" s="362" t="s">
        <v>89</v>
      </c>
      <c r="D6386" s="562">
        <v>89706130</v>
      </c>
      <c r="E6386" s="562">
        <v>58712070</v>
      </c>
      <c r="F6386" s="562"/>
      <c r="G6386" s="562">
        <f t="shared" si="357"/>
        <v>148418200</v>
      </c>
      <c r="H6386" s="362"/>
      <c r="I6386" s="362"/>
      <c r="J6386" s="362"/>
    </row>
    <row r="6387" spans="1:10" x14ac:dyDescent="0.25">
      <c r="A6387" s="362"/>
      <c r="B6387" s="611">
        <v>44513</v>
      </c>
      <c r="C6387" s="362" t="s">
        <v>81</v>
      </c>
      <c r="D6387" s="562">
        <v>143403378</v>
      </c>
      <c r="E6387" s="562">
        <v>8626562</v>
      </c>
      <c r="F6387" s="562"/>
      <c r="G6387" s="562">
        <f t="shared" si="357"/>
        <v>152029940</v>
      </c>
      <c r="H6387" s="362"/>
      <c r="I6387" s="362"/>
      <c r="J6387" s="362"/>
    </row>
    <row r="6388" spans="1:10" x14ac:dyDescent="0.25">
      <c r="A6388" s="362"/>
      <c r="B6388" s="611">
        <v>44513</v>
      </c>
      <c r="C6388" s="362" t="s">
        <v>84</v>
      </c>
      <c r="D6388" s="562">
        <v>193232988</v>
      </c>
      <c r="E6388" s="562">
        <v>21680290</v>
      </c>
      <c r="F6388" s="562"/>
      <c r="G6388" s="562">
        <f t="shared" si="357"/>
        <v>214913278</v>
      </c>
      <c r="H6388" s="362"/>
      <c r="I6388" s="362"/>
      <c r="J6388" s="362"/>
    </row>
    <row r="6389" spans="1:10" x14ac:dyDescent="0.25">
      <c r="A6389" s="362"/>
      <c r="B6389" s="611">
        <v>44513</v>
      </c>
      <c r="C6389" s="362" t="s">
        <v>4751</v>
      </c>
      <c r="D6389" s="562">
        <v>229205537</v>
      </c>
      <c r="E6389" s="562">
        <v>6212463</v>
      </c>
      <c r="F6389" s="562"/>
      <c r="G6389" s="562">
        <f t="shared" si="357"/>
        <v>235418000</v>
      </c>
      <c r="H6389" s="362"/>
      <c r="I6389" s="362"/>
      <c r="J6389" s="362"/>
    </row>
    <row r="6390" spans="1:10" x14ac:dyDescent="0.25">
      <c r="A6390" s="362"/>
      <c r="B6390" s="611">
        <v>44513</v>
      </c>
      <c r="C6390" s="362" t="s">
        <v>166</v>
      </c>
      <c r="D6390" s="562"/>
      <c r="E6390" s="562"/>
      <c r="F6390" s="562"/>
      <c r="G6390" s="562">
        <f t="shared" si="357"/>
        <v>0</v>
      </c>
      <c r="H6390" s="362"/>
      <c r="I6390" s="362"/>
      <c r="J6390" s="362"/>
    </row>
    <row r="6391" spans="1:10" x14ac:dyDescent="0.25">
      <c r="A6391" s="362"/>
      <c r="B6391" s="611">
        <v>44513</v>
      </c>
      <c r="C6391" s="362" t="s">
        <v>3435</v>
      </c>
      <c r="D6391" s="562"/>
      <c r="E6391" s="562"/>
      <c r="F6391" s="562"/>
      <c r="G6391" s="562">
        <f t="shared" si="357"/>
        <v>0</v>
      </c>
      <c r="H6391" s="362"/>
      <c r="I6391" s="362"/>
      <c r="J6391" s="362"/>
    </row>
    <row r="6392" spans="1:10" x14ac:dyDescent="0.25">
      <c r="A6392" s="362"/>
      <c r="B6392" s="611">
        <v>44513</v>
      </c>
      <c r="C6392" s="370" t="s">
        <v>85</v>
      </c>
      <c r="D6392" s="562">
        <v>42894800</v>
      </c>
      <c r="E6392" s="562"/>
      <c r="F6392" s="562"/>
      <c r="G6392" s="562">
        <f t="shared" si="357"/>
        <v>42894800</v>
      </c>
      <c r="H6392" s="362"/>
      <c r="I6392" s="362"/>
      <c r="J6392" s="362"/>
    </row>
    <row r="6393" spans="1:10" x14ac:dyDescent="0.25">
      <c r="A6393" s="532"/>
      <c r="B6393" s="532"/>
      <c r="C6393" s="532"/>
      <c r="D6393" s="564">
        <f>SUM(D6378:D6392)</f>
        <v>1531306202</v>
      </c>
      <c r="E6393" s="564">
        <f t="shared" ref="E6393:G6393" si="360">SUM(E6378:E6392)</f>
        <v>596539908</v>
      </c>
      <c r="F6393" s="564">
        <f t="shared" si="360"/>
        <v>0</v>
      </c>
      <c r="G6393" s="564">
        <f t="shared" si="360"/>
        <v>2127846110</v>
      </c>
      <c r="H6393" s="532"/>
      <c r="I6393" s="532"/>
      <c r="J6393" s="532"/>
    </row>
    <row r="6394" spans="1:10" x14ac:dyDescent="0.25">
      <c r="A6394" s="362"/>
      <c r="B6394" s="611">
        <v>44515</v>
      </c>
      <c r="C6394" s="362" t="s">
        <v>86</v>
      </c>
      <c r="D6394" s="562">
        <v>36083126</v>
      </c>
      <c r="E6394" s="562">
        <v>7403416</v>
      </c>
      <c r="F6394" s="562"/>
      <c r="G6394" s="562">
        <f t="shared" si="357"/>
        <v>43486542</v>
      </c>
      <c r="H6394" s="362"/>
      <c r="I6394" s="362"/>
      <c r="J6394" s="362"/>
    </row>
    <row r="6395" spans="1:10" x14ac:dyDescent="0.25">
      <c r="A6395" s="362"/>
      <c r="B6395" s="611">
        <v>44515</v>
      </c>
      <c r="C6395" s="362" t="s">
        <v>87</v>
      </c>
      <c r="D6395" s="562">
        <v>91814207</v>
      </c>
      <c r="E6395" s="562">
        <v>19642413</v>
      </c>
      <c r="F6395" s="562"/>
      <c r="G6395" s="562">
        <f t="shared" si="357"/>
        <v>111456620</v>
      </c>
      <c r="H6395" s="362"/>
      <c r="I6395" s="362"/>
      <c r="J6395" s="362"/>
    </row>
    <row r="6396" spans="1:10" x14ac:dyDescent="0.25">
      <c r="A6396" s="362"/>
      <c r="B6396" s="611">
        <v>44515</v>
      </c>
      <c r="C6396" s="362" t="s">
        <v>88</v>
      </c>
      <c r="D6396" s="562">
        <v>139349523</v>
      </c>
      <c r="E6396" s="562">
        <v>61977432</v>
      </c>
      <c r="F6396" s="562"/>
      <c r="G6396" s="562">
        <f t="shared" si="357"/>
        <v>201326955</v>
      </c>
      <c r="H6396" s="362"/>
      <c r="I6396" s="362"/>
      <c r="J6396" s="362"/>
    </row>
    <row r="6397" spans="1:10" x14ac:dyDescent="0.25">
      <c r="A6397" s="362"/>
      <c r="B6397" s="611">
        <v>44515</v>
      </c>
      <c r="C6397" s="362" t="s">
        <v>82</v>
      </c>
      <c r="D6397" s="562">
        <v>55384532</v>
      </c>
      <c r="E6397" s="562">
        <v>12298909</v>
      </c>
      <c r="F6397" s="562"/>
      <c r="G6397" s="562">
        <f t="shared" si="357"/>
        <v>67683441</v>
      </c>
      <c r="H6397" s="362"/>
      <c r="I6397" s="362"/>
      <c r="J6397" s="362"/>
    </row>
    <row r="6398" spans="1:10" x14ac:dyDescent="0.25">
      <c r="A6398" s="362"/>
      <c r="B6398" s="611">
        <v>44515</v>
      </c>
      <c r="C6398" s="362" t="s">
        <v>80</v>
      </c>
      <c r="D6398" s="562">
        <v>260053717</v>
      </c>
      <c r="E6398" s="562"/>
      <c r="F6398" s="562"/>
      <c r="G6398" s="562">
        <f t="shared" si="357"/>
        <v>260053717</v>
      </c>
      <c r="H6398" s="362"/>
      <c r="I6398" s="362"/>
      <c r="J6398" s="362"/>
    </row>
    <row r="6399" spans="1:10" x14ac:dyDescent="0.25">
      <c r="A6399" s="362"/>
      <c r="B6399" s="611">
        <v>44515</v>
      </c>
      <c r="C6399" s="362" t="s">
        <v>83</v>
      </c>
      <c r="D6399" s="562">
        <v>165118896</v>
      </c>
      <c r="E6399" s="562">
        <v>80503213</v>
      </c>
      <c r="F6399" s="562"/>
      <c r="G6399" s="562">
        <f t="shared" si="357"/>
        <v>245622109</v>
      </c>
      <c r="H6399" s="362"/>
      <c r="I6399" s="362"/>
      <c r="J6399" s="362"/>
    </row>
    <row r="6400" spans="1:10" x14ac:dyDescent="0.25">
      <c r="A6400" s="362"/>
      <c r="B6400" s="611">
        <v>44515</v>
      </c>
      <c r="C6400" s="362" t="s">
        <v>78</v>
      </c>
      <c r="D6400" s="562">
        <v>76136118</v>
      </c>
      <c r="E6400" s="562">
        <v>913482</v>
      </c>
      <c r="F6400" s="562"/>
      <c r="G6400" s="562">
        <f t="shared" si="357"/>
        <v>77049600</v>
      </c>
      <c r="H6400" s="362"/>
      <c r="I6400" s="362"/>
      <c r="J6400" s="362"/>
    </row>
    <row r="6401" spans="1:10" x14ac:dyDescent="0.25">
      <c r="A6401" s="362"/>
      <c r="B6401" s="611">
        <v>44515</v>
      </c>
      <c r="C6401" s="362" t="s">
        <v>141</v>
      </c>
      <c r="D6401" s="562">
        <v>58516867</v>
      </c>
      <c r="E6401" s="562">
        <v>1166124</v>
      </c>
      <c r="F6401" s="562"/>
      <c r="G6401" s="562">
        <f t="shared" si="357"/>
        <v>59682991</v>
      </c>
      <c r="H6401" s="362"/>
      <c r="I6401" s="362"/>
      <c r="J6401" s="362"/>
    </row>
    <row r="6402" spans="1:10" x14ac:dyDescent="0.25">
      <c r="A6402" s="362"/>
      <c r="B6402" s="611">
        <v>44515</v>
      </c>
      <c r="C6402" s="362" t="s">
        <v>89</v>
      </c>
      <c r="D6402" s="562">
        <v>123891247</v>
      </c>
      <c r="E6402" s="562">
        <v>41416153</v>
      </c>
      <c r="F6402" s="562"/>
      <c r="G6402" s="562">
        <f t="shared" si="357"/>
        <v>165307400</v>
      </c>
      <c r="H6402" s="362"/>
      <c r="I6402" s="362"/>
      <c r="J6402" s="362"/>
    </row>
    <row r="6403" spans="1:10" x14ac:dyDescent="0.25">
      <c r="A6403" s="362"/>
      <c r="B6403" s="611">
        <v>44515</v>
      </c>
      <c r="C6403" s="362" t="s">
        <v>81</v>
      </c>
      <c r="D6403" s="562">
        <v>133562075</v>
      </c>
      <c r="E6403" s="562">
        <v>49314447</v>
      </c>
      <c r="F6403" s="562"/>
      <c r="G6403" s="562">
        <f t="shared" si="357"/>
        <v>182876522</v>
      </c>
      <c r="H6403" s="362"/>
      <c r="I6403" s="362"/>
      <c r="J6403" s="362"/>
    </row>
    <row r="6404" spans="1:10" x14ac:dyDescent="0.25">
      <c r="A6404" s="362"/>
      <c r="B6404" s="611">
        <v>44515</v>
      </c>
      <c r="C6404" s="362" t="s">
        <v>84</v>
      </c>
      <c r="D6404" s="562">
        <v>334126818</v>
      </c>
      <c r="E6404" s="562">
        <v>25546725</v>
      </c>
      <c r="F6404" s="562"/>
      <c r="G6404" s="562">
        <f t="shared" si="357"/>
        <v>359673543</v>
      </c>
      <c r="H6404" s="362"/>
      <c r="I6404" s="362"/>
      <c r="J6404" s="362"/>
    </row>
    <row r="6405" spans="1:10" x14ac:dyDescent="0.25">
      <c r="A6405" s="362"/>
      <c r="B6405" s="611">
        <v>44515</v>
      </c>
      <c r="C6405" s="362" t="s">
        <v>4751</v>
      </c>
      <c r="D6405" s="562">
        <v>187972765</v>
      </c>
      <c r="E6405" s="562">
        <v>17016135</v>
      </c>
      <c r="F6405" s="562"/>
      <c r="G6405" s="562">
        <f t="shared" si="357"/>
        <v>204988900</v>
      </c>
      <c r="H6405" s="362"/>
      <c r="I6405" s="362"/>
      <c r="J6405" s="362"/>
    </row>
    <row r="6406" spans="1:10" x14ac:dyDescent="0.25">
      <c r="A6406" s="362"/>
      <c r="B6406" s="611">
        <v>44515</v>
      </c>
      <c r="C6406" s="362" t="s">
        <v>166</v>
      </c>
      <c r="D6406" s="562">
        <v>63556905</v>
      </c>
      <c r="E6406" s="562"/>
      <c r="F6406" s="562"/>
      <c r="G6406" s="562">
        <f t="shared" si="357"/>
        <v>63556905</v>
      </c>
      <c r="H6406" s="362"/>
      <c r="I6406" s="362"/>
      <c r="J6406" s="362"/>
    </row>
    <row r="6407" spans="1:10" x14ac:dyDescent="0.25">
      <c r="A6407" s="362"/>
      <c r="B6407" s="611">
        <v>44515</v>
      </c>
      <c r="C6407" s="362" t="s">
        <v>3435</v>
      </c>
      <c r="D6407" s="562">
        <v>23591746</v>
      </c>
      <c r="E6407" s="562"/>
      <c r="F6407" s="562"/>
      <c r="G6407" s="562">
        <f t="shared" si="357"/>
        <v>23591746</v>
      </c>
      <c r="H6407" s="362"/>
      <c r="I6407" s="362"/>
      <c r="J6407" s="362"/>
    </row>
    <row r="6408" spans="1:10" x14ac:dyDescent="0.25">
      <c r="A6408" s="362"/>
      <c r="B6408" s="611">
        <v>44515</v>
      </c>
      <c r="C6408" s="370" t="s">
        <v>85</v>
      </c>
      <c r="D6408" s="562">
        <v>52965400</v>
      </c>
      <c r="E6408" s="562"/>
      <c r="F6408" s="562"/>
      <c r="G6408" s="562">
        <f t="shared" si="357"/>
        <v>52965400</v>
      </c>
      <c r="H6408" s="362"/>
      <c r="I6408" s="362"/>
      <c r="J6408" s="362"/>
    </row>
    <row r="6409" spans="1:10" x14ac:dyDescent="0.25">
      <c r="A6409" s="532"/>
      <c r="B6409" s="532"/>
      <c r="C6409" s="532"/>
      <c r="D6409" s="564">
        <f>SUM(D6394:D6408)</f>
        <v>1802123942</v>
      </c>
      <c r="E6409" s="564">
        <f t="shared" ref="E6409:G6409" si="361">SUM(E6394:E6408)</f>
        <v>317198449</v>
      </c>
      <c r="F6409" s="564">
        <f t="shared" si="361"/>
        <v>0</v>
      </c>
      <c r="G6409" s="564">
        <f t="shared" si="361"/>
        <v>2119322391</v>
      </c>
      <c r="H6409" s="532"/>
      <c r="I6409" s="532"/>
      <c r="J6409" s="532"/>
    </row>
    <row r="6410" spans="1:10" x14ac:dyDescent="0.25">
      <c r="A6410" s="362"/>
      <c r="B6410" s="611">
        <v>44516</v>
      </c>
      <c r="C6410" s="362" t="s">
        <v>86</v>
      </c>
      <c r="D6410" s="562">
        <v>82180014</v>
      </c>
      <c r="E6410" s="562">
        <v>37320940</v>
      </c>
      <c r="F6410" s="562"/>
      <c r="G6410" s="562">
        <f t="shared" si="357"/>
        <v>119500954</v>
      </c>
      <c r="H6410" s="362"/>
      <c r="I6410" s="362"/>
      <c r="J6410" s="362"/>
    </row>
    <row r="6411" spans="1:10" x14ac:dyDescent="0.25">
      <c r="A6411" s="362"/>
      <c r="B6411" s="611">
        <v>44516</v>
      </c>
      <c r="C6411" s="362" t="s">
        <v>87</v>
      </c>
      <c r="D6411" s="562">
        <v>93058132</v>
      </c>
      <c r="E6411" s="562">
        <v>82401400</v>
      </c>
      <c r="F6411" s="562"/>
      <c r="G6411" s="562">
        <f t="shared" si="357"/>
        <v>175459532</v>
      </c>
      <c r="H6411" s="362"/>
      <c r="I6411" s="362"/>
      <c r="J6411" s="362"/>
    </row>
    <row r="6412" spans="1:10" x14ac:dyDescent="0.25">
      <c r="A6412" s="362"/>
      <c r="B6412" s="611">
        <v>44516</v>
      </c>
      <c r="C6412" s="362" t="s">
        <v>88</v>
      </c>
      <c r="D6412" s="562">
        <v>262074416</v>
      </c>
      <c r="E6412" s="562">
        <v>53032832</v>
      </c>
      <c r="F6412" s="562"/>
      <c r="G6412" s="562">
        <f t="shared" ref="G6412:G6475" si="362">D6412+E6412-F6412</f>
        <v>315107248</v>
      </c>
      <c r="H6412" s="362"/>
      <c r="I6412" s="362"/>
      <c r="J6412" s="362"/>
    </row>
    <row r="6413" spans="1:10" x14ac:dyDescent="0.25">
      <c r="A6413" s="362"/>
      <c r="B6413" s="611">
        <v>44516</v>
      </c>
      <c r="C6413" s="362" t="s">
        <v>82</v>
      </c>
      <c r="D6413" s="562">
        <v>67638956</v>
      </c>
      <c r="E6413" s="562">
        <v>5409775</v>
      </c>
      <c r="F6413" s="562"/>
      <c r="G6413" s="562">
        <f t="shared" si="362"/>
        <v>73048731</v>
      </c>
      <c r="H6413" s="362"/>
      <c r="I6413" s="362"/>
      <c r="J6413" s="362"/>
    </row>
    <row r="6414" spans="1:10" x14ac:dyDescent="0.25">
      <c r="A6414" s="362"/>
      <c r="B6414" s="611">
        <v>44516</v>
      </c>
      <c r="C6414" s="362" t="s">
        <v>80</v>
      </c>
      <c r="D6414" s="562">
        <v>281468959</v>
      </c>
      <c r="E6414" s="562">
        <v>20340993</v>
      </c>
      <c r="F6414" s="562"/>
      <c r="G6414" s="562">
        <f t="shared" si="362"/>
        <v>301809952</v>
      </c>
      <c r="H6414" s="362"/>
      <c r="I6414" s="362"/>
      <c r="J6414" s="362"/>
    </row>
    <row r="6415" spans="1:10" x14ac:dyDescent="0.25">
      <c r="A6415" s="362"/>
      <c r="B6415" s="611">
        <v>44516</v>
      </c>
      <c r="C6415" s="362" t="s">
        <v>83</v>
      </c>
      <c r="D6415" s="562">
        <v>136244159</v>
      </c>
      <c r="E6415" s="562">
        <v>14788411</v>
      </c>
      <c r="F6415" s="562"/>
      <c r="G6415" s="562">
        <f t="shared" si="362"/>
        <v>151032570</v>
      </c>
      <c r="H6415" s="362"/>
      <c r="I6415" s="362"/>
      <c r="J6415" s="362"/>
    </row>
    <row r="6416" spans="1:10" x14ac:dyDescent="0.25">
      <c r="A6416" s="362"/>
      <c r="B6416" s="611">
        <v>44516</v>
      </c>
      <c r="C6416" s="362" t="s">
        <v>78</v>
      </c>
      <c r="D6416" s="562">
        <v>180107854</v>
      </c>
      <c r="E6416" s="562">
        <v>1190846</v>
      </c>
      <c r="F6416" s="562"/>
      <c r="G6416" s="562">
        <f t="shared" si="362"/>
        <v>181298700</v>
      </c>
      <c r="H6416" s="362"/>
      <c r="I6416" s="362"/>
      <c r="J6416" s="362"/>
    </row>
    <row r="6417" spans="1:10" x14ac:dyDescent="0.25">
      <c r="A6417" s="362"/>
      <c r="B6417" s="611">
        <v>44516</v>
      </c>
      <c r="C6417" s="362" t="s">
        <v>141</v>
      </c>
      <c r="D6417" s="562">
        <v>107570050</v>
      </c>
      <c r="E6417" s="562">
        <v>1282040</v>
      </c>
      <c r="F6417" s="562"/>
      <c r="G6417" s="562">
        <f t="shared" si="362"/>
        <v>108852090</v>
      </c>
      <c r="H6417" s="362"/>
      <c r="I6417" s="362"/>
      <c r="J6417" s="362"/>
    </row>
    <row r="6418" spans="1:10" x14ac:dyDescent="0.25">
      <c r="A6418" s="362"/>
      <c r="B6418" s="611">
        <v>44516</v>
      </c>
      <c r="C6418" s="362" t="s">
        <v>89</v>
      </c>
      <c r="D6418" s="562">
        <v>146709450</v>
      </c>
      <c r="E6418" s="562">
        <v>5242950</v>
      </c>
      <c r="F6418" s="562"/>
      <c r="G6418" s="562">
        <f t="shared" si="362"/>
        <v>151952400</v>
      </c>
      <c r="H6418" s="362"/>
      <c r="I6418" s="362"/>
      <c r="J6418" s="362"/>
    </row>
    <row r="6419" spans="1:10" x14ac:dyDescent="0.25">
      <c r="A6419" s="362"/>
      <c r="B6419" s="611">
        <v>44516</v>
      </c>
      <c r="C6419" s="362" t="s">
        <v>81</v>
      </c>
      <c r="D6419" s="562">
        <v>121936969</v>
      </c>
      <c r="E6419" s="562">
        <v>19969324</v>
      </c>
      <c r="F6419" s="562"/>
      <c r="G6419" s="562">
        <f t="shared" si="362"/>
        <v>141906293</v>
      </c>
      <c r="H6419" s="362"/>
      <c r="I6419" s="362"/>
      <c r="J6419" s="362"/>
    </row>
    <row r="6420" spans="1:10" x14ac:dyDescent="0.25">
      <c r="A6420" s="362"/>
      <c r="B6420" s="611">
        <v>44516</v>
      </c>
      <c r="C6420" s="362" t="s">
        <v>84</v>
      </c>
      <c r="D6420" s="562">
        <v>237073911</v>
      </c>
      <c r="E6420" s="562">
        <v>12287151</v>
      </c>
      <c r="F6420" s="562"/>
      <c r="G6420" s="562">
        <f t="shared" si="362"/>
        <v>249361062</v>
      </c>
      <c r="H6420" s="362"/>
      <c r="I6420" s="362"/>
      <c r="J6420" s="362"/>
    </row>
    <row r="6421" spans="1:10" x14ac:dyDescent="0.25">
      <c r="A6421" s="362"/>
      <c r="B6421" s="611">
        <v>44516</v>
      </c>
      <c r="C6421" s="362" t="s">
        <v>4751</v>
      </c>
      <c r="D6421" s="562">
        <v>248080227</v>
      </c>
      <c r="E6421" s="562">
        <v>7954273</v>
      </c>
      <c r="F6421" s="562"/>
      <c r="G6421" s="562">
        <f t="shared" si="362"/>
        <v>256034500</v>
      </c>
      <c r="H6421" s="362"/>
      <c r="I6421" s="362"/>
      <c r="J6421" s="362"/>
    </row>
    <row r="6422" spans="1:10" x14ac:dyDescent="0.25">
      <c r="A6422" s="362"/>
      <c r="B6422" s="611">
        <v>44516</v>
      </c>
      <c r="C6422" s="362" t="s">
        <v>166</v>
      </c>
      <c r="D6422" s="562">
        <v>88217022</v>
      </c>
      <c r="E6422" s="562"/>
      <c r="F6422" s="562"/>
      <c r="G6422" s="562">
        <f t="shared" si="362"/>
        <v>88217022</v>
      </c>
      <c r="H6422" s="362"/>
      <c r="I6422" s="362"/>
      <c r="J6422" s="362"/>
    </row>
    <row r="6423" spans="1:10" x14ac:dyDescent="0.25">
      <c r="A6423" s="362"/>
      <c r="B6423" s="611">
        <v>44516</v>
      </c>
      <c r="C6423" s="362" t="s">
        <v>3435</v>
      </c>
      <c r="D6423" s="562">
        <v>40539624</v>
      </c>
      <c r="E6423" s="562"/>
      <c r="F6423" s="562"/>
      <c r="G6423" s="562">
        <f t="shared" si="362"/>
        <v>40539624</v>
      </c>
      <c r="H6423" s="362"/>
      <c r="I6423" s="362"/>
      <c r="J6423" s="362"/>
    </row>
    <row r="6424" spans="1:10" x14ac:dyDescent="0.25">
      <c r="A6424" s="362"/>
      <c r="B6424" s="611">
        <v>44516</v>
      </c>
      <c r="C6424" s="370" t="s">
        <v>85</v>
      </c>
      <c r="D6424" s="562">
        <v>39742300</v>
      </c>
      <c r="E6424" s="562"/>
      <c r="F6424" s="562"/>
      <c r="G6424" s="562">
        <f t="shared" si="362"/>
        <v>39742300</v>
      </c>
      <c r="H6424" s="362"/>
      <c r="I6424" s="362"/>
      <c r="J6424" s="362"/>
    </row>
    <row r="6425" spans="1:10" x14ac:dyDescent="0.25">
      <c r="A6425" s="532"/>
      <c r="B6425" s="532"/>
      <c r="C6425" s="532"/>
      <c r="D6425" s="564">
        <f>SUM(D6410:D6424)</f>
        <v>2132642043</v>
      </c>
      <c r="E6425" s="564">
        <f t="shared" ref="E6425:G6425" si="363">SUM(E6410:E6424)</f>
        <v>261220935</v>
      </c>
      <c r="F6425" s="564">
        <f t="shared" si="363"/>
        <v>0</v>
      </c>
      <c r="G6425" s="564">
        <f t="shared" si="363"/>
        <v>2393862978</v>
      </c>
      <c r="H6425" s="532"/>
      <c r="I6425" s="532"/>
      <c r="J6425" s="532"/>
    </row>
    <row r="6426" spans="1:10" x14ac:dyDescent="0.25">
      <c r="A6426" s="362"/>
      <c r="B6426" s="611">
        <v>44517</v>
      </c>
      <c r="C6426" s="362" t="s">
        <v>86</v>
      </c>
      <c r="D6426" s="562">
        <v>96941132</v>
      </c>
      <c r="E6426" s="562">
        <v>128773041</v>
      </c>
      <c r="F6426" s="562"/>
      <c r="G6426" s="562">
        <f t="shared" si="362"/>
        <v>225714173</v>
      </c>
      <c r="H6426" s="362"/>
      <c r="I6426" s="362"/>
      <c r="J6426" s="362"/>
    </row>
    <row r="6427" spans="1:10" x14ac:dyDescent="0.25">
      <c r="A6427" s="362"/>
      <c r="B6427" s="611">
        <v>44517</v>
      </c>
      <c r="C6427" s="362" t="s">
        <v>87</v>
      </c>
      <c r="D6427" s="562">
        <v>71942454</v>
      </c>
      <c r="E6427" s="562">
        <v>106270165</v>
      </c>
      <c r="F6427" s="562"/>
      <c r="G6427" s="562">
        <f t="shared" si="362"/>
        <v>178212619</v>
      </c>
      <c r="H6427" s="362"/>
      <c r="I6427" s="362"/>
      <c r="J6427" s="362"/>
    </row>
    <row r="6428" spans="1:10" x14ac:dyDescent="0.25">
      <c r="A6428" s="362"/>
      <c r="B6428" s="611">
        <v>44517</v>
      </c>
      <c r="C6428" s="362" t="s">
        <v>88</v>
      </c>
      <c r="D6428" s="562">
        <v>128405665</v>
      </c>
      <c r="E6428" s="562">
        <v>16539029</v>
      </c>
      <c r="F6428" s="562"/>
      <c r="G6428" s="562">
        <f t="shared" si="362"/>
        <v>144944694</v>
      </c>
      <c r="H6428" s="362"/>
      <c r="I6428" s="362"/>
      <c r="J6428" s="362"/>
    </row>
    <row r="6429" spans="1:10" x14ac:dyDescent="0.25">
      <c r="A6429" s="362"/>
      <c r="B6429" s="611">
        <v>44517</v>
      </c>
      <c r="C6429" s="362" t="s">
        <v>82</v>
      </c>
      <c r="D6429" s="562">
        <v>66805219</v>
      </c>
      <c r="E6429" s="562">
        <v>2941360</v>
      </c>
      <c r="F6429" s="562"/>
      <c r="G6429" s="562">
        <f t="shared" si="362"/>
        <v>69746579</v>
      </c>
      <c r="H6429" s="362"/>
      <c r="I6429" s="362"/>
      <c r="J6429" s="362"/>
    </row>
    <row r="6430" spans="1:10" x14ac:dyDescent="0.25">
      <c r="A6430" s="362"/>
      <c r="B6430" s="611">
        <v>44517</v>
      </c>
      <c r="C6430" s="362" t="s">
        <v>80</v>
      </c>
      <c r="D6430" s="562">
        <v>288050545</v>
      </c>
      <c r="E6430" s="562">
        <v>39839786</v>
      </c>
      <c r="F6430" s="562"/>
      <c r="G6430" s="562">
        <f t="shared" si="362"/>
        <v>327890331</v>
      </c>
      <c r="H6430" s="362"/>
      <c r="I6430" s="362"/>
      <c r="J6430" s="362"/>
    </row>
    <row r="6431" spans="1:10" x14ac:dyDescent="0.25">
      <c r="A6431" s="362"/>
      <c r="B6431" s="611">
        <v>44517</v>
      </c>
      <c r="C6431" s="362" t="s">
        <v>83</v>
      </c>
      <c r="D6431" s="562">
        <v>120115764</v>
      </c>
      <c r="E6431" s="562">
        <v>119605124</v>
      </c>
      <c r="F6431" s="562"/>
      <c r="G6431" s="562">
        <f t="shared" si="362"/>
        <v>239720888</v>
      </c>
      <c r="H6431" s="362"/>
      <c r="I6431" s="362"/>
      <c r="J6431" s="362"/>
    </row>
    <row r="6432" spans="1:10" x14ac:dyDescent="0.25">
      <c r="A6432" s="362"/>
      <c r="B6432" s="611">
        <v>44517</v>
      </c>
      <c r="C6432" s="362" t="s">
        <v>78</v>
      </c>
      <c r="D6432" s="562">
        <v>93664881</v>
      </c>
      <c r="E6432" s="562">
        <v>8925819</v>
      </c>
      <c r="F6432" s="562"/>
      <c r="G6432" s="562">
        <f t="shared" si="362"/>
        <v>102590700</v>
      </c>
      <c r="H6432" s="362"/>
      <c r="I6432" s="362"/>
      <c r="J6432" s="362"/>
    </row>
    <row r="6433" spans="1:10" x14ac:dyDescent="0.25">
      <c r="A6433" s="362"/>
      <c r="B6433" s="611">
        <v>44517</v>
      </c>
      <c r="C6433" s="362" t="s">
        <v>141</v>
      </c>
      <c r="D6433" s="562">
        <v>94991329</v>
      </c>
      <c r="E6433" s="562">
        <v>1397148</v>
      </c>
      <c r="F6433" s="562"/>
      <c r="G6433" s="562">
        <f t="shared" si="362"/>
        <v>96388477</v>
      </c>
      <c r="H6433" s="362"/>
      <c r="I6433" s="362"/>
      <c r="J6433" s="362"/>
    </row>
    <row r="6434" spans="1:10" x14ac:dyDescent="0.25">
      <c r="A6434" s="362"/>
      <c r="B6434" s="611">
        <v>44517</v>
      </c>
      <c r="C6434" s="362" t="s">
        <v>89</v>
      </c>
      <c r="D6434" s="562">
        <v>126080959</v>
      </c>
      <c r="E6434" s="562">
        <v>23910741</v>
      </c>
      <c r="F6434" s="562"/>
      <c r="G6434" s="562">
        <f t="shared" si="362"/>
        <v>149991700</v>
      </c>
      <c r="H6434" s="362"/>
      <c r="I6434" s="362"/>
      <c r="J6434" s="362"/>
    </row>
    <row r="6435" spans="1:10" x14ac:dyDescent="0.25">
      <c r="A6435" s="362"/>
      <c r="B6435" s="611">
        <v>44517</v>
      </c>
      <c r="C6435" s="362" t="s">
        <v>81</v>
      </c>
      <c r="D6435" s="562">
        <v>173856907</v>
      </c>
      <c r="E6435" s="562">
        <v>49858511</v>
      </c>
      <c r="F6435" s="562"/>
      <c r="G6435" s="562">
        <f t="shared" si="362"/>
        <v>223715418</v>
      </c>
      <c r="H6435" s="362"/>
      <c r="I6435" s="362"/>
      <c r="J6435" s="362"/>
    </row>
    <row r="6436" spans="1:10" x14ac:dyDescent="0.25">
      <c r="A6436" s="362"/>
      <c r="B6436" s="611">
        <v>44517</v>
      </c>
      <c r="C6436" s="362" t="s">
        <v>84</v>
      </c>
      <c r="D6436" s="562">
        <v>251787035</v>
      </c>
      <c r="E6436" s="562">
        <v>18573419</v>
      </c>
      <c r="F6436" s="562"/>
      <c r="G6436" s="562">
        <f t="shared" si="362"/>
        <v>270360454</v>
      </c>
      <c r="H6436" s="362"/>
      <c r="I6436" s="362"/>
      <c r="J6436" s="362"/>
    </row>
    <row r="6437" spans="1:10" x14ac:dyDescent="0.25">
      <c r="A6437" s="362"/>
      <c r="B6437" s="611">
        <v>44517</v>
      </c>
      <c r="C6437" s="362" t="s">
        <v>4751</v>
      </c>
      <c r="D6437" s="562">
        <v>220125471</v>
      </c>
      <c r="E6437" s="562">
        <v>12567129</v>
      </c>
      <c r="F6437" s="562"/>
      <c r="G6437" s="562">
        <f t="shared" si="362"/>
        <v>232692600</v>
      </c>
      <c r="H6437" s="362"/>
      <c r="I6437" s="362"/>
      <c r="J6437" s="362"/>
    </row>
    <row r="6438" spans="1:10" x14ac:dyDescent="0.25">
      <c r="A6438" s="362"/>
      <c r="B6438" s="611">
        <v>44517</v>
      </c>
      <c r="C6438" s="362" t="s">
        <v>166</v>
      </c>
      <c r="D6438" s="562">
        <v>86989798</v>
      </c>
      <c r="E6438" s="562"/>
      <c r="F6438" s="562"/>
      <c r="G6438" s="562">
        <f t="shared" si="362"/>
        <v>86989798</v>
      </c>
      <c r="H6438" s="362"/>
      <c r="I6438" s="362"/>
      <c r="J6438" s="362"/>
    </row>
    <row r="6439" spans="1:10" x14ac:dyDescent="0.25">
      <c r="A6439" s="362"/>
      <c r="B6439" s="611">
        <v>44517</v>
      </c>
      <c r="C6439" s="362" t="s">
        <v>3435</v>
      </c>
      <c r="D6439" s="562">
        <v>90816653</v>
      </c>
      <c r="E6439" s="562"/>
      <c r="F6439" s="562"/>
      <c r="G6439" s="562">
        <f t="shared" si="362"/>
        <v>90816653</v>
      </c>
      <c r="H6439" s="362"/>
      <c r="I6439" s="362"/>
      <c r="J6439" s="362"/>
    </row>
    <row r="6440" spans="1:10" x14ac:dyDescent="0.25">
      <c r="A6440" s="362"/>
      <c r="B6440" s="611">
        <v>44517</v>
      </c>
      <c r="C6440" s="370" t="s">
        <v>85</v>
      </c>
      <c r="D6440" s="562">
        <v>42833600</v>
      </c>
      <c r="E6440" s="562"/>
      <c r="F6440" s="562"/>
      <c r="G6440" s="562">
        <f t="shared" si="362"/>
        <v>42833600</v>
      </c>
      <c r="H6440" s="362"/>
      <c r="I6440" s="362"/>
      <c r="J6440" s="362"/>
    </row>
    <row r="6441" spans="1:10" x14ac:dyDescent="0.25">
      <c r="A6441" s="532"/>
      <c r="B6441" s="532"/>
      <c r="C6441" s="532"/>
      <c r="D6441" s="564">
        <f>SUM(D6426:D6440)</f>
        <v>1953407412</v>
      </c>
      <c r="E6441" s="564">
        <f t="shared" ref="E6441:I6441" si="364">SUM(E6426:E6440)</f>
        <v>529201272</v>
      </c>
      <c r="F6441" s="564">
        <f t="shared" si="364"/>
        <v>0</v>
      </c>
      <c r="G6441" s="564">
        <f t="shared" si="364"/>
        <v>2482608684</v>
      </c>
      <c r="H6441" s="632">
        <f t="shared" si="364"/>
        <v>0</v>
      </c>
      <c r="I6441" s="632">
        <f t="shared" si="364"/>
        <v>0</v>
      </c>
      <c r="J6441" s="532"/>
    </row>
    <row r="6442" spans="1:10" x14ac:dyDescent="0.25">
      <c r="A6442" s="362"/>
      <c r="B6442" s="611">
        <v>44518</v>
      </c>
      <c r="C6442" s="362" t="s">
        <v>86</v>
      </c>
      <c r="D6442" s="562">
        <v>79724699</v>
      </c>
      <c r="E6442" s="562">
        <v>15731897</v>
      </c>
      <c r="F6442" s="562"/>
      <c r="G6442" s="562">
        <f t="shared" si="362"/>
        <v>95456596</v>
      </c>
      <c r="H6442" s="362"/>
      <c r="I6442" s="362"/>
      <c r="J6442" s="362"/>
    </row>
    <row r="6443" spans="1:10" x14ac:dyDescent="0.25">
      <c r="A6443" s="362"/>
      <c r="B6443" s="611">
        <v>44518</v>
      </c>
      <c r="C6443" s="362" t="s">
        <v>87</v>
      </c>
      <c r="D6443" s="562">
        <v>56429431</v>
      </c>
      <c r="E6443" s="562">
        <v>107551631</v>
      </c>
      <c r="F6443" s="562"/>
      <c r="G6443" s="562">
        <f t="shared" si="362"/>
        <v>163981062</v>
      </c>
      <c r="H6443" s="362"/>
      <c r="I6443" s="362"/>
      <c r="J6443" s="362"/>
    </row>
    <row r="6444" spans="1:10" x14ac:dyDescent="0.25">
      <c r="A6444" s="362"/>
      <c r="B6444" s="611">
        <v>44518</v>
      </c>
      <c r="C6444" s="362" t="s">
        <v>88</v>
      </c>
      <c r="D6444" s="562">
        <v>234388201</v>
      </c>
      <c r="E6444" s="562">
        <v>13303962</v>
      </c>
      <c r="F6444" s="562"/>
      <c r="G6444" s="562">
        <f t="shared" si="362"/>
        <v>247692163</v>
      </c>
      <c r="H6444" s="362"/>
      <c r="I6444" s="362"/>
      <c r="J6444" s="362"/>
    </row>
    <row r="6445" spans="1:10" x14ac:dyDescent="0.25">
      <c r="A6445" s="362"/>
      <c r="B6445" s="611">
        <v>44518</v>
      </c>
      <c r="C6445" s="362" t="s">
        <v>82</v>
      </c>
      <c r="D6445" s="562">
        <v>166006145</v>
      </c>
      <c r="E6445" s="562">
        <v>3373409</v>
      </c>
      <c r="F6445" s="562"/>
      <c r="G6445" s="562">
        <f t="shared" si="362"/>
        <v>169379554</v>
      </c>
      <c r="H6445" s="362"/>
      <c r="I6445" s="362"/>
      <c r="J6445" s="362"/>
    </row>
    <row r="6446" spans="1:10" x14ac:dyDescent="0.25">
      <c r="A6446" s="362"/>
      <c r="B6446" s="611">
        <v>44518</v>
      </c>
      <c r="C6446" s="362" t="s">
        <v>80</v>
      </c>
      <c r="D6446" s="562">
        <v>232058400</v>
      </c>
      <c r="E6446" s="562"/>
      <c r="F6446" s="562"/>
      <c r="G6446" s="562">
        <f t="shared" si="362"/>
        <v>232058400</v>
      </c>
      <c r="H6446" s="362"/>
      <c r="I6446" s="362"/>
      <c r="J6446" s="362"/>
    </row>
    <row r="6447" spans="1:10" x14ac:dyDescent="0.25">
      <c r="A6447" s="362"/>
      <c r="B6447" s="611">
        <v>44518</v>
      </c>
      <c r="C6447" s="362" t="s">
        <v>83</v>
      </c>
      <c r="D6447" s="562">
        <v>117873679</v>
      </c>
      <c r="E6447" s="562">
        <v>16119879</v>
      </c>
      <c r="F6447" s="562"/>
      <c r="G6447" s="562">
        <f t="shared" si="362"/>
        <v>133993558</v>
      </c>
      <c r="H6447" s="362"/>
      <c r="I6447" s="362"/>
      <c r="J6447" s="362"/>
    </row>
    <row r="6448" spans="1:10" x14ac:dyDescent="0.25">
      <c r="A6448" s="362"/>
      <c r="B6448" s="611">
        <v>44518</v>
      </c>
      <c r="C6448" s="362" t="s">
        <v>78</v>
      </c>
      <c r="D6448" s="562">
        <v>133436840</v>
      </c>
      <c r="E6448" s="562">
        <v>3757360</v>
      </c>
      <c r="F6448" s="562"/>
      <c r="G6448" s="562">
        <f t="shared" si="362"/>
        <v>137194200</v>
      </c>
      <c r="H6448" s="362"/>
      <c r="I6448" s="362"/>
      <c r="J6448" s="362"/>
    </row>
    <row r="6449" spans="1:10" x14ac:dyDescent="0.25">
      <c r="A6449" s="362"/>
      <c r="B6449" s="611">
        <v>44518</v>
      </c>
      <c r="C6449" s="362" t="s">
        <v>141</v>
      </c>
      <c r="D6449" s="562">
        <v>127447598</v>
      </c>
      <c r="E6449" s="562">
        <v>1742794</v>
      </c>
      <c r="F6449" s="562"/>
      <c r="G6449" s="562">
        <f t="shared" si="362"/>
        <v>129190392</v>
      </c>
      <c r="H6449" s="362"/>
      <c r="I6449" s="362"/>
      <c r="J6449" s="362"/>
    </row>
    <row r="6450" spans="1:10" x14ac:dyDescent="0.25">
      <c r="A6450" s="362"/>
      <c r="B6450" s="611">
        <v>44518</v>
      </c>
      <c r="C6450" s="362" t="s">
        <v>89</v>
      </c>
      <c r="D6450" s="562">
        <v>175871012</v>
      </c>
      <c r="E6450" s="562">
        <v>17547888</v>
      </c>
      <c r="F6450" s="562"/>
      <c r="G6450" s="562">
        <f t="shared" si="362"/>
        <v>193418900</v>
      </c>
      <c r="H6450" s="362"/>
      <c r="I6450" s="362"/>
      <c r="J6450" s="362"/>
    </row>
    <row r="6451" spans="1:10" x14ac:dyDescent="0.25">
      <c r="A6451" s="362"/>
      <c r="B6451" s="611">
        <v>44518</v>
      </c>
      <c r="C6451" s="362" t="s">
        <v>81</v>
      </c>
      <c r="D6451" s="562">
        <v>84674599</v>
      </c>
      <c r="E6451" s="562">
        <v>10287052</v>
      </c>
      <c r="F6451" s="562"/>
      <c r="G6451" s="562">
        <f t="shared" si="362"/>
        <v>94961651</v>
      </c>
      <c r="H6451" s="362"/>
      <c r="I6451" s="362"/>
      <c r="J6451" s="362"/>
    </row>
    <row r="6452" spans="1:10" x14ac:dyDescent="0.25">
      <c r="A6452" s="362"/>
      <c r="B6452" s="611">
        <v>44518</v>
      </c>
      <c r="C6452" s="362" t="s">
        <v>84</v>
      </c>
      <c r="D6452" s="562">
        <v>337597844</v>
      </c>
      <c r="E6452" s="562">
        <v>12474234</v>
      </c>
      <c r="F6452" s="562"/>
      <c r="G6452" s="562">
        <f t="shared" si="362"/>
        <v>350072078</v>
      </c>
      <c r="H6452" s="362"/>
      <c r="I6452" s="362"/>
      <c r="J6452" s="362"/>
    </row>
    <row r="6453" spans="1:10" x14ac:dyDescent="0.25">
      <c r="A6453" s="362"/>
      <c r="B6453" s="611">
        <v>44518</v>
      </c>
      <c r="C6453" s="362" t="s">
        <v>4751</v>
      </c>
      <c r="D6453" s="562">
        <v>277034099</v>
      </c>
      <c r="E6453" s="562">
        <v>6835901</v>
      </c>
      <c r="F6453" s="562"/>
      <c r="G6453" s="562">
        <f t="shared" si="362"/>
        <v>283870000</v>
      </c>
      <c r="H6453" s="362"/>
      <c r="I6453" s="362"/>
      <c r="J6453" s="362"/>
    </row>
    <row r="6454" spans="1:10" x14ac:dyDescent="0.25">
      <c r="A6454" s="362"/>
      <c r="B6454" s="611">
        <v>44518</v>
      </c>
      <c r="C6454" s="362" t="s">
        <v>166</v>
      </c>
      <c r="D6454" s="562">
        <v>89398593</v>
      </c>
      <c r="E6454" s="562"/>
      <c r="F6454" s="562"/>
      <c r="G6454" s="562">
        <f t="shared" si="362"/>
        <v>89398593</v>
      </c>
      <c r="H6454" s="362"/>
      <c r="I6454" s="362"/>
      <c r="J6454" s="362"/>
    </row>
    <row r="6455" spans="1:10" x14ac:dyDescent="0.25">
      <c r="A6455" s="362"/>
      <c r="B6455" s="611">
        <v>44518</v>
      </c>
      <c r="C6455" s="362" t="s">
        <v>3435</v>
      </c>
      <c r="D6455" s="562">
        <v>137217810</v>
      </c>
      <c r="E6455" s="562"/>
      <c r="F6455" s="562"/>
      <c r="G6455" s="562">
        <f t="shared" si="362"/>
        <v>137217810</v>
      </c>
      <c r="H6455" s="362"/>
      <c r="I6455" s="362"/>
      <c r="J6455" s="362"/>
    </row>
    <row r="6456" spans="1:10" x14ac:dyDescent="0.25">
      <c r="A6456" s="362"/>
      <c r="B6456" s="611">
        <v>44518</v>
      </c>
      <c r="C6456" s="370" t="s">
        <v>85</v>
      </c>
      <c r="D6456" s="562">
        <v>36041400</v>
      </c>
      <c r="E6456" s="562"/>
      <c r="F6456" s="562"/>
      <c r="G6456" s="562">
        <f t="shared" si="362"/>
        <v>36041400</v>
      </c>
      <c r="H6456" s="362"/>
      <c r="I6456" s="362"/>
      <c r="J6456" s="362"/>
    </row>
    <row r="6457" spans="1:10" x14ac:dyDescent="0.25">
      <c r="A6457" s="532"/>
      <c r="B6457" s="532"/>
      <c r="C6457" s="532"/>
      <c r="D6457" s="564">
        <f>SUM(D6442:D6456)</f>
        <v>2285200350</v>
      </c>
      <c r="E6457" s="564">
        <f t="shared" ref="E6457:G6457" si="365">SUM(E6442:E6456)</f>
        <v>208726007</v>
      </c>
      <c r="F6457" s="564">
        <f t="shared" si="365"/>
        <v>0</v>
      </c>
      <c r="G6457" s="564">
        <f t="shared" si="365"/>
        <v>2493926357</v>
      </c>
      <c r="H6457" s="532"/>
      <c r="I6457" s="532"/>
      <c r="J6457" s="532"/>
    </row>
    <row r="6458" spans="1:10" x14ac:dyDescent="0.25">
      <c r="A6458" s="362"/>
      <c r="B6458" s="611">
        <v>44519</v>
      </c>
      <c r="C6458" s="362" t="s">
        <v>86</v>
      </c>
      <c r="D6458" s="562">
        <v>96067016</v>
      </c>
      <c r="E6458" s="562">
        <v>36514280</v>
      </c>
      <c r="F6458" s="562"/>
      <c r="G6458" s="562">
        <f t="shared" si="362"/>
        <v>132581296</v>
      </c>
      <c r="H6458" s="362"/>
      <c r="I6458" s="362"/>
      <c r="J6458" s="362"/>
    </row>
    <row r="6459" spans="1:10" x14ac:dyDescent="0.25">
      <c r="A6459" s="362"/>
      <c r="B6459" s="611">
        <v>44519</v>
      </c>
      <c r="C6459" s="362" t="s">
        <v>87</v>
      </c>
      <c r="D6459" s="562">
        <v>79190227</v>
      </c>
      <c r="E6459" s="562">
        <v>48972225</v>
      </c>
      <c r="F6459" s="562"/>
      <c r="G6459" s="562">
        <f t="shared" si="362"/>
        <v>128162452</v>
      </c>
      <c r="H6459" s="362"/>
      <c r="I6459" s="362"/>
      <c r="J6459" s="362"/>
    </row>
    <row r="6460" spans="1:10" x14ac:dyDescent="0.25">
      <c r="A6460" s="362"/>
      <c r="B6460" s="611">
        <v>44519</v>
      </c>
      <c r="C6460" s="362" t="s">
        <v>88</v>
      </c>
      <c r="D6460" s="562">
        <v>117080388</v>
      </c>
      <c r="E6460" s="562">
        <v>35093563</v>
      </c>
      <c r="F6460" s="562"/>
      <c r="G6460" s="562">
        <f t="shared" si="362"/>
        <v>152173951</v>
      </c>
      <c r="H6460" s="362"/>
      <c r="I6460" s="362"/>
      <c r="J6460" s="362"/>
    </row>
    <row r="6461" spans="1:10" x14ac:dyDescent="0.25">
      <c r="A6461" s="362"/>
      <c r="B6461" s="611">
        <v>44519</v>
      </c>
      <c r="C6461" s="362" t="s">
        <v>82</v>
      </c>
      <c r="D6461" s="562">
        <v>70052885</v>
      </c>
      <c r="E6461" s="562">
        <v>2027145</v>
      </c>
      <c r="F6461" s="562"/>
      <c r="G6461" s="562">
        <f t="shared" si="362"/>
        <v>72080030</v>
      </c>
      <c r="H6461" s="362"/>
      <c r="I6461" s="362"/>
      <c r="J6461" s="362"/>
    </row>
    <row r="6462" spans="1:10" x14ac:dyDescent="0.25">
      <c r="A6462" s="362"/>
      <c r="B6462" s="611">
        <v>44519</v>
      </c>
      <c r="C6462" s="362" t="s">
        <v>80</v>
      </c>
      <c r="D6462" s="562">
        <v>208897516</v>
      </c>
      <c r="E6462" s="562">
        <v>3120000</v>
      </c>
      <c r="F6462" s="562"/>
      <c r="G6462" s="562">
        <f t="shared" si="362"/>
        <v>212017516</v>
      </c>
      <c r="H6462" s="562"/>
      <c r="I6462" s="362"/>
      <c r="J6462" s="362"/>
    </row>
    <row r="6463" spans="1:10" x14ac:dyDescent="0.25">
      <c r="A6463" s="362"/>
      <c r="B6463" s="611">
        <v>44519</v>
      </c>
      <c r="C6463" s="362" t="s">
        <v>83</v>
      </c>
      <c r="D6463" s="562">
        <v>101811445</v>
      </c>
      <c r="E6463" s="562">
        <v>62751341</v>
      </c>
      <c r="F6463" s="562"/>
      <c r="G6463" s="562">
        <f t="shared" si="362"/>
        <v>164562786</v>
      </c>
      <c r="H6463" s="562"/>
      <c r="I6463" s="362"/>
      <c r="J6463" s="362"/>
    </row>
    <row r="6464" spans="1:10" x14ac:dyDescent="0.25">
      <c r="A6464" s="362"/>
      <c r="B6464" s="611">
        <v>44519</v>
      </c>
      <c r="C6464" s="362" t="s">
        <v>78</v>
      </c>
      <c r="D6464" s="562">
        <v>97316127</v>
      </c>
      <c r="E6464" s="562">
        <v>9854073</v>
      </c>
      <c r="F6464" s="562"/>
      <c r="G6464" s="562">
        <f t="shared" si="362"/>
        <v>107170200</v>
      </c>
      <c r="H6464" s="562"/>
      <c r="I6464" s="362"/>
      <c r="J6464" s="362"/>
    </row>
    <row r="6465" spans="1:10" x14ac:dyDescent="0.25">
      <c r="A6465" s="362"/>
      <c r="B6465" s="611">
        <v>44519</v>
      </c>
      <c r="C6465" s="362" t="s">
        <v>141</v>
      </c>
      <c r="D6465" s="562">
        <v>83832156</v>
      </c>
      <c r="E6465" s="562">
        <v>1430608</v>
      </c>
      <c r="F6465" s="562"/>
      <c r="G6465" s="562">
        <f t="shared" si="362"/>
        <v>85262764</v>
      </c>
      <c r="H6465" s="562"/>
      <c r="I6465" s="362"/>
      <c r="J6465" s="362"/>
    </row>
    <row r="6466" spans="1:10" x14ac:dyDescent="0.25">
      <c r="A6466" s="362"/>
      <c r="B6466" s="611">
        <v>44519</v>
      </c>
      <c r="C6466" s="362" t="s">
        <v>89</v>
      </c>
      <c r="D6466" s="562">
        <v>189334935</v>
      </c>
      <c r="E6466" s="562">
        <v>100163655</v>
      </c>
      <c r="F6466" s="562"/>
      <c r="G6466" s="562">
        <f t="shared" si="362"/>
        <v>289498590</v>
      </c>
      <c r="H6466" s="562"/>
      <c r="I6466" s="362"/>
      <c r="J6466" s="362"/>
    </row>
    <row r="6467" spans="1:10" x14ac:dyDescent="0.25">
      <c r="A6467" s="362"/>
      <c r="B6467" s="611">
        <v>44519</v>
      </c>
      <c r="C6467" s="362" t="s">
        <v>81</v>
      </c>
      <c r="D6467" s="562">
        <v>67997516</v>
      </c>
      <c r="E6467" s="562">
        <v>44944403</v>
      </c>
      <c r="F6467" s="562"/>
      <c r="G6467" s="562">
        <f t="shared" si="362"/>
        <v>112941919</v>
      </c>
      <c r="H6467" s="562"/>
      <c r="I6467" s="362"/>
      <c r="J6467" s="362"/>
    </row>
    <row r="6468" spans="1:10" x14ac:dyDescent="0.25">
      <c r="A6468" s="362"/>
      <c r="B6468" s="611">
        <v>44519</v>
      </c>
      <c r="C6468" s="362" t="s">
        <v>84</v>
      </c>
      <c r="D6468" s="562">
        <v>472461850</v>
      </c>
      <c r="E6468" s="562">
        <v>19695023</v>
      </c>
      <c r="F6468" s="562"/>
      <c r="G6468" s="562">
        <f t="shared" si="362"/>
        <v>492156873</v>
      </c>
      <c r="H6468" s="562"/>
      <c r="I6468" s="362"/>
      <c r="J6468" s="362"/>
    </row>
    <row r="6469" spans="1:10" x14ac:dyDescent="0.25">
      <c r="A6469" s="362"/>
      <c r="B6469" s="611">
        <v>44519</v>
      </c>
      <c r="C6469" s="362" t="s">
        <v>4751</v>
      </c>
      <c r="D6469" s="562">
        <v>223855024</v>
      </c>
      <c r="E6469" s="562">
        <v>10845076</v>
      </c>
      <c r="F6469" s="562"/>
      <c r="G6469" s="562">
        <f t="shared" si="362"/>
        <v>234700100</v>
      </c>
      <c r="H6469" s="562"/>
      <c r="I6469" s="362"/>
      <c r="J6469" s="362"/>
    </row>
    <row r="6470" spans="1:10" x14ac:dyDescent="0.25">
      <c r="A6470" s="362"/>
      <c r="B6470" s="611">
        <v>44519</v>
      </c>
      <c r="C6470" s="362" t="s">
        <v>166</v>
      </c>
      <c r="D6470" s="562">
        <v>54154427</v>
      </c>
      <c r="E6470" s="562"/>
      <c r="F6470" s="562"/>
      <c r="G6470" s="562">
        <f t="shared" si="362"/>
        <v>54154427</v>
      </c>
      <c r="H6470" s="562"/>
      <c r="I6470" s="362"/>
      <c r="J6470" s="362"/>
    </row>
    <row r="6471" spans="1:10" x14ac:dyDescent="0.25">
      <c r="A6471" s="362"/>
      <c r="B6471" s="611">
        <v>44519</v>
      </c>
      <c r="C6471" s="362" t="s">
        <v>3435</v>
      </c>
      <c r="D6471" s="562">
        <v>120624151</v>
      </c>
      <c r="E6471" s="562"/>
      <c r="F6471" s="562"/>
      <c r="G6471" s="562">
        <f t="shared" si="362"/>
        <v>120624151</v>
      </c>
      <c r="H6471" s="562"/>
      <c r="I6471" s="362"/>
      <c r="J6471" s="362"/>
    </row>
    <row r="6472" spans="1:10" x14ac:dyDescent="0.25">
      <c r="A6472" s="362"/>
      <c r="B6472" s="611">
        <v>44519</v>
      </c>
      <c r="C6472" s="370" t="s">
        <v>85</v>
      </c>
      <c r="D6472" s="562">
        <v>36571600</v>
      </c>
      <c r="E6472" s="562"/>
      <c r="F6472" s="562"/>
      <c r="G6472" s="562">
        <f t="shared" si="362"/>
        <v>36571600</v>
      </c>
      <c r="H6472" s="562"/>
      <c r="I6472" s="362"/>
      <c r="J6472" s="362"/>
    </row>
    <row r="6473" spans="1:10" x14ac:dyDescent="0.25">
      <c r="A6473" s="532"/>
      <c r="B6473" s="532"/>
      <c r="C6473" s="532"/>
      <c r="D6473" s="564">
        <f>SUM(D6458:D6472)</f>
        <v>2019247263</v>
      </c>
      <c r="E6473" s="564">
        <f t="shared" ref="E6473:G6473" si="366">SUM(E6458:E6472)</f>
        <v>375411392</v>
      </c>
      <c r="F6473" s="564">
        <f t="shared" si="366"/>
        <v>0</v>
      </c>
      <c r="G6473" s="564">
        <f t="shared" si="366"/>
        <v>2394658655</v>
      </c>
      <c r="H6473" s="564"/>
      <c r="I6473" s="532"/>
      <c r="J6473" s="532"/>
    </row>
    <row r="6474" spans="1:10" x14ac:dyDescent="0.25">
      <c r="A6474" s="362"/>
      <c r="B6474" s="611">
        <v>44520</v>
      </c>
      <c r="C6474" s="362" t="s">
        <v>86</v>
      </c>
      <c r="D6474" s="562">
        <v>50899854</v>
      </c>
      <c r="E6474" s="562">
        <v>36378990</v>
      </c>
      <c r="F6474" s="562"/>
      <c r="G6474" s="562">
        <f t="shared" si="362"/>
        <v>87278844</v>
      </c>
      <c r="H6474" s="562"/>
      <c r="I6474" s="362"/>
      <c r="J6474" s="362"/>
    </row>
    <row r="6475" spans="1:10" x14ac:dyDescent="0.25">
      <c r="A6475" s="362"/>
      <c r="B6475" s="611">
        <v>44520</v>
      </c>
      <c r="C6475" s="362" t="s">
        <v>87</v>
      </c>
      <c r="D6475" s="562">
        <v>54270909</v>
      </c>
      <c r="E6475" s="562">
        <v>108586384</v>
      </c>
      <c r="F6475" s="562"/>
      <c r="G6475" s="562">
        <f t="shared" si="362"/>
        <v>162857293</v>
      </c>
      <c r="H6475" s="562"/>
      <c r="I6475" s="362"/>
      <c r="J6475" s="362"/>
    </row>
    <row r="6476" spans="1:10" x14ac:dyDescent="0.25">
      <c r="A6476" s="362"/>
      <c r="B6476" s="611">
        <v>44520</v>
      </c>
      <c r="C6476" s="362" t="s">
        <v>88</v>
      </c>
      <c r="D6476" s="562">
        <v>116572086</v>
      </c>
      <c r="E6476" s="562">
        <v>14657242</v>
      </c>
      <c r="F6476" s="562"/>
      <c r="G6476" s="562">
        <f t="shared" ref="G6476:G6487" si="367">D6476+E6476-F6476</f>
        <v>131229328</v>
      </c>
      <c r="H6476" s="562"/>
      <c r="I6476" s="362"/>
      <c r="J6476" s="362"/>
    </row>
    <row r="6477" spans="1:10" x14ac:dyDescent="0.25">
      <c r="A6477" s="362"/>
      <c r="B6477" s="611">
        <v>44520</v>
      </c>
      <c r="C6477" s="362" t="s">
        <v>82</v>
      </c>
      <c r="D6477" s="562">
        <v>44382407</v>
      </c>
      <c r="E6477" s="562">
        <v>24285299</v>
      </c>
      <c r="F6477" s="562"/>
      <c r="G6477" s="562">
        <f t="shared" si="367"/>
        <v>68667706</v>
      </c>
      <c r="H6477" s="562"/>
      <c r="I6477" s="362"/>
      <c r="J6477" s="362"/>
    </row>
    <row r="6478" spans="1:10" x14ac:dyDescent="0.25">
      <c r="A6478" s="362"/>
      <c r="B6478" s="611">
        <v>44520</v>
      </c>
      <c r="C6478" s="362" t="s">
        <v>80</v>
      </c>
      <c r="D6478" s="562">
        <v>281326573</v>
      </c>
      <c r="E6478" s="562"/>
      <c r="F6478" s="562"/>
      <c r="G6478" s="562">
        <f t="shared" si="367"/>
        <v>281326573</v>
      </c>
      <c r="H6478" s="562"/>
      <c r="I6478" s="362"/>
      <c r="J6478" s="362"/>
    </row>
    <row r="6479" spans="1:10" x14ac:dyDescent="0.25">
      <c r="A6479" s="362"/>
      <c r="B6479" s="611">
        <v>44520</v>
      </c>
      <c r="C6479" s="362" t="s">
        <v>83</v>
      </c>
      <c r="D6479" s="562">
        <v>134551630</v>
      </c>
      <c r="E6479" s="562">
        <v>13397104</v>
      </c>
      <c r="F6479" s="562"/>
      <c r="G6479" s="562">
        <f t="shared" si="367"/>
        <v>147948734</v>
      </c>
      <c r="H6479" s="562"/>
      <c r="I6479" s="362"/>
      <c r="J6479" s="362"/>
    </row>
    <row r="6480" spans="1:10" x14ac:dyDescent="0.25">
      <c r="A6480" s="362"/>
      <c r="B6480" s="611">
        <v>44520</v>
      </c>
      <c r="C6480" s="362" t="s">
        <v>78</v>
      </c>
      <c r="D6480" s="562">
        <v>132709064</v>
      </c>
      <c r="E6480" s="562">
        <v>7685336</v>
      </c>
      <c r="F6480" s="562"/>
      <c r="G6480" s="562">
        <f t="shared" si="367"/>
        <v>140394400</v>
      </c>
      <c r="H6480" s="562"/>
      <c r="I6480" s="362"/>
      <c r="J6480" s="362"/>
    </row>
    <row r="6481" spans="1:12" x14ac:dyDescent="0.25">
      <c r="A6481" s="362"/>
      <c r="B6481" s="611">
        <v>44520</v>
      </c>
      <c r="C6481" s="362" t="s">
        <v>141</v>
      </c>
      <c r="D6481" s="562">
        <v>61151409</v>
      </c>
      <c r="E6481" s="562">
        <v>1324261</v>
      </c>
      <c r="F6481" s="562"/>
      <c r="G6481" s="562">
        <f t="shared" si="367"/>
        <v>62475670</v>
      </c>
      <c r="H6481" s="562"/>
      <c r="I6481" s="362"/>
      <c r="J6481" s="362"/>
    </row>
    <row r="6482" spans="1:12" x14ac:dyDescent="0.25">
      <c r="A6482" s="362"/>
      <c r="B6482" s="611">
        <v>44520</v>
      </c>
      <c r="C6482" s="362" t="s">
        <v>89</v>
      </c>
      <c r="D6482" s="562">
        <v>103290505</v>
      </c>
      <c r="E6482" s="562">
        <v>52927695</v>
      </c>
      <c r="F6482" s="562"/>
      <c r="G6482" s="562">
        <f t="shared" si="367"/>
        <v>156218200</v>
      </c>
      <c r="H6482" s="562"/>
      <c r="I6482" s="362"/>
      <c r="J6482" s="362"/>
      <c r="L6482" t="s">
        <v>6204</v>
      </c>
    </row>
    <row r="6483" spans="1:12" x14ac:dyDescent="0.25">
      <c r="A6483" s="362"/>
      <c r="B6483" s="611">
        <v>44520</v>
      </c>
      <c r="C6483" s="362" t="s">
        <v>81</v>
      </c>
      <c r="D6483" s="562">
        <v>119559262</v>
      </c>
      <c r="E6483" s="562">
        <v>43364015</v>
      </c>
      <c r="F6483" s="562"/>
      <c r="G6483" s="562">
        <f t="shared" si="367"/>
        <v>162923277</v>
      </c>
      <c r="H6483" s="362"/>
      <c r="I6483" s="362"/>
      <c r="J6483" s="362"/>
    </row>
    <row r="6484" spans="1:12" x14ac:dyDescent="0.25">
      <c r="A6484" s="362"/>
      <c r="B6484" s="611">
        <v>44520</v>
      </c>
      <c r="C6484" s="362" t="s">
        <v>84</v>
      </c>
      <c r="D6484" s="562">
        <v>307790730</v>
      </c>
      <c r="E6484" s="562">
        <v>18143761</v>
      </c>
      <c r="F6484" s="562"/>
      <c r="G6484" s="562">
        <f t="shared" si="367"/>
        <v>325934491</v>
      </c>
      <c r="H6484" s="362"/>
      <c r="I6484" s="362"/>
      <c r="J6484" s="362"/>
    </row>
    <row r="6485" spans="1:12" x14ac:dyDescent="0.25">
      <c r="A6485" s="362"/>
      <c r="B6485" s="611">
        <v>44520</v>
      </c>
      <c r="C6485" s="362" t="s">
        <v>4751</v>
      </c>
      <c r="D6485" s="562">
        <v>235344600</v>
      </c>
      <c r="E6485" s="562">
        <v>19587200</v>
      </c>
      <c r="F6485" s="562"/>
      <c r="G6485" s="562">
        <f t="shared" si="367"/>
        <v>254931800</v>
      </c>
      <c r="H6485" s="362"/>
      <c r="I6485" s="362"/>
      <c r="J6485" s="362"/>
    </row>
    <row r="6486" spans="1:12" x14ac:dyDescent="0.25">
      <c r="A6486" s="362"/>
      <c r="B6486" s="611">
        <v>44520</v>
      </c>
      <c r="C6486" s="362" t="s">
        <v>166</v>
      </c>
      <c r="D6486" s="562"/>
      <c r="E6486" s="562"/>
      <c r="F6486" s="562"/>
      <c r="G6486" s="562">
        <f t="shared" si="367"/>
        <v>0</v>
      </c>
      <c r="H6486" s="362"/>
      <c r="I6486" s="362"/>
      <c r="J6486" s="362"/>
    </row>
    <row r="6487" spans="1:12" x14ac:dyDescent="0.25">
      <c r="A6487" s="362"/>
      <c r="B6487" s="611">
        <v>44520</v>
      </c>
      <c r="C6487" s="362" t="s">
        <v>3435</v>
      </c>
      <c r="D6487" s="562"/>
      <c r="E6487" s="562"/>
      <c r="F6487" s="562"/>
      <c r="G6487" s="562">
        <f t="shared" si="367"/>
        <v>0</v>
      </c>
      <c r="H6487" s="362"/>
      <c r="I6487" s="362"/>
      <c r="J6487" s="362"/>
    </row>
    <row r="6488" spans="1:12" x14ac:dyDescent="0.25">
      <c r="A6488" s="362"/>
      <c r="B6488" s="611">
        <v>44520</v>
      </c>
      <c r="C6488" s="370" t="s">
        <v>85</v>
      </c>
      <c r="D6488" s="562">
        <v>28476100</v>
      </c>
      <c r="E6488" s="562"/>
      <c r="F6488" s="562"/>
      <c r="G6488" s="562">
        <f>D6488+E6488-F6488</f>
        <v>28476100</v>
      </c>
      <c r="H6488" s="362"/>
      <c r="I6488" s="362"/>
      <c r="J6488" s="362"/>
    </row>
    <row r="6489" spans="1:12" x14ac:dyDescent="0.25">
      <c r="A6489" s="532"/>
      <c r="B6489" s="532"/>
      <c r="C6489" s="532"/>
      <c r="D6489" s="564">
        <f>SUM(D6474:D6488)</f>
        <v>1670325129</v>
      </c>
      <c r="E6489" s="564">
        <f t="shared" ref="E6489:G6489" si="368">SUM(E6474:E6488)</f>
        <v>340337287</v>
      </c>
      <c r="F6489" s="564">
        <f t="shared" si="368"/>
        <v>0</v>
      </c>
      <c r="G6489" s="564">
        <f t="shared" si="368"/>
        <v>2010662416</v>
      </c>
      <c r="H6489" s="532"/>
      <c r="I6489" s="532"/>
      <c r="J6489" s="532"/>
    </row>
    <row r="6490" spans="1:12" x14ac:dyDescent="0.25">
      <c r="A6490" s="362"/>
      <c r="B6490" s="611">
        <v>44522</v>
      </c>
      <c r="C6490" s="362" t="s">
        <v>86</v>
      </c>
      <c r="D6490" s="562">
        <v>80706040</v>
      </c>
      <c r="E6490" s="562">
        <v>60467046</v>
      </c>
      <c r="F6490" s="562"/>
      <c r="G6490" s="562">
        <f>D6490+E6490-F6490</f>
        <v>141173086</v>
      </c>
      <c r="H6490" s="362"/>
      <c r="I6490" s="362"/>
      <c r="J6490" s="362"/>
    </row>
    <row r="6491" spans="1:12" x14ac:dyDescent="0.25">
      <c r="A6491" s="362"/>
      <c r="B6491" s="611">
        <v>44522</v>
      </c>
      <c r="C6491" s="362" t="s">
        <v>87</v>
      </c>
      <c r="D6491" s="562">
        <v>127643077</v>
      </c>
      <c r="E6491" s="562">
        <v>41280236</v>
      </c>
      <c r="F6491" s="562"/>
      <c r="G6491" s="562">
        <f t="shared" ref="G6491:G6503" si="369">D6491+E6491-F6491</f>
        <v>168923313</v>
      </c>
      <c r="H6491" s="362"/>
      <c r="I6491" s="362"/>
      <c r="J6491" s="362"/>
    </row>
    <row r="6492" spans="1:12" x14ac:dyDescent="0.25">
      <c r="A6492" s="362"/>
      <c r="B6492" s="611">
        <v>44522</v>
      </c>
      <c r="C6492" s="362" t="s">
        <v>88</v>
      </c>
      <c r="D6492" s="562">
        <v>272068629</v>
      </c>
      <c r="E6492" s="562">
        <v>112235339</v>
      </c>
      <c r="F6492" s="562"/>
      <c r="G6492" s="562">
        <f t="shared" si="369"/>
        <v>384303968</v>
      </c>
      <c r="H6492" s="362"/>
      <c r="I6492" s="362"/>
      <c r="J6492" s="362"/>
    </row>
    <row r="6493" spans="1:12" x14ac:dyDescent="0.25">
      <c r="A6493" s="362"/>
      <c r="B6493" s="611">
        <v>44522</v>
      </c>
      <c r="C6493" s="362" t="s">
        <v>82</v>
      </c>
      <c r="D6493" s="562">
        <v>58907434</v>
      </c>
      <c r="E6493" s="562">
        <v>1960760</v>
      </c>
      <c r="F6493" s="562"/>
      <c r="G6493" s="562">
        <f t="shared" si="369"/>
        <v>60868194</v>
      </c>
      <c r="H6493" s="362"/>
      <c r="I6493" s="362"/>
      <c r="J6493" s="362"/>
    </row>
    <row r="6494" spans="1:12" x14ac:dyDescent="0.25">
      <c r="A6494" s="362"/>
      <c r="B6494" s="611">
        <v>44522</v>
      </c>
      <c r="C6494" s="362" t="s">
        <v>80</v>
      </c>
      <c r="D6494" s="562">
        <v>344540791</v>
      </c>
      <c r="E6494" s="562"/>
      <c r="F6494" s="562"/>
      <c r="G6494" s="562">
        <f t="shared" si="369"/>
        <v>344540791</v>
      </c>
      <c r="H6494" s="362"/>
      <c r="I6494" s="362"/>
      <c r="J6494" s="362"/>
    </row>
    <row r="6495" spans="1:12" x14ac:dyDescent="0.25">
      <c r="A6495" s="362"/>
      <c r="B6495" s="611">
        <v>44522</v>
      </c>
      <c r="C6495" s="362" t="s">
        <v>83</v>
      </c>
      <c r="D6495" s="562">
        <v>227349684</v>
      </c>
      <c r="E6495" s="562">
        <v>130737665</v>
      </c>
      <c r="F6495" s="562"/>
      <c r="G6495" s="562">
        <f t="shared" si="369"/>
        <v>358087349</v>
      </c>
      <c r="H6495" s="362"/>
      <c r="I6495" s="362"/>
      <c r="J6495" s="362"/>
    </row>
    <row r="6496" spans="1:12" x14ac:dyDescent="0.25">
      <c r="A6496" s="362"/>
      <c r="B6496" s="611">
        <v>44522</v>
      </c>
      <c r="C6496" s="362" t="s">
        <v>78</v>
      </c>
      <c r="D6496" s="562">
        <v>220518076</v>
      </c>
      <c r="E6496" s="562">
        <v>7769824</v>
      </c>
      <c r="F6496" s="562"/>
      <c r="G6496" s="562">
        <f t="shared" si="369"/>
        <v>228287900</v>
      </c>
      <c r="H6496" s="362"/>
      <c r="I6496" s="362"/>
      <c r="J6496" s="362"/>
    </row>
    <row r="6497" spans="1:10" x14ac:dyDescent="0.25">
      <c r="A6497" s="362"/>
      <c r="B6497" s="611">
        <v>44522</v>
      </c>
      <c r="C6497" s="362" t="s">
        <v>141</v>
      </c>
      <c r="D6497" s="562">
        <v>188351471</v>
      </c>
      <c r="E6497" s="562">
        <v>1795282</v>
      </c>
      <c r="F6497" s="562"/>
      <c r="G6497" s="562">
        <f t="shared" si="369"/>
        <v>190146753</v>
      </c>
      <c r="H6497" s="362"/>
      <c r="I6497" s="362"/>
      <c r="J6497" s="362"/>
    </row>
    <row r="6498" spans="1:10" x14ac:dyDescent="0.25">
      <c r="A6498" s="362"/>
      <c r="B6498" s="611">
        <v>44522</v>
      </c>
      <c r="C6498" s="362" t="s">
        <v>89</v>
      </c>
      <c r="D6498" s="562">
        <v>148711800</v>
      </c>
      <c r="E6498" s="562"/>
      <c r="F6498" s="562"/>
      <c r="G6498" s="562">
        <f t="shared" si="369"/>
        <v>148711800</v>
      </c>
      <c r="H6498" s="362"/>
      <c r="I6498" s="362"/>
      <c r="J6498" s="362"/>
    </row>
    <row r="6499" spans="1:10" x14ac:dyDescent="0.25">
      <c r="A6499" s="362"/>
      <c r="B6499" s="611">
        <v>44522</v>
      </c>
      <c r="C6499" s="362" t="s">
        <v>81</v>
      </c>
      <c r="D6499" s="562">
        <v>103948669</v>
      </c>
      <c r="E6499" s="562">
        <v>22659217</v>
      </c>
      <c r="F6499" s="562"/>
      <c r="G6499" s="562">
        <f t="shared" si="369"/>
        <v>126607886</v>
      </c>
      <c r="H6499" s="362"/>
      <c r="I6499" s="362"/>
      <c r="J6499" s="362"/>
    </row>
    <row r="6500" spans="1:10" x14ac:dyDescent="0.25">
      <c r="A6500" s="362"/>
      <c r="B6500" s="611">
        <v>44522</v>
      </c>
      <c r="C6500" s="362" t="s">
        <v>84</v>
      </c>
      <c r="D6500" s="562">
        <v>256453207</v>
      </c>
      <c r="E6500" s="562">
        <v>17937759</v>
      </c>
      <c r="F6500" s="562"/>
      <c r="G6500" s="562">
        <f t="shared" si="369"/>
        <v>274390966</v>
      </c>
      <c r="H6500" s="362"/>
      <c r="I6500" s="362"/>
      <c r="J6500" s="362"/>
    </row>
    <row r="6501" spans="1:10" x14ac:dyDescent="0.25">
      <c r="A6501" s="362"/>
      <c r="B6501" s="611">
        <v>44522</v>
      </c>
      <c r="C6501" s="362" t="s">
        <v>4751</v>
      </c>
      <c r="D6501" s="562">
        <v>216107275</v>
      </c>
      <c r="E6501" s="562">
        <v>14805125</v>
      </c>
      <c r="F6501" s="562"/>
      <c r="G6501" s="562">
        <f t="shared" si="369"/>
        <v>230912400</v>
      </c>
      <c r="H6501" s="362"/>
      <c r="I6501" s="362"/>
      <c r="J6501" s="362"/>
    </row>
    <row r="6502" spans="1:10" x14ac:dyDescent="0.25">
      <c r="A6502" s="362"/>
      <c r="B6502" s="611">
        <v>44522</v>
      </c>
      <c r="C6502" s="362" t="s">
        <v>166</v>
      </c>
      <c r="D6502" s="562">
        <v>84641414</v>
      </c>
      <c r="E6502" s="562"/>
      <c r="F6502" s="562"/>
      <c r="G6502" s="562">
        <f t="shared" si="369"/>
        <v>84641414</v>
      </c>
      <c r="H6502" s="362"/>
      <c r="I6502" s="362"/>
      <c r="J6502" s="362"/>
    </row>
    <row r="6503" spans="1:10" x14ac:dyDescent="0.25">
      <c r="A6503" s="362"/>
      <c r="B6503" s="611">
        <v>44522</v>
      </c>
      <c r="C6503" s="362" t="s">
        <v>3435</v>
      </c>
      <c r="D6503" s="562">
        <v>22508651</v>
      </c>
      <c r="E6503" s="562"/>
      <c r="F6503" s="562"/>
      <c r="G6503" s="562">
        <f t="shared" si="369"/>
        <v>22508651</v>
      </c>
      <c r="H6503" s="362"/>
      <c r="I6503" s="362"/>
      <c r="J6503" s="362"/>
    </row>
    <row r="6504" spans="1:10" x14ac:dyDescent="0.25">
      <c r="A6504" s="362"/>
      <c r="B6504" s="611">
        <v>44522</v>
      </c>
      <c r="C6504" s="370" t="s">
        <v>85</v>
      </c>
      <c r="D6504" s="562">
        <v>59984100</v>
      </c>
      <c r="E6504" s="562"/>
      <c r="F6504" s="562"/>
      <c r="G6504" s="562">
        <f>D6504+E6504-F6504</f>
        <v>59984100</v>
      </c>
      <c r="H6504" s="362"/>
      <c r="I6504" s="362"/>
      <c r="J6504" s="362"/>
    </row>
    <row r="6505" spans="1:10" x14ac:dyDescent="0.25">
      <c r="A6505" s="532"/>
      <c r="B6505" s="532"/>
      <c r="C6505" s="532"/>
      <c r="D6505" s="564">
        <f>SUM(D6490:D6504)</f>
        <v>2412440318</v>
      </c>
      <c r="E6505" s="564">
        <f t="shared" ref="E6505:G6505" si="370">SUM(E6490:E6504)</f>
        <v>411648253</v>
      </c>
      <c r="F6505" s="564">
        <f t="shared" si="370"/>
        <v>0</v>
      </c>
      <c r="G6505" s="564">
        <f t="shared" si="370"/>
        <v>2824088571</v>
      </c>
      <c r="H6505" s="532"/>
      <c r="I6505" s="532"/>
      <c r="J6505" s="532"/>
    </row>
    <row r="6506" spans="1:10" x14ac:dyDescent="0.25">
      <c r="A6506" s="362"/>
      <c r="B6506" s="611">
        <v>44523</v>
      </c>
      <c r="C6506" s="362" t="s">
        <v>86</v>
      </c>
      <c r="D6506" s="562">
        <v>93135968</v>
      </c>
      <c r="E6506" s="562">
        <v>41521056</v>
      </c>
      <c r="F6506" s="562"/>
      <c r="G6506" s="562">
        <f>D6506+E6506-F6506</f>
        <v>134657024</v>
      </c>
      <c r="H6506" s="362"/>
      <c r="I6506" s="362"/>
      <c r="J6506" s="362"/>
    </row>
    <row r="6507" spans="1:10" x14ac:dyDescent="0.25">
      <c r="A6507" s="362"/>
      <c r="B6507" s="611">
        <v>44523</v>
      </c>
      <c r="C6507" s="362" t="s">
        <v>87</v>
      </c>
      <c r="D6507" s="562">
        <v>107331353</v>
      </c>
      <c r="E6507" s="562">
        <v>14818930</v>
      </c>
      <c r="F6507" s="562"/>
      <c r="G6507" s="562">
        <f t="shared" ref="G6507:G6519" si="371">D6507+E6507-F6507</f>
        <v>122150283</v>
      </c>
      <c r="H6507" s="362"/>
      <c r="I6507" s="362"/>
      <c r="J6507" s="362"/>
    </row>
    <row r="6508" spans="1:10" x14ac:dyDescent="0.25">
      <c r="A6508" s="362"/>
      <c r="B6508" s="611">
        <v>44523</v>
      </c>
      <c r="C6508" s="362" t="s">
        <v>88</v>
      </c>
      <c r="D6508" s="562">
        <v>246137286</v>
      </c>
      <c r="E6508" s="562">
        <v>6822797</v>
      </c>
      <c r="F6508" s="562"/>
      <c r="G6508" s="562">
        <f t="shared" si="371"/>
        <v>252960083</v>
      </c>
      <c r="H6508" s="362"/>
      <c r="I6508" s="362"/>
      <c r="J6508" s="362"/>
    </row>
    <row r="6509" spans="1:10" x14ac:dyDescent="0.25">
      <c r="A6509" s="362"/>
      <c r="B6509" s="611">
        <v>44523</v>
      </c>
      <c r="C6509" s="362" t="s">
        <v>82</v>
      </c>
      <c r="D6509" s="562">
        <v>109385643</v>
      </c>
      <c r="E6509" s="562">
        <v>10173625</v>
      </c>
      <c r="F6509" s="562"/>
      <c r="G6509" s="562">
        <f t="shared" si="371"/>
        <v>119559268</v>
      </c>
      <c r="H6509" s="362"/>
      <c r="I6509" s="362"/>
      <c r="J6509" s="362"/>
    </row>
    <row r="6510" spans="1:10" x14ac:dyDescent="0.25">
      <c r="A6510" s="362"/>
      <c r="B6510" s="611">
        <v>44523</v>
      </c>
      <c r="C6510" s="362" t="s">
        <v>80</v>
      </c>
      <c r="D6510" s="562">
        <v>479819236</v>
      </c>
      <c r="E6510" s="562"/>
      <c r="F6510" s="562"/>
      <c r="G6510" s="562">
        <f t="shared" si="371"/>
        <v>479819236</v>
      </c>
      <c r="H6510" s="362"/>
      <c r="I6510" s="362"/>
      <c r="J6510" s="362"/>
    </row>
    <row r="6511" spans="1:10" x14ac:dyDescent="0.25">
      <c r="A6511" s="362"/>
      <c r="B6511" s="611">
        <v>44523</v>
      </c>
      <c r="C6511" s="362" t="s">
        <v>83</v>
      </c>
      <c r="D6511" s="562">
        <v>192122942</v>
      </c>
      <c r="E6511" s="562">
        <v>64810008</v>
      </c>
      <c r="F6511" s="562"/>
      <c r="G6511" s="562">
        <f t="shared" si="371"/>
        <v>256932950</v>
      </c>
      <c r="H6511" s="362"/>
      <c r="I6511" s="362"/>
      <c r="J6511" s="362"/>
    </row>
    <row r="6512" spans="1:10" x14ac:dyDescent="0.25">
      <c r="A6512" s="362"/>
      <c r="B6512" s="611">
        <v>44523</v>
      </c>
      <c r="C6512" s="362" t="s">
        <v>78</v>
      </c>
      <c r="D6512" s="562">
        <v>115553422</v>
      </c>
      <c r="E6512" s="562">
        <v>15847478</v>
      </c>
      <c r="F6512" s="562"/>
      <c r="G6512" s="562">
        <f t="shared" si="371"/>
        <v>131400900</v>
      </c>
      <c r="H6512" s="362"/>
      <c r="I6512" s="362"/>
      <c r="J6512" s="362"/>
    </row>
    <row r="6513" spans="1:10" x14ac:dyDescent="0.25">
      <c r="A6513" s="362"/>
      <c r="B6513" s="611">
        <v>44523</v>
      </c>
      <c r="C6513" s="362" t="s">
        <v>141</v>
      </c>
      <c r="D6513" s="562">
        <v>60049761</v>
      </c>
      <c r="E6513" s="562">
        <v>846384</v>
      </c>
      <c r="F6513" s="562"/>
      <c r="G6513" s="562">
        <f t="shared" si="371"/>
        <v>60896145</v>
      </c>
      <c r="H6513" s="362"/>
      <c r="I6513" s="362"/>
      <c r="J6513" s="362"/>
    </row>
    <row r="6514" spans="1:10" x14ac:dyDescent="0.25">
      <c r="A6514" s="362"/>
      <c r="B6514" s="611">
        <v>44523</v>
      </c>
      <c r="C6514" s="362" t="s">
        <v>89</v>
      </c>
      <c r="D6514" s="562">
        <v>100004273</v>
      </c>
      <c r="E6514" s="562">
        <v>77557127</v>
      </c>
      <c r="F6514" s="562"/>
      <c r="G6514" s="562">
        <f t="shared" si="371"/>
        <v>177561400</v>
      </c>
      <c r="H6514" s="362"/>
      <c r="I6514" s="362"/>
      <c r="J6514" s="362"/>
    </row>
    <row r="6515" spans="1:10" x14ac:dyDescent="0.25">
      <c r="A6515" s="362"/>
      <c r="B6515" s="611">
        <v>44523</v>
      </c>
      <c r="C6515" s="362" t="s">
        <v>81</v>
      </c>
      <c r="D6515" s="562">
        <v>87310876</v>
      </c>
      <c r="E6515" s="562">
        <v>77777318</v>
      </c>
      <c r="F6515" s="562"/>
      <c r="G6515" s="562">
        <f t="shared" si="371"/>
        <v>165088194</v>
      </c>
      <c r="H6515" s="362"/>
      <c r="I6515" s="362"/>
      <c r="J6515" s="362"/>
    </row>
    <row r="6516" spans="1:10" x14ac:dyDescent="0.25">
      <c r="A6516" s="362"/>
      <c r="B6516" s="611">
        <v>44523</v>
      </c>
      <c r="C6516" s="362" t="s">
        <v>84</v>
      </c>
      <c r="D6516" s="562">
        <v>180282813</v>
      </c>
      <c r="E6516" s="562">
        <v>15378697</v>
      </c>
      <c r="F6516" s="562"/>
      <c r="G6516" s="562">
        <f t="shared" si="371"/>
        <v>195661510</v>
      </c>
      <c r="H6516" s="362"/>
      <c r="I6516" s="362"/>
      <c r="J6516" s="362"/>
    </row>
    <row r="6517" spans="1:10" x14ac:dyDescent="0.25">
      <c r="A6517" s="362"/>
      <c r="B6517" s="611">
        <v>44523</v>
      </c>
      <c r="C6517" s="362" t="s">
        <v>4751</v>
      </c>
      <c r="D6517" s="562">
        <v>198616648</v>
      </c>
      <c r="E6517" s="562">
        <v>12401652</v>
      </c>
      <c r="F6517" s="562"/>
      <c r="G6517" s="562">
        <f t="shared" si="371"/>
        <v>211018300</v>
      </c>
      <c r="H6517" s="362"/>
      <c r="I6517" s="362"/>
      <c r="J6517" s="362"/>
    </row>
    <row r="6518" spans="1:10" x14ac:dyDescent="0.25">
      <c r="A6518" s="362"/>
      <c r="B6518" s="611">
        <v>44523</v>
      </c>
      <c r="C6518" s="362" t="s">
        <v>166</v>
      </c>
      <c r="D6518" s="562">
        <v>94540549</v>
      </c>
      <c r="E6518" s="562"/>
      <c r="F6518" s="562"/>
      <c r="G6518" s="562">
        <f t="shared" si="371"/>
        <v>94540549</v>
      </c>
      <c r="H6518" s="362"/>
      <c r="I6518" s="362"/>
      <c r="J6518" s="362"/>
    </row>
    <row r="6519" spans="1:10" x14ac:dyDescent="0.25">
      <c r="A6519" s="362"/>
      <c r="B6519" s="611">
        <v>44523</v>
      </c>
      <c r="C6519" s="362" t="s">
        <v>3435</v>
      </c>
      <c r="D6519" s="562">
        <v>78899028</v>
      </c>
      <c r="E6519" s="562"/>
      <c r="F6519" s="562"/>
      <c r="G6519" s="562">
        <f t="shared" si="371"/>
        <v>78899028</v>
      </c>
      <c r="H6519" s="362"/>
      <c r="I6519" s="362"/>
      <c r="J6519" s="362"/>
    </row>
    <row r="6520" spans="1:10" x14ac:dyDescent="0.25">
      <c r="A6520" s="362"/>
      <c r="B6520" s="611">
        <v>44523</v>
      </c>
      <c r="C6520" s="370" t="s">
        <v>85</v>
      </c>
      <c r="D6520" s="562">
        <v>39702000</v>
      </c>
      <c r="E6520" s="562"/>
      <c r="F6520" s="562"/>
      <c r="G6520" s="562">
        <f>D6520+E6520-F6520</f>
        <v>39702000</v>
      </c>
      <c r="H6520" s="362"/>
      <c r="I6520" s="362"/>
      <c r="J6520" s="362"/>
    </row>
    <row r="6521" spans="1:10" x14ac:dyDescent="0.25">
      <c r="A6521" s="532"/>
      <c r="B6521" s="532"/>
      <c r="C6521" s="532"/>
      <c r="D6521" s="564">
        <f>SUM(D6506:D6520)</f>
        <v>2182891798</v>
      </c>
      <c r="E6521" s="564">
        <f t="shared" ref="E6521:G6521" si="372">SUM(E6506:E6520)</f>
        <v>337955072</v>
      </c>
      <c r="F6521" s="564">
        <f t="shared" si="372"/>
        <v>0</v>
      </c>
      <c r="G6521" s="564">
        <f t="shared" si="372"/>
        <v>2520846870</v>
      </c>
      <c r="H6521" s="532"/>
      <c r="I6521" s="532"/>
      <c r="J6521" s="532"/>
    </row>
    <row r="6522" spans="1:10" x14ac:dyDescent="0.25">
      <c r="A6522" s="362"/>
      <c r="B6522" s="611">
        <v>44524</v>
      </c>
      <c r="C6522" s="362" t="s">
        <v>86</v>
      </c>
      <c r="D6522" s="562">
        <v>65687124</v>
      </c>
      <c r="E6522" s="562">
        <v>69472401</v>
      </c>
      <c r="F6522" s="562"/>
      <c r="G6522" s="562">
        <f>D6522+E6522-F6522</f>
        <v>135159525</v>
      </c>
      <c r="H6522" s="362"/>
      <c r="I6522" s="362"/>
      <c r="J6522" s="362"/>
    </row>
    <row r="6523" spans="1:10" x14ac:dyDescent="0.25">
      <c r="A6523" s="362"/>
      <c r="B6523" s="611">
        <v>44524</v>
      </c>
      <c r="C6523" s="362" t="s">
        <v>87</v>
      </c>
      <c r="D6523" s="562">
        <v>112937308</v>
      </c>
      <c r="E6523" s="562">
        <v>31638594</v>
      </c>
      <c r="F6523" s="562"/>
      <c r="G6523" s="562">
        <f t="shared" ref="G6523:G6551" si="373">D6523+E6523-F6523</f>
        <v>144575902</v>
      </c>
      <c r="H6523" s="362"/>
      <c r="I6523" s="362"/>
      <c r="J6523" s="362"/>
    </row>
    <row r="6524" spans="1:10" x14ac:dyDescent="0.25">
      <c r="A6524" s="362"/>
      <c r="B6524" s="611">
        <v>44524</v>
      </c>
      <c r="C6524" s="362" t="s">
        <v>88</v>
      </c>
      <c r="D6524" s="562">
        <v>104691409</v>
      </c>
      <c r="E6524" s="562">
        <v>60313599</v>
      </c>
      <c r="F6524" s="562"/>
      <c r="G6524" s="562">
        <f t="shared" si="373"/>
        <v>165005008</v>
      </c>
      <c r="H6524" s="362"/>
      <c r="I6524" s="362"/>
      <c r="J6524" s="362"/>
    </row>
    <row r="6525" spans="1:10" x14ac:dyDescent="0.25">
      <c r="A6525" s="362"/>
      <c r="B6525" s="611">
        <v>44524</v>
      </c>
      <c r="C6525" s="362" t="s">
        <v>82</v>
      </c>
      <c r="D6525" s="562">
        <v>100491507</v>
      </c>
      <c r="E6525" s="562">
        <v>1107860</v>
      </c>
      <c r="F6525" s="562"/>
      <c r="G6525" s="562">
        <f t="shared" si="373"/>
        <v>101599367</v>
      </c>
      <c r="H6525" s="362"/>
      <c r="I6525" s="362"/>
      <c r="J6525" s="362"/>
    </row>
    <row r="6526" spans="1:10" x14ac:dyDescent="0.25">
      <c r="A6526" s="362"/>
      <c r="B6526" s="611">
        <v>44524</v>
      </c>
      <c r="C6526" s="362" t="s">
        <v>80</v>
      </c>
      <c r="D6526" s="562">
        <v>372683700</v>
      </c>
      <c r="E6526" s="562"/>
      <c r="F6526" s="562"/>
      <c r="G6526" s="562">
        <f t="shared" si="373"/>
        <v>372683700</v>
      </c>
      <c r="H6526" s="362"/>
      <c r="I6526" s="362"/>
      <c r="J6526" s="362"/>
    </row>
    <row r="6527" spans="1:10" x14ac:dyDescent="0.25">
      <c r="A6527" s="362"/>
      <c r="B6527" s="611">
        <v>44524</v>
      </c>
      <c r="C6527" s="362" t="s">
        <v>83</v>
      </c>
      <c r="D6527" s="562">
        <v>157357067</v>
      </c>
      <c r="E6527" s="562">
        <v>107162113</v>
      </c>
      <c r="F6527" s="562"/>
      <c r="G6527" s="562">
        <f t="shared" si="373"/>
        <v>264519180</v>
      </c>
      <c r="H6527" s="362"/>
      <c r="I6527" s="362"/>
      <c r="J6527" s="362"/>
    </row>
    <row r="6528" spans="1:10" x14ac:dyDescent="0.25">
      <c r="A6528" s="362"/>
      <c r="B6528" s="611">
        <v>44524</v>
      </c>
      <c r="C6528" s="362" t="s">
        <v>78</v>
      </c>
      <c r="D6528" s="562">
        <v>180800809</v>
      </c>
      <c r="E6528" s="562">
        <v>4120291</v>
      </c>
      <c r="F6528" s="562"/>
      <c r="G6528" s="562">
        <f t="shared" si="373"/>
        <v>184921100</v>
      </c>
      <c r="H6528" s="362"/>
      <c r="I6528" s="362"/>
      <c r="J6528" s="362"/>
    </row>
    <row r="6529" spans="1:10" x14ac:dyDescent="0.25">
      <c r="A6529" s="362"/>
      <c r="B6529" s="611">
        <v>44524</v>
      </c>
      <c r="C6529" s="362" t="s">
        <v>141</v>
      </c>
      <c r="D6529" s="562">
        <v>156402363</v>
      </c>
      <c r="E6529" s="562">
        <v>1569142</v>
      </c>
      <c r="F6529" s="562"/>
      <c r="G6529" s="562">
        <f t="shared" si="373"/>
        <v>157971505</v>
      </c>
      <c r="H6529" s="362"/>
      <c r="I6529" s="362"/>
      <c r="J6529" s="362"/>
    </row>
    <row r="6530" spans="1:10" x14ac:dyDescent="0.25">
      <c r="A6530" s="362"/>
      <c r="B6530" s="611">
        <v>44524</v>
      </c>
      <c r="C6530" s="362" t="s">
        <v>89</v>
      </c>
      <c r="D6530" s="562">
        <v>115680502</v>
      </c>
      <c r="E6530" s="562">
        <v>48665298</v>
      </c>
      <c r="F6530" s="562"/>
      <c r="G6530" s="562">
        <f t="shared" si="373"/>
        <v>164345800</v>
      </c>
      <c r="H6530" s="362"/>
      <c r="I6530" s="362"/>
      <c r="J6530" s="362"/>
    </row>
    <row r="6531" spans="1:10" x14ac:dyDescent="0.25">
      <c r="A6531" s="362"/>
      <c r="B6531" s="611">
        <v>44524</v>
      </c>
      <c r="C6531" s="362" t="s">
        <v>81</v>
      </c>
      <c r="D6531" s="562">
        <v>137109430</v>
      </c>
      <c r="E6531" s="562">
        <v>31775219</v>
      </c>
      <c r="F6531" s="562"/>
      <c r="G6531" s="562">
        <f t="shared" si="373"/>
        <v>168884649</v>
      </c>
      <c r="H6531" s="362"/>
      <c r="I6531" s="362"/>
      <c r="J6531" s="362"/>
    </row>
    <row r="6532" spans="1:10" x14ac:dyDescent="0.25">
      <c r="A6532" s="362"/>
      <c r="B6532" s="611">
        <v>44524</v>
      </c>
      <c r="C6532" s="362" t="s">
        <v>84</v>
      </c>
      <c r="D6532" s="562">
        <v>238725462</v>
      </c>
      <c r="E6532" s="562">
        <v>18482953</v>
      </c>
      <c r="F6532" s="562"/>
      <c r="G6532" s="562">
        <f t="shared" si="373"/>
        <v>257208415</v>
      </c>
      <c r="H6532" s="362"/>
      <c r="I6532" s="362"/>
      <c r="J6532" s="362"/>
    </row>
    <row r="6533" spans="1:10" x14ac:dyDescent="0.25">
      <c r="A6533" s="362"/>
      <c r="B6533" s="611">
        <v>44524</v>
      </c>
      <c r="C6533" s="362" t="s">
        <v>4751</v>
      </c>
      <c r="D6533" s="562">
        <v>155971831</v>
      </c>
      <c r="E6533" s="562">
        <v>7279469</v>
      </c>
      <c r="F6533" s="562"/>
      <c r="G6533" s="562">
        <f t="shared" si="373"/>
        <v>163251300</v>
      </c>
      <c r="H6533" s="362"/>
      <c r="I6533" s="362"/>
      <c r="J6533" s="362"/>
    </row>
    <row r="6534" spans="1:10" x14ac:dyDescent="0.25">
      <c r="A6534" s="362"/>
      <c r="B6534" s="611">
        <v>44524</v>
      </c>
      <c r="C6534" s="362" t="s">
        <v>166</v>
      </c>
      <c r="D6534" s="562">
        <v>66038262</v>
      </c>
      <c r="E6534" s="562"/>
      <c r="F6534" s="562"/>
      <c r="G6534" s="562">
        <f t="shared" si="373"/>
        <v>66038262</v>
      </c>
      <c r="H6534" s="362"/>
      <c r="I6534" s="362"/>
      <c r="J6534" s="362"/>
    </row>
    <row r="6535" spans="1:10" x14ac:dyDescent="0.25">
      <c r="A6535" s="362"/>
      <c r="B6535" s="611">
        <v>44524</v>
      </c>
      <c r="C6535" s="362" t="s">
        <v>3435</v>
      </c>
      <c r="D6535" s="562">
        <v>86677161</v>
      </c>
      <c r="E6535" s="562"/>
      <c r="F6535" s="562"/>
      <c r="G6535" s="562">
        <f t="shared" si="373"/>
        <v>86677161</v>
      </c>
      <c r="H6535" s="362"/>
      <c r="I6535" s="362"/>
      <c r="J6535" s="362"/>
    </row>
    <row r="6536" spans="1:10" x14ac:dyDescent="0.25">
      <c r="A6536" s="362"/>
      <c r="B6536" s="611">
        <v>44524</v>
      </c>
      <c r="C6536" s="370" t="s">
        <v>85</v>
      </c>
      <c r="D6536" s="562">
        <v>55580400</v>
      </c>
      <c r="E6536" s="562"/>
      <c r="F6536" s="562"/>
      <c r="G6536" s="562">
        <f t="shared" si="373"/>
        <v>55580400</v>
      </c>
      <c r="H6536" s="362"/>
      <c r="I6536" s="362"/>
      <c r="J6536" s="362"/>
    </row>
    <row r="6537" spans="1:10" x14ac:dyDescent="0.25">
      <c r="A6537" s="532"/>
      <c r="B6537" s="532"/>
      <c r="C6537" s="532"/>
      <c r="D6537" s="564">
        <f>SUM(D6522:D6536)</f>
        <v>2106834335</v>
      </c>
      <c r="E6537" s="564">
        <f t="shared" ref="E6537:G6537" si="374">SUM(E6522:E6536)</f>
        <v>381586939</v>
      </c>
      <c r="F6537" s="564">
        <f t="shared" si="374"/>
        <v>0</v>
      </c>
      <c r="G6537" s="564">
        <f t="shared" si="374"/>
        <v>2488421274</v>
      </c>
      <c r="H6537" s="532"/>
      <c r="I6537" s="532"/>
      <c r="J6537" s="532"/>
    </row>
    <row r="6538" spans="1:10" x14ac:dyDescent="0.25">
      <c r="A6538" s="362"/>
      <c r="B6538" s="611">
        <v>44525</v>
      </c>
      <c r="C6538" s="362" t="s">
        <v>86</v>
      </c>
      <c r="D6538" s="562">
        <v>121255147</v>
      </c>
      <c r="E6538" s="562">
        <v>42825232</v>
      </c>
      <c r="F6538" s="562"/>
      <c r="G6538" s="562">
        <f t="shared" si="373"/>
        <v>164080379</v>
      </c>
      <c r="H6538" s="362"/>
      <c r="I6538" s="362"/>
      <c r="J6538" s="362"/>
    </row>
    <row r="6539" spans="1:10" x14ac:dyDescent="0.25">
      <c r="A6539" s="362"/>
      <c r="B6539" s="611">
        <v>44525</v>
      </c>
      <c r="C6539" s="362" t="s">
        <v>87</v>
      </c>
      <c r="D6539" s="562">
        <v>60000551</v>
      </c>
      <c r="E6539" s="562">
        <v>79667075</v>
      </c>
      <c r="F6539" s="562"/>
      <c r="G6539" s="562">
        <f t="shared" si="373"/>
        <v>139667626</v>
      </c>
      <c r="H6539" s="362"/>
      <c r="I6539" s="362"/>
      <c r="J6539" s="362"/>
    </row>
    <row r="6540" spans="1:10" x14ac:dyDescent="0.25">
      <c r="A6540" s="362"/>
      <c r="B6540" s="611">
        <v>44525</v>
      </c>
      <c r="C6540" s="362" t="s">
        <v>88</v>
      </c>
      <c r="D6540" s="562">
        <v>174888876</v>
      </c>
      <c r="E6540" s="562">
        <v>10092356</v>
      </c>
      <c r="F6540" s="562"/>
      <c r="G6540" s="562">
        <f t="shared" si="373"/>
        <v>184981232</v>
      </c>
      <c r="H6540" s="362"/>
      <c r="I6540" s="362"/>
      <c r="J6540" s="362"/>
    </row>
    <row r="6541" spans="1:10" x14ac:dyDescent="0.25">
      <c r="A6541" s="362"/>
      <c r="B6541" s="611">
        <v>44525</v>
      </c>
      <c r="C6541" s="362" t="s">
        <v>82</v>
      </c>
      <c r="D6541" s="562">
        <v>92543940</v>
      </c>
      <c r="E6541" s="562">
        <v>3264840</v>
      </c>
      <c r="F6541" s="562"/>
      <c r="G6541" s="562">
        <f t="shared" si="373"/>
        <v>95808780</v>
      </c>
      <c r="H6541" s="362"/>
      <c r="I6541" s="362"/>
      <c r="J6541" s="362"/>
    </row>
    <row r="6542" spans="1:10" x14ac:dyDescent="0.25">
      <c r="A6542" s="362"/>
      <c r="B6542" s="611">
        <v>44525</v>
      </c>
      <c r="C6542" s="362" t="s">
        <v>80</v>
      </c>
      <c r="D6542" s="562">
        <v>389322934</v>
      </c>
      <c r="E6542" s="562"/>
      <c r="F6542" s="562"/>
      <c r="G6542" s="562">
        <f t="shared" si="373"/>
        <v>389322934</v>
      </c>
      <c r="H6542" s="362"/>
      <c r="I6542" s="362"/>
      <c r="J6542" s="362"/>
    </row>
    <row r="6543" spans="1:10" x14ac:dyDescent="0.25">
      <c r="A6543" s="362"/>
      <c r="B6543" s="611">
        <v>44525</v>
      </c>
      <c r="C6543" s="362" t="s">
        <v>83</v>
      </c>
      <c r="D6543" s="562">
        <v>190543991</v>
      </c>
      <c r="E6543" s="562">
        <v>113728783</v>
      </c>
      <c r="F6543" s="562"/>
      <c r="G6543" s="562">
        <f t="shared" si="373"/>
        <v>304272774</v>
      </c>
      <c r="H6543" s="362"/>
      <c r="I6543" s="362"/>
      <c r="J6543" s="362"/>
    </row>
    <row r="6544" spans="1:10" x14ac:dyDescent="0.25">
      <c r="A6544" s="362"/>
      <c r="B6544" s="611">
        <v>44525</v>
      </c>
      <c r="C6544" s="362" t="s">
        <v>78</v>
      </c>
      <c r="D6544" s="562">
        <v>119190144</v>
      </c>
      <c r="E6544" s="562">
        <v>58356</v>
      </c>
      <c r="F6544" s="562"/>
      <c r="G6544" s="562">
        <f t="shared" si="373"/>
        <v>119248500</v>
      </c>
      <c r="H6544" s="362"/>
      <c r="I6544" s="362"/>
      <c r="J6544" s="362"/>
    </row>
    <row r="6545" spans="1:10" x14ac:dyDescent="0.25">
      <c r="A6545" s="362"/>
      <c r="B6545" s="611">
        <v>44525</v>
      </c>
      <c r="C6545" s="362" t="s">
        <v>141</v>
      </c>
      <c r="D6545" s="562">
        <v>126125583</v>
      </c>
      <c r="E6545" s="562">
        <v>1753461</v>
      </c>
      <c r="F6545" s="562"/>
      <c r="G6545" s="562">
        <f t="shared" si="373"/>
        <v>127879044</v>
      </c>
      <c r="H6545" s="362"/>
      <c r="I6545" s="362"/>
      <c r="J6545" s="362"/>
    </row>
    <row r="6546" spans="1:10" x14ac:dyDescent="0.25">
      <c r="A6546" s="362"/>
      <c r="B6546" s="611">
        <v>44525</v>
      </c>
      <c r="C6546" s="362" t="s">
        <v>89</v>
      </c>
      <c r="D6546" s="562">
        <v>120900054</v>
      </c>
      <c r="E6546" s="562">
        <v>38701246</v>
      </c>
      <c r="F6546" s="562"/>
      <c r="G6546" s="562">
        <f t="shared" si="373"/>
        <v>159601300</v>
      </c>
      <c r="H6546" s="362"/>
      <c r="I6546" s="362"/>
      <c r="J6546" s="362"/>
    </row>
    <row r="6547" spans="1:10" x14ac:dyDescent="0.25">
      <c r="A6547" s="362"/>
      <c r="B6547" s="611">
        <v>44525</v>
      </c>
      <c r="C6547" s="362" t="s">
        <v>81</v>
      </c>
      <c r="D6547" s="562">
        <v>136826609</v>
      </c>
      <c r="E6547" s="562">
        <v>21983015</v>
      </c>
      <c r="F6547" s="562"/>
      <c r="G6547" s="562">
        <f t="shared" si="373"/>
        <v>158809624</v>
      </c>
      <c r="H6547" s="362"/>
      <c r="I6547" s="362"/>
      <c r="J6547" s="362"/>
    </row>
    <row r="6548" spans="1:10" x14ac:dyDescent="0.25">
      <c r="A6548" s="362"/>
      <c r="B6548" s="611">
        <v>44525</v>
      </c>
      <c r="C6548" s="362" t="s">
        <v>84</v>
      </c>
      <c r="D6548" s="562">
        <v>244282360</v>
      </c>
      <c r="E6548" s="562">
        <v>13943556</v>
      </c>
      <c r="F6548" s="562"/>
      <c r="G6548" s="562">
        <f t="shared" si="373"/>
        <v>258225916</v>
      </c>
      <c r="H6548" s="362"/>
      <c r="I6548" s="362"/>
      <c r="J6548" s="362"/>
    </row>
    <row r="6549" spans="1:10" x14ac:dyDescent="0.25">
      <c r="A6549" s="362"/>
      <c r="B6549" s="611">
        <v>44525</v>
      </c>
      <c r="C6549" s="362" t="s">
        <v>4751</v>
      </c>
      <c r="D6549" s="562">
        <v>127580062</v>
      </c>
      <c r="E6549" s="562">
        <v>7906338</v>
      </c>
      <c r="F6549" s="562"/>
      <c r="G6549" s="562">
        <f t="shared" si="373"/>
        <v>135486400</v>
      </c>
      <c r="H6549" s="362"/>
      <c r="I6549" s="362"/>
      <c r="J6549" s="362"/>
    </row>
    <row r="6550" spans="1:10" x14ac:dyDescent="0.25">
      <c r="A6550" s="362"/>
      <c r="B6550" s="611">
        <v>44525</v>
      </c>
      <c r="C6550" s="362" t="s">
        <v>166</v>
      </c>
      <c r="D6550" s="562">
        <v>96895933</v>
      </c>
      <c r="E6550" s="562"/>
      <c r="F6550" s="562"/>
      <c r="G6550" s="562">
        <f t="shared" si="373"/>
        <v>96895933</v>
      </c>
      <c r="H6550" s="362"/>
      <c r="I6550" s="362"/>
      <c r="J6550" s="362"/>
    </row>
    <row r="6551" spans="1:10" x14ac:dyDescent="0.25">
      <c r="A6551" s="362"/>
      <c r="B6551" s="611">
        <v>44525</v>
      </c>
      <c r="C6551" s="362" t="s">
        <v>3435</v>
      </c>
      <c r="D6551" s="562">
        <v>52308067</v>
      </c>
      <c r="E6551" s="562"/>
      <c r="F6551" s="562"/>
      <c r="G6551" s="562">
        <f t="shared" si="373"/>
        <v>52308067</v>
      </c>
      <c r="H6551" s="362"/>
      <c r="I6551" s="362"/>
      <c r="J6551" s="362"/>
    </row>
    <row r="6552" spans="1:10" x14ac:dyDescent="0.25">
      <c r="A6552" s="362"/>
      <c r="B6552" s="611">
        <v>44525</v>
      </c>
      <c r="C6552" s="370" t="s">
        <v>85</v>
      </c>
      <c r="D6552" s="562">
        <v>23101200</v>
      </c>
      <c r="E6552" s="562"/>
      <c r="F6552" s="562"/>
      <c r="G6552" s="562">
        <f>D6552+E6552-F6552</f>
        <v>23101200</v>
      </c>
      <c r="H6552" s="362"/>
      <c r="I6552" s="362"/>
      <c r="J6552" s="362"/>
    </row>
    <row r="6553" spans="1:10" x14ac:dyDescent="0.25">
      <c r="A6553" s="532"/>
      <c r="B6553" s="532"/>
      <c r="C6553" s="532"/>
      <c r="D6553" s="564">
        <f>SUM(D6538:D6552)</f>
        <v>2075765451</v>
      </c>
      <c r="E6553" s="564">
        <f t="shared" ref="E6553:G6553" si="375">SUM(E6538:E6552)</f>
        <v>333924258</v>
      </c>
      <c r="F6553" s="564">
        <f t="shared" si="375"/>
        <v>0</v>
      </c>
      <c r="G6553" s="564">
        <f t="shared" si="375"/>
        <v>2409689709</v>
      </c>
      <c r="H6553" s="532"/>
      <c r="I6553" s="532"/>
      <c r="J6553" s="532"/>
    </row>
    <row r="6554" spans="1:10" x14ac:dyDescent="0.25">
      <c r="A6554" s="362"/>
      <c r="B6554" s="611">
        <v>44526</v>
      </c>
      <c r="C6554" s="362" t="s">
        <v>86</v>
      </c>
      <c r="D6554" s="562">
        <v>37073676</v>
      </c>
      <c r="E6554" s="562">
        <v>179211914</v>
      </c>
      <c r="F6554" s="562">
        <v>216285600</v>
      </c>
      <c r="G6554" s="562">
        <f t="shared" ref="G6554:G6615" si="376">D6554+E6554-F6554</f>
        <v>-10</v>
      </c>
      <c r="H6554" s="362"/>
      <c r="I6554" s="362"/>
      <c r="J6554" s="362"/>
    </row>
    <row r="6555" spans="1:10" x14ac:dyDescent="0.25">
      <c r="A6555" s="362"/>
      <c r="B6555" s="611">
        <v>44526</v>
      </c>
      <c r="C6555" s="362" t="s">
        <v>87</v>
      </c>
      <c r="D6555" s="562">
        <v>96983830</v>
      </c>
      <c r="E6555" s="562">
        <v>41077298</v>
      </c>
      <c r="F6555" s="562">
        <v>138061100</v>
      </c>
      <c r="G6555" s="562">
        <f t="shared" si="376"/>
        <v>28</v>
      </c>
      <c r="H6555" s="362"/>
      <c r="I6555" s="362"/>
      <c r="J6555" s="362"/>
    </row>
    <row r="6556" spans="1:10" x14ac:dyDescent="0.25">
      <c r="A6556" s="362"/>
      <c r="B6556" s="611">
        <v>44526</v>
      </c>
      <c r="C6556" s="362" t="s">
        <v>88</v>
      </c>
      <c r="D6556" s="562">
        <v>137684049</v>
      </c>
      <c r="E6556" s="562">
        <v>333825258</v>
      </c>
      <c r="F6556" s="562">
        <v>471509400</v>
      </c>
      <c r="G6556" s="562">
        <f t="shared" si="376"/>
        <v>-93</v>
      </c>
      <c r="H6556" s="362"/>
      <c r="I6556" s="362"/>
      <c r="J6556" s="362"/>
    </row>
    <row r="6557" spans="1:10" x14ac:dyDescent="0.25">
      <c r="A6557" s="362"/>
      <c r="B6557" s="611">
        <v>44526</v>
      </c>
      <c r="C6557" s="362" t="s">
        <v>82</v>
      </c>
      <c r="D6557" s="562">
        <v>134003732</v>
      </c>
      <c r="E6557" s="562">
        <v>2495254</v>
      </c>
      <c r="F6557" s="562">
        <v>136499000</v>
      </c>
      <c r="G6557" s="562">
        <f t="shared" si="376"/>
        <v>-14</v>
      </c>
      <c r="H6557" s="362"/>
      <c r="I6557" s="362"/>
      <c r="J6557" s="362"/>
    </row>
    <row r="6558" spans="1:10" x14ac:dyDescent="0.25">
      <c r="A6558" s="362"/>
      <c r="B6558" s="611">
        <v>44526</v>
      </c>
      <c r="C6558" s="362" t="s">
        <v>80</v>
      </c>
      <c r="D6558" s="562">
        <v>442999012</v>
      </c>
      <c r="E6558" s="562"/>
      <c r="F6558" s="562">
        <v>442999100</v>
      </c>
      <c r="G6558" s="562">
        <f t="shared" si="376"/>
        <v>-88</v>
      </c>
      <c r="H6558" s="362"/>
      <c r="I6558" s="362"/>
      <c r="J6558" s="362"/>
    </row>
    <row r="6559" spans="1:10" x14ac:dyDescent="0.25">
      <c r="A6559" s="362"/>
      <c r="B6559" s="611">
        <v>44526</v>
      </c>
      <c r="C6559" s="362" t="s">
        <v>83</v>
      </c>
      <c r="D6559" s="562">
        <v>162819405</v>
      </c>
      <c r="E6559" s="562">
        <v>120838538</v>
      </c>
      <c r="F6559" s="562">
        <v>283658000</v>
      </c>
      <c r="G6559" s="562">
        <f t="shared" si="376"/>
        <v>-57</v>
      </c>
      <c r="H6559" s="362"/>
      <c r="I6559" s="362"/>
      <c r="J6559" s="362"/>
    </row>
    <row r="6560" spans="1:10" x14ac:dyDescent="0.25">
      <c r="A6560" s="362"/>
      <c r="B6560" s="611">
        <v>44526</v>
      </c>
      <c r="C6560" s="362" t="s">
        <v>78</v>
      </c>
      <c r="D6560" s="562">
        <v>231673771</v>
      </c>
      <c r="E6560" s="562">
        <v>188629</v>
      </c>
      <c r="F6560" s="562">
        <v>231862400</v>
      </c>
      <c r="G6560" s="562">
        <f t="shared" si="376"/>
        <v>0</v>
      </c>
      <c r="H6560" s="362"/>
      <c r="I6560" s="362"/>
      <c r="J6560" s="362"/>
    </row>
    <row r="6561" spans="1:10" x14ac:dyDescent="0.25">
      <c r="A6561" s="362"/>
      <c r="B6561" s="611">
        <v>44526</v>
      </c>
      <c r="C6561" s="362" t="s">
        <v>141</v>
      </c>
      <c r="D6561" s="562">
        <v>93321885</v>
      </c>
      <c r="E6561" s="562">
        <v>781600</v>
      </c>
      <c r="F6561" s="562">
        <v>94103500</v>
      </c>
      <c r="G6561" s="562">
        <f t="shared" si="376"/>
        <v>-15</v>
      </c>
      <c r="H6561" s="362"/>
      <c r="I6561" s="362"/>
      <c r="J6561" s="362"/>
    </row>
    <row r="6562" spans="1:10" x14ac:dyDescent="0.25">
      <c r="A6562" s="362"/>
      <c r="B6562" s="611">
        <v>44526</v>
      </c>
      <c r="C6562" s="362" t="s">
        <v>89</v>
      </c>
      <c r="D6562" s="562">
        <v>123330616</v>
      </c>
      <c r="E6562" s="562">
        <v>30942984</v>
      </c>
      <c r="F6562" s="562">
        <v>154273500</v>
      </c>
      <c r="G6562" s="562">
        <f t="shared" si="376"/>
        <v>100</v>
      </c>
      <c r="H6562" s="362"/>
      <c r="I6562" s="362"/>
      <c r="J6562" s="362"/>
    </row>
    <row r="6563" spans="1:10" x14ac:dyDescent="0.25">
      <c r="A6563" s="362"/>
      <c r="B6563" s="611">
        <v>44526</v>
      </c>
      <c r="C6563" s="362" t="s">
        <v>81</v>
      </c>
      <c r="D6563" s="562">
        <v>70399618</v>
      </c>
      <c r="E6563" s="562">
        <v>31078017</v>
      </c>
      <c r="F6563" s="562">
        <v>101477700</v>
      </c>
      <c r="G6563" s="562">
        <f t="shared" si="376"/>
        <v>-65</v>
      </c>
      <c r="H6563" s="362"/>
      <c r="I6563" s="362"/>
      <c r="J6563" s="362"/>
    </row>
    <row r="6564" spans="1:10" x14ac:dyDescent="0.25">
      <c r="A6564" s="362"/>
      <c r="B6564" s="611">
        <v>44526</v>
      </c>
      <c r="C6564" s="362" t="s">
        <v>84</v>
      </c>
      <c r="D6564" s="562">
        <v>291846849</v>
      </c>
      <c r="E6564" s="562">
        <v>12766408</v>
      </c>
      <c r="F6564" s="562">
        <v>304763300</v>
      </c>
      <c r="G6564" s="562">
        <f t="shared" si="376"/>
        <v>-150043</v>
      </c>
      <c r="H6564" s="362"/>
      <c r="I6564" s="362"/>
      <c r="J6564" s="362"/>
    </row>
    <row r="6565" spans="1:10" x14ac:dyDescent="0.25">
      <c r="A6565" s="362"/>
      <c r="B6565" s="611">
        <v>44526</v>
      </c>
      <c r="C6565" s="362" t="s">
        <v>4751</v>
      </c>
      <c r="D6565" s="562">
        <v>127307057</v>
      </c>
      <c r="E6565" s="562">
        <v>19166043</v>
      </c>
      <c r="F6565" s="562">
        <v>146473100</v>
      </c>
      <c r="G6565" s="562">
        <f t="shared" si="376"/>
        <v>0</v>
      </c>
      <c r="H6565" s="362"/>
      <c r="I6565" s="362"/>
      <c r="J6565" s="362"/>
    </row>
    <row r="6566" spans="1:10" x14ac:dyDescent="0.25">
      <c r="A6566" s="362"/>
      <c r="B6566" s="611">
        <v>44526</v>
      </c>
      <c r="C6566" s="362" t="s">
        <v>166</v>
      </c>
      <c r="D6566" s="562">
        <v>40996978</v>
      </c>
      <c r="E6566" s="562"/>
      <c r="F6566" s="562">
        <v>40997000</v>
      </c>
      <c r="G6566" s="562">
        <f t="shared" si="376"/>
        <v>-22</v>
      </c>
      <c r="H6566" s="362"/>
      <c r="I6566" s="362"/>
      <c r="J6566" s="362"/>
    </row>
    <row r="6567" spans="1:10" x14ac:dyDescent="0.25">
      <c r="A6567" s="362"/>
      <c r="B6567" s="611">
        <v>44526</v>
      </c>
      <c r="C6567" s="362" t="s">
        <v>3435</v>
      </c>
      <c r="D6567" s="562">
        <v>173679299</v>
      </c>
      <c r="E6567" s="562"/>
      <c r="F6567" s="562">
        <v>173679300</v>
      </c>
      <c r="G6567" s="562">
        <f t="shared" si="376"/>
        <v>-1</v>
      </c>
      <c r="H6567" s="362"/>
      <c r="I6567" s="362"/>
      <c r="J6567" s="362"/>
    </row>
    <row r="6568" spans="1:10" x14ac:dyDescent="0.25">
      <c r="A6568" s="362"/>
      <c r="B6568" s="611">
        <v>44526</v>
      </c>
      <c r="C6568" s="370" t="s">
        <v>85</v>
      </c>
      <c r="D6568" s="562">
        <v>27258600</v>
      </c>
      <c r="E6568" s="562"/>
      <c r="F6568" s="562">
        <v>27258600</v>
      </c>
      <c r="G6568" s="562">
        <f t="shared" si="376"/>
        <v>0</v>
      </c>
      <c r="H6568" s="362"/>
      <c r="I6568" s="362"/>
      <c r="J6568" s="362"/>
    </row>
    <row r="6569" spans="1:10" x14ac:dyDescent="0.25">
      <c r="A6569" s="532"/>
      <c r="B6569" s="532"/>
      <c r="C6569" s="532"/>
      <c r="D6569" s="564">
        <f>SUM(D6554:D6568)</f>
        <v>2191378377</v>
      </c>
      <c r="E6569" s="564">
        <f t="shared" ref="E6569:G6569" si="377">SUM(E6554:E6568)</f>
        <v>772371943</v>
      </c>
      <c r="F6569" s="564">
        <f t="shared" si="377"/>
        <v>2963900600</v>
      </c>
      <c r="G6569" s="564">
        <f t="shared" si="377"/>
        <v>-150280</v>
      </c>
      <c r="H6569" s="532"/>
      <c r="I6569" s="532"/>
      <c r="J6569" s="532"/>
    </row>
    <row r="6570" spans="1:10" x14ac:dyDescent="0.25">
      <c r="A6570" s="362"/>
      <c r="B6570" s="611">
        <v>44527</v>
      </c>
      <c r="C6570" s="362" t="s">
        <v>86</v>
      </c>
      <c r="D6570" s="562">
        <v>75494500</v>
      </c>
      <c r="E6570" s="562">
        <v>217765512</v>
      </c>
      <c r="F6570" s="562">
        <v>293260100</v>
      </c>
      <c r="G6570" s="562">
        <f t="shared" si="376"/>
        <v>-88</v>
      </c>
      <c r="H6570" s="362"/>
      <c r="I6570" s="362"/>
      <c r="J6570" s="362"/>
    </row>
    <row r="6571" spans="1:10" x14ac:dyDescent="0.25">
      <c r="A6571" s="362"/>
      <c r="B6571" s="611">
        <v>44527</v>
      </c>
      <c r="C6571" s="362" t="s">
        <v>87</v>
      </c>
      <c r="D6571" s="562">
        <v>95053769</v>
      </c>
      <c r="E6571" s="562">
        <v>113447257</v>
      </c>
      <c r="F6571" s="562">
        <v>208501200</v>
      </c>
      <c r="G6571" s="562">
        <f t="shared" si="376"/>
        <v>-174</v>
      </c>
      <c r="H6571" s="362"/>
      <c r="I6571" s="362"/>
      <c r="J6571" s="362"/>
    </row>
    <row r="6572" spans="1:10" x14ac:dyDescent="0.25">
      <c r="A6572" s="362"/>
      <c r="B6572" s="611">
        <v>44527</v>
      </c>
      <c r="C6572" s="362" t="s">
        <v>88</v>
      </c>
      <c r="D6572" s="562">
        <v>183584923</v>
      </c>
      <c r="E6572" s="562">
        <v>5506149</v>
      </c>
      <c r="F6572" s="562">
        <v>189110800</v>
      </c>
      <c r="G6572" s="562">
        <f t="shared" si="376"/>
        <v>-19728</v>
      </c>
      <c r="H6572" s="362"/>
      <c r="I6572" s="362"/>
      <c r="J6572" s="362"/>
    </row>
    <row r="6573" spans="1:10" x14ac:dyDescent="0.25">
      <c r="A6573" s="362"/>
      <c r="B6573" s="611">
        <v>44527</v>
      </c>
      <c r="C6573" s="362" t="s">
        <v>82</v>
      </c>
      <c r="D6573" s="562">
        <v>86562117</v>
      </c>
      <c r="E6573" s="562">
        <v>22386276</v>
      </c>
      <c r="F6573" s="562">
        <v>108948500</v>
      </c>
      <c r="G6573" s="562">
        <f t="shared" si="376"/>
        <v>-107</v>
      </c>
      <c r="H6573" s="362"/>
      <c r="I6573" s="362"/>
      <c r="J6573" s="362"/>
    </row>
    <row r="6574" spans="1:10" x14ac:dyDescent="0.25">
      <c r="A6574" s="362"/>
      <c r="B6574" s="611">
        <v>44527</v>
      </c>
      <c r="C6574" s="362" t="s">
        <v>80</v>
      </c>
      <c r="D6574" s="562">
        <v>218689400</v>
      </c>
      <c r="E6574" s="562"/>
      <c r="F6574" s="562">
        <v>218689400</v>
      </c>
      <c r="G6574" s="562">
        <f t="shared" si="376"/>
        <v>0</v>
      </c>
      <c r="H6574" s="362"/>
      <c r="I6574" s="362"/>
      <c r="J6574" s="362"/>
    </row>
    <row r="6575" spans="1:10" x14ac:dyDescent="0.25">
      <c r="A6575" s="362"/>
      <c r="B6575" s="611">
        <v>44527</v>
      </c>
      <c r="C6575" s="362" t="s">
        <v>83</v>
      </c>
      <c r="D6575" s="562">
        <v>120332944</v>
      </c>
      <c r="E6575" s="562">
        <v>163000056</v>
      </c>
      <c r="F6575" s="562">
        <v>283333000</v>
      </c>
      <c r="G6575" s="562">
        <f t="shared" si="376"/>
        <v>0</v>
      </c>
      <c r="H6575" s="362"/>
      <c r="I6575" s="362"/>
      <c r="J6575" s="362"/>
    </row>
    <row r="6576" spans="1:10" x14ac:dyDescent="0.25">
      <c r="A6576" s="362"/>
      <c r="B6576" s="611">
        <v>44527</v>
      </c>
      <c r="C6576" s="362" t="s">
        <v>78</v>
      </c>
      <c r="D6576" s="562">
        <v>173923061</v>
      </c>
      <c r="E6576" s="562">
        <v>2409839</v>
      </c>
      <c r="F6576" s="562">
        <v>176332900</v>
      </c>
      <c r="G6576" s="562">
        <f t="shared" si="376"/>
        <v>0</v>
      </c>
      <c r="H6576" s="362"/>
      <c r="I6576" s="362"/>
      <c r="J6576" s="362"/>
    </row>
    <row r="6577" spans="1:10" x14ac:dyDescent="0.25">
      <c r="A6577" s="362"/>
      <c r="B6577" s="611">
        <v>44527</v>
      </c>
      <c r="C6577" s="362" t="s">
        <v>141</v>
      </c>
      <c r="D6577" s="562">
        <v>56019945</v>
      </c>
      <c r="E6577" s="562">
        <v>777400</v>
      </c>
      <c r="F6577" s="562">
        <v>56797400</v>
      </c>
      <c r="G6577" s="562">
        <f t="shared" si="376"/>
        <v>-55</v>
      </c>
      <c r="H6577" s="362"/>
      <c r="I6577" s="362"/>
      <c r="J6577" s="362"/>
    </row>
    <row r="6578" spans="1:10" x14ac:dyDescent="0.25">
      <c r="A6578" s="362"/>
      <c r="B6578" s="611">
        <v>44527</v>
      </c>
      <c r="C6578" s="362" t="s">
        <v>89</v>
      </c>
      <c r="D6578" s="562">
        <v>81640077</v>
      </c>
      <c r="E6578" s="562">
        <v>23580823</v>
      </c>
      <c r="F6578" s="562">
        <v>105220900</v>
      </c>
      <c r="G6578" s="562">
        <f t="shared" si="376"/>
        <v>0</v>
      </c>
      <c r="H6578" s="362"/>
      <c r="I6578" s="362"/>
      <c r="J6578" s="362"/>
    </row>
    <row r="6579" spans="1:10" x14ac:dyDescent="0.25">
      <c r="A6579" s="362"/>
      <c r="B6579" s="611">
        <v>44527</v>
      </c>
      <c r="C6579" s="362" t="s">
        <v>81</v>
      </c>
      <c r="D6579" s="562">
        <v>85767836</v>
      </c>
      <c r="E6579" s="562">
        <v>131439678</v>
      </c>
      <c r="F6579" s="562">
        <f>33048200+184159400</f>
        <v>217207600</v>
      </c>
      <c r="G6579" s="562">
        <f t="shared" si="376"/>
        <v>-86</v>
      </c>
      <c r="H6579" s="362"/>
      <c r="I6579" s="362"/>
      <c r="J6579" s="362"/>
    </row>
    <row r="6580" spans="1:10" x14ac:dyDescent="0.25">
      <c r="A6580" s="362"/>
      <c r="B6580" s="611">
        <v>44527</v>
      </c>
      <c r="C6580" s="362" t="s">
        <v>84</v>
      </c>
      <c r="D6580" s="562">
        <v>198066888</v>
      </c>
      <c r="E6580" s="562">
        <v>12281504</v>
      </c>
      <c r="F6580" s="562">
        <v>210348500</v>
      </c>
      <c r="G6580" s="562">
        <f t="shared" si="376"/>
        <v>-108</v>
      </c>
      <c r="H6580" s="362"/>
      <c r="I6580" s="362"/>
      <c r="J6580" s="362"/>
    </row>
    <row r="6581" spans="1:10" x14ac:dyDescent="0.25">
      <c r="A6581" s="362"/>
      <c r="B6581" s="611">
        <v>44527</v>
      </c>
      <c r="C6581" s="362" t="s">
        <v>4751</v>
      </c>
      <c r="D6581" s="562">
        <v>165978385</v>
      </c>
      <c r="E6581" s="562">
        <v>17094315</v>
      </c>
      <c r="F6581" s="562">
        <v>183072700</v>
      </c>
      <c r="G6581" s="562">
        <f t="shared" si="376"/>
        <v>0</v>
      </c>
      <c r="H6581" s="362"/>
      <c r="I6581" s="362"/>
      <c r="J6581" s="362"/>
    </row>
    <row r="6582" spans="1:10" x14ac:dyDescent="0.25">
      <c r="A6582" s="362"/>
      <c r="B6582" s="611">
        <v>44527</v>
      </c>
      <c r="C6582" s="362" t="s">
        <v>166</v>
      </c>
      <c r="D6582" s="562"/>
      <c r="E6582" s="562"/>
      <c r="F6582" s="562"/>
      <c r="G6582" s="562">
        <f t="shared" si="376"/>
        <v>0</v>
      </c>
      <c r="H6582" s="362"/>
      <c r="I6582" s="362"/>
      <c r="J6582" s="362"/>
    </row>
    <row r="6583" spans="1:10" x14ac:dyDescent="0.25">
      <c r="A6583" s="362"/>
      <c r="B6583" s="611">
        <v>44527</v>
      </c>
      <c r="C6583" s="362" t="s">
        <v>3435</v>
      </c>
      <c r="D6583" s="562"/>
      <c r="E6583" s="562"/>
      <c r="F6583" s="562"/>
      <c r="G6583" s="562">
        <f t="shared" si="376"/>
        <v>0</v>
      </c>
      <c r="H6583" s="362"/>
      <c r="I6583" s="362"/>
      <c r="J6583" s="362"/>
    </row>
    <row r="6584" spans="1:10" x14ac:dyDescent="0.25">
      <c r="A6584" s="362"/>
      <c r="B6584" s="611">
        <v>44527</v>
      </c>
      <c r="C6584" s="370" t="s">
        <v>85</v>
      </c>
      <c r="D6584" s="562">
        <v>38539400</v>
      </c>
      <c r="E6584" s="562"/>
      <c r="F6584" s="562">
        <v>38539400</v>
      </c>
      <c r="G6584" s="562">
        <f t="shared" si="376"/>
        <v>0</v>
      </c>
      <c r="H6584" s="362"/>
      <c r="I6584" s="362"/>
      <c r="J6584" s="362"/>
    </row>
    <row r="6585" spans="1:10" x14ac:dyDescent="0.25">
      <c r="A6585" s="532"/>
      <c r="B6585" s="532"/>
      <c r="C6585" s="532"/>
      <c r="D6585" s="564">
        <f>SUM(D6570:D6584)</f>
        <v>1579653245</v>
      </c>
      <c r="E6585" s="564">
        <f t="shared" ref="E6585:G6585" si="378">SUM(E6570:E6584)</f>
        <v>709688809</v>
      </c>
      <c r="F6585" s="564">
        <f t="shared" si="378"/>
        <v>2289362400</v>
      </c>
      <c r="G6585" s="564">
        <f t="shared" si="378"/>
        <v>-20346</v>
      </c>
      <c r="H6585" s="532"/>
      <c r="I6585" s="532"/>
      <c r="J6585" s="532"/>
    </row>
    <row r="6586" spans="1:10" x14ac:dyDescent="0.25">
      <c r="A6586" s="362"/>
      <c r="B6586" s="611">
        <v>44529</v>
      </c>
      <c r="C6586" s="362" t="s">
        <v>86</v>
      </c>
      <c r="D6586" s="562">
        <v>42494864</v>
      </c>
      <c r="E6586" s="562">
        <v>8262740</v>
      </c>
      <c r="F6586" s="562"/>
      <c r="G6586" s="562">
        <f t="shared" si="376"/>
        <v>50757604</v>
      </c>
      <c r="H6586" s="362"/>
      <c r="I6586" s="362"/>
      <c r="J6586" s="362"/>
    </row>
    <row r="6587" spans="1:10" x14ac:dyDescent="0.25">
      <c r="A6587" s="362"/>
      <c r="B6587" s="611">
        <v>44529</v>
      </c>
      <c r="C6587" s="362" t="s">
        <v>87</v>
      </c>
      <c r="D6587" s="562">
        <v>50015230</v>
      </c>
      <c r="E6587" s="562">
        <v>103105589</v>
      </c>
      <c r="F6587" s="562"/>
      <c r="G6587" s="562">
        <f t="shared" si="376"/>
        <v>153120819</v>
      </c>
      <c r="H6587" s="362"/>
      <c r="I6587" s="362"/>
      <c r="J6587" s="362"/>
    </row>
    <row r="6588" spans="1:10" x14ac:dyDescent="0.25">
      <c r="A6588" s="362"/>
      <c r="B6588" s="611">
        <v>44529</v>
      </c>
      <c r="C6588" s="362" t="s">
        <v>88</v>
      </c>
      <c r="D6588" s="562">
        <v>106891877</v>
      </c>
      <c r="E6588" s="562">
        <v>9060136</v>
      </c>
      <c r="F6588" s="562"/>
      <c r="G6588" s="562">
        <f t="shared" si="376"/>
        <v>115952013</v>
      </c>
      <c r="H6588" s="362"/>
      <c r="I6588" s="362"/>
      <c r="J6588" s="362"/>
    </row>
    <row r="6589" spans="1:10" x14ac:dyDescent="0.25">
      <c r="A6589" s="362"/>
      <c r="B6589" s="611">
        <v>44529</v>
      </c>
      <c r="C6589" s="362" t="s">
        <v>82</v>
      </c>
      <c r="D6589" s="562">
        <v>98674541</v>
      </c>
      <c r="E6589" s="562">
        <v>4842710</v>
      </c>
      <c r="F6589" s="562"/>
      <c r="G6589" s="562">
        <f t="shared" si="376"/>
        <v>103517251</v>
      </c>
      <c r="H6589" s="362"/>
      <c r="I6589" s="362"/>
      <c r="J6589" s="362"/>
    </row>
    <row r="6590" spans="1:10" x14ac:dyDescent="0.25">
      <c r="A6590" s="362"/>
      <c r="B6590" s="611">
        <v>44529</v>
      </c>
      <c r="C6590" s="362" t="s">
        <v>80</v>
      </c>
      <c r="D6590" s="562">
        <v>273040946</v>
      </c>
      <c r="E6590" s="562">
        <v>11516800</v>
      </c>
      <c r="F6590" s="562"/>
      <c r="G6590" s="562">
        <f t="shared" si="376"/>
        <v>284557746</v>
      </c>
      <c r="H6590" s="362"/>
      <c r="I6590" s="362"/>
      <c r="J6590" s="362"/>
    </row>
    <row r="6591" spans="1:10" x14ac:dyDescent="0.25">
      <c r="A6591" s="362"/>
      <c r="B6591" s="611">
        <v>44529</v>
      </c>
      <c r="C6591" s="362" t="s">
        <v>83</v>
      </c>
      <c r="D6591" s="562">
        <v>161967290</v>
      </c>
      <c r="E6591" s="562">
        <v>230530924</v>
      </c>
      <c r="F6591" s="562"/>
      <c r="G6591" s="562">
        <f t="shared" si="376"/>
        <v>392498214</v>
      </c>
      <c r="H6591" s="362"/>
      <c r="I6591" s="362"/>
      <c r="J6591" s="362"/>
    </row>
    <row r="6592" spans="1:10" x14ac:dyDescent="0.25">
      <c r="A6592" s="362"/>
      <c r="B6592" s="611">
        <v>44529</v>
      </c>
      <c r="C6592" s="362" t="s">
        <v>78</v>
      </c>
      <c r="D6592" s="562">
        <v>84695019</v>
      </c>
      <c r="E6592" s="562">
        <v>2225681</v>
      </c>
      <c r="F6592" s="562"/>
      <c r="G6592" s="562">
        <f t="shared" si="376"/>
        <v>86920700</v>
      </c>
      <c r="H6592" s="362"/>
      <c r="I6592" s="362"/>
      <c r="J6592" s="362"/>
    </row>
    <row r="6593" spans="1:10" x14ac:dyDescent="0.25">
      <c r="A6593" s="362"/>
      <c r="B6593" s="611">
        <v>44529</v>
      </c>
      <c r="C6593" s="362" t="s">
        <v>141</v>
      </c>
      <c r="D6593" s="562">
        <v>51704110</v>
      </c>
      <c r="E6593" s="562">
        <v>3155994</v>
      </c>
      <c r="F6593" s="562"/>
      <c r="G6593" s="562">
        <f t="shared" si="376"/>
        <v>54860104</v>
      </c>
      <c r="H6593" s="362"/>
      <c r="I6593" s="362"/>
      <c r="J6593" s="362"/>
    </row>
    <row r="6594" spans="1:10" x14ac:dyDescent="0.25">
      <c r="A6594" s="362"/>
      <c r="B6594" s="611">
        <v>44529</v>
      </c>
      <c r="C6594" s="362" t="s">
        <v>89</v>
      </c>
      <c r="D6594" s="562">
        <v>141185308</v>
      </c>
      <c r="E6594" s="562">
        <v>52230892</v>
      </c>
      <c r="F6594" s="562"/>
      <c r="G6594" s="562">
        <f t="shared" si="376"/>
        <v>193416200</v>
      </c>
      <c r="H6594" s="362"/>
      <c r="I6594" s="362"/>
      <c r="J6594" s="362"/>
    </row>
    <row r="6595" spans="1:10" x14ac:dyDescent="0.25">
      <c r="A6595" s="362"/>
      <c r="B6595" s="611">
        <v>44529</v>
      </c>
      <c r="C6595" s="362" t="s">
        <v>81</v>
      </c>
      <c r="D6595" s="562">
        <v>113661446</v>
      </c>
      <c r="E6595" s="562">
        <v>21778027</v>
      </c>
      <c r="F6595" s="562"/>
      <c r="G6595" s="562">
        <f t="shared" si="376"/>
        <v>135439473</v>
      </c>
      <c r="H6595" s="362"/>
      <c r="I6595" s="362"/>
      <c r="J6595" s="362"/>
    </row>
    <row r="6596" spans="1:10" x14ac:dyDescent="0.25">
      <c r="A6596" s="362"/>
      <c r="B6596" s="611">
        <v>44529</v>
      </c>
      <c r="C6596" s="362" t="s">
        <v>84</v>
      </c>
      <c r="D6596" s="562">
        <v>304366416</v>
      </c>
      <c r="E6596" s="562">
        <v>7813356</v>
      </c>
      <c r="F6596" s="562"/>
      <c r="G6596" s="562">
        <f t="shared" si="376"/>
        <v>312179772</v>
      </c>
      <c r="H6596" s="362"/>
      <c r="I6596" s="362"/>
      <c r="J6596" s="362"/>
    </row>
    <row r="6597" spans="1:10" x14ac:dyDescent="0.25">
      <c r="A6597" s="362"/>
      <c r="B6597" s="611">
        <v>44529</v>
      </c>
      <c r="C6597" s="362" t="s">
        <v>4751</v>
      </c>
      <c r="D6597" s="562">
        <v>194126919</v>
      </c>
      <c r="E6597" s="562">
        <v>7850181</v>
      </c>
      <c r="F6597" s="562"/>
      <c r="G6597" s="562">
        <f t="shared" si="376"/>
        <v>201977100</v>
      </c>
      <c r="H6597" s="362"/>
      <c r="I6597" s="362"/>
      <c r="J6597" s="362"/>
    </row>
    <row r="6598" spans="1:10" x14ac:dyDescent="0.25">
      <c r="A6598" s="362"/>
      <c r="B6598" s="611">
        <v>44529</v>
      </c>
      <c r="C6598" s="362" t="s">
        <v>166</v>
      </c>
      <c r="D6598" s="562">
        <v>59893075</v>
      </c>
      <c r="E6598" s="562"/>
      <c r="F6598" s="562"/>
      <c r="G6598" s="562">
        <f t="shared" si="376"/>
        <v>59893075</v>
      </c>
      <c r="H6598" s="362"/>
      <c r="I6598" s="362"/>
      <c r="J6598" s="362"/>
    </row>
    <row r="6599" spans="1:10" x14ac:dyDescent="0.25">
      <c r="A6599" s="362"/>
      <c r="B6599" s="611">
        <v>44529</v>
      </c>
      <c r="C6599" s="362" t="s">
        <v>3435</v>
      </c>
      <c r="D6599" s="562">
        <v>73342043</v>
      </c>
      <c r="E6599" s="562"/>
      <c r="F6599" s="562"/>
      <c r="G6599" s="562">
        <f t="shared" si="376"/>
        <v>73342043</v>
      </c>
      <c r="H6599" s="362"/>
      <c r="I6599" s="362"/>
      <c r="J6599" s="362"/>
    </row>
    <row r="6600" spans="1:10" x14ac:dyDescent="0.25">
      <c r="A6600" s="362"/>
      <c r="B6600" s="611">
        <v>44529</v>
      </c>
      <c r="C6600" s="370" t="s">
        <v>85</v>
      </c>
      <c r="D6600" s="562">
        <v>66155100</v>
      </c>
      <c r="E6600" s="562"/>
      <c r="F6600" s="562"/>
      <c r="G6600" s="562">
        <f t="shared" si="376"/>
        <v>66155100</v>
      </c>
      <c r="H6600" s="362"/>
      <c r="I6600" s="362"/>
      <c r="J6600" s="362"/>
    </row>
    <row r="6601" spans="1:10" x14ac:dyDescent="0.25">
      <c r="A6601" s="532"/>
      <c r="B6601" s="532"/>
      <c r="C6601" s="532"/>
      <c r="D6601" s="564">
        <f>SUM(D6586:D6600)</f>
        <v>1822214184</v>
      </c>
      <c r="E6601" s="564">
        <f t="shared" ref="E6601:G6601" si="379">SUM(E6586:E6600)</f>
        <v>462373030</v>
      </c>
      <c r="F6601" s="564">
        <f t="shared" si="379"/>
        <v>0</v>
      </c>
      <c r="G6601" s="564">
        <f t="shared" si="379"/>
        <v>2284587214</v>
      </c>
      <c r="H6601" s="532"/>
      <c r="I6601" s="532"/>
      <c r="J6601" s="532"/>
    </row>
    <row r="6602" spans="1:10" x14ac:dyDescent="0.25">
      <c r="A6602" s="362"/>
      <c r="B6602" s="611">
        <v>44530</v>
      </c>
      <c r="C6602" s="362" t="s">
        <v>86</v>
      </c>
      <c r="D6602" s="562">
        <v>95713197</v>
      </c>
      <c r="E6602" s="562">
        <v>24989178</v>
      </c>
      <c r="F6602" s="562"/>
      <c r="G6602" s="562">
        <f t="shared" si="376"/>
        <v>120702375</v>
      </c>
      <c r="H6602" s="362"/>
      <c r="I6602" s="362"/>
      <c r="J6602" s="362"/>
    </row>
    <row r="6603" spans="1:10" x14ac:dyDescent="0.25">
      <c r="A6603" s="362"/>
      <c r="B6603" s="611">
        <v>44530</v>
      </c>
      <c r="C6603" s="362" t="s">
        <v>87</v>
      </c>
      <c r="D6603" s="562">
        <v>68057258</v>
      </c>
      <c r="E6603" s="562">
        <v>91793120</v>
      </c>
      <c r="F6603" s="562"/>
      <c r="G6603" s="562">
        <f t="shared" si="376"/>
        <v>159850378</v>
      </c>
      <c r="H6603" s="362"/>
      <c r="I6603" s="362"/>
      <c r="J6603" s="362"/>
    </row>
    <row r="6604" spans="1:10" x14ac:dyDescent="0.25">
      <c r="A6604" s="362"/>
      <c r="B6604" s="611">
        <v>44530</v>
      </c>
      <c r="C6604" s="362" t="s">
        <v>88</v>
      </c>
      <c r="D6604" s="562">
        <v>181120787</v>
      </c>
      <c r="E6604" s="562">
        <v>61009798</v>
      </c>
      <c r="F6604" s="562"/>
      <c r="G6604" s="562">
        <f t="shared" si="376"/>
        <v>242130585</v>
      </c>
      <c r="H6604" s="362"/>
      <c r="I6604" s="362"/>
      <c r="J6604" s="362"/>
    </row>
    <row r="6605" spans="1:10" x14ac:dyDescent="0.25">
      <c r="A6605" s="362"/>
      <c r="B6605" s="611">
        <v>44530</v>
      </c>
      <c r="C6605" s="362" t="s">
        <v>82</v>
      </c>
      <c r="D6605" s="562">
        <v>51135263</v>
      </c>
      <c r="E6605" s="562">
        <v>2180520</v>
      </c>
      <c r="F6605" s="562"/>
      <c r="G6605" s="562">
        <f t="shared" si="376"/>
        <v>53315783</v>
      </c>
      <c r="H6605" s="362"/>
      <c r="I6605" s="362"/>
      <c r="J6605" s="362"/>
    </row>
    <row r="6606" spans="1:10" x14ac:dyDescent="0.25">
      <c r="A6606" s="362"/>
      <c r="B6606" s="611">
        <v>44530</v>
      </c>
      <c r="C6606" s="362" t="s">
        <v>80</v>
      </c>
      <c r="D6606" s="562">
        <v>258634965</v>
      </c>
      <c r="E6606" s="562"/>
      <c r="F6606" s="562"/>
      <c r="G6606" s="562">
        <f t="shared" si="376"/>
        <v>258634965</v>
      </c>
      <c r="H6606" s="362"/>
      <c r="I6606" s="362"/>
      <c r="J6606" s="362"/>
    </row>
    <row r="6607" spans="1:10" x14ac:dyDescent="0.25">
      <c r="A6607" s="362"/>
      <c r="B6607" s="611">
        <v>44530</v>
      </c>
      <c r="C6607" s="362" t="s">
        <v>83</v>
      </c>
      <c r="D6607" s="562">
        <v>155873408</v>
      </c>
      <c r="E6607" s="562">
        <v>13192883</v>
      </c>
      <c r="F6607" s="562"/>
      <c r="G6607" s="562">
        <f t="shared" si="376"/>
        <v>169066291</v>
      </c>
      <c r="H6607" s="362"/>
      <c r="I6607" s="362"/>
      <c r="J6607" s="362"/>
    </row>
    <row r="6608" spans="1:10" x14ac:dyDescent="0.25">
      <c r="A6608" s="362"/>
      <c r="B6608" s="611">
        <v>44530</v>
      </c>
      <c r="C6608" s="362" t="s">
        <v>78</v>
      </c>
      <c r="D6608" s="562">
        <v>162616259</v>
      </c>
      <c r="E6608" s="562">
        <v>2212241</v>
      </c>
      <c r="F6608" s="562"/>
      <c r="G6608" s="562">
        <f t="shared" si="376"/>
        <v>164828500</v>
      </c>
      <c r="H6608" s="362"/>
      <c r="I6608" s="362"/>
      <c r="J6608" s="362"/>
    </row>
    <row r="6609" spans="1:10" x14ac:dyDescent="0.25">
      <c r="A6609" s="362"/>
      <c r="B6609" s="611">
        <v>44530</v>
      </c>
      <c r="C6609" s="362" t="s">
        <v>141</v>
      </c>
      <c r="D6609" s="562">
        <v>151549833</v>
      </c>
      <c r="E6609" s="562">
        <v>841300</v>
      </c>
      <c r="F6609" s="562"/>
      <c r="G6609" s="562">
        <f t="shared" si="376"/>
        <v>152391133</v>
      </c>
      <c r="H6609" s="362"/>
      <c r="I6609" s="362"/>
      <c r="J6609" s="362"/>
    </row>
    <row r="6610" spans="1:10" x14ac:dyDescent="0.25">
      <c r="A6610" s="362"/>
      <c r="B6610" s="611">
        <v>44530</v>
      </c>
      <c r="C6610" s="362" t="s">
        <v>89</v>
      </c>
      <c r="D6610" s="562">
        <v>146100155</v>
      </c>
      <c r="E6610" s="562">
        <v>8111945</v>
      </c>
      <c r="F6610" s="562"/>
      <c r="G6610" s="562">
        <f t="shared" si="376"/>
        <v>154212100</v>
      </c>
      <c r="H6610" s="362"/>
      <c r="I6610" s="362"/>
      <c r="J6610" s="362"/>
    </row>
    <row r="6611" spans="1:10" x14ac:dyDescent="0.25">
      <c r="A6611" s="362"/>
      <c r="B6611" s="611">
        <v>44530</v>
      </c>
      <c r="C6611" s="362" t="s">
        <v>81</v>
      </c>
      <c r="D6611" s="562">
        <v>112215781</v>
      </c>
      <c r="E6611" s="562">
        <v>26424026</v>
      </c>
      <c r="F6611" s="562"/>
      <c r="G6611" s="562">
        <f t="shared" si="376"/>
        <v>138639807</v>
      </c>
      <c r="H6611" s="362"/>
      <c r="I6611" s="362"/>
      <c r="J6611" s="362"/>
    </row>
    <row r="6612" spans="1:10" x14ac:dyDescent="0.25">
      <c r="A6612" s="362"/>
      <c r="B6612" s="611">
        <v>44530</v>
      </c>
      <c r="C6612" s="362" t="s">
        <v>84</v>
      </c>
      <c r="D6612" s="562">
        <v>275686950</v>
      </c>
      <c r="E6612" s="562">
        <v>11994735</v>
      </c>
      <c r="F6612" s="562"/>
      <c r="G6612" s="562">
        <f t="shared" si="376"/>
        <v>287681685</v>
      </c>
      <c r="H6612" s="362"/>
      <c r="I6612" s="362"/>
      <c r="J6612" s="362"/>
    </row>
    <row r="6613" spans="1:10" x14ac:dyDescent="0.25">
      <c r="A6613" s="362"/>
      <c r="B6613" s="611">
        <v>44530</v>
      </c>
      <c r="C6613" s="362" t="s">
        <v>4751</v>
      </c>
      <c r="D6613" s="562">
        <v>231111382</v>
      </c>
      <c r="E6613" s="562">
        <v>22557918</v>
      </c>
      <c r="F6613" s="562"/>
      <c r="G6613" s="562">
        <f t="shared" si="376"/>
        <v>253669300</v>
      </c>
      <c r="H6613" s="362"/>
      <c r="I6613" s="362"/>
      <c r="J6613" s="362"/>
    </row>
    <row r="6614" spans="1:10" x14ac:dyDescent="0.25">
      <c r="A6614" s="362"/>
      <c r="B6614" s="611">
        <v>44530</v>
      </c>
      <c r="C6614" s="362" t="s">
        <v>166</v>
      </c>
      <c r="D6614" s="562">
        <v>57436225</v>
      </c>
      <c r="E6614" s="562"/>
      <c r="F6614" s="562"/>
      <c r="G6614" s="562">
        <f t="shared" si="376"/>
        <v>57436225</v>
      </c>
      <c r="H6614" s="362"/>
      <c r="I6614" s="362"/>
      <c r="J6614" s="362"/>
    </row>
    <row r="6615" spans="1:10" x14ac:dyDescent="0.25">
      <c r="A6615" s="362"/>
      <c r="B6615" s="611">
        <v>44530</v>
      </c>
      <c r="C6615" s="362" t="s">
        <v>3435</v>
      </c>
      <c r="D6615" s="562">
        <v>63977562</v>
      </c>
      <c r="E6615" s="562"/>
      <c r="F6615" s="562"/>
      <c r="G6615" s="562">
        <f t="shared" si="376"/>
        <v>63977562</v>
      </c>
      <c r="H6615" s="362"/>
      <c r="I6615" s="362"/>
      <c r="J6615" s="362"/>
    </row>
    <row r="6616" spans="1:10" x14ac:dyDescent="0.25">
      <c r="A6616" s="362"/>
      <c r="B6616" s="611">
        <v>44530</v>
      </c>
      <c r="C6616" s="370" t="s">
        <v>85</v>
      </c>
      <c r="D6616" s="562">
        <v>40930500</v>
      </c>
      <c r="E6616" s="562"/>
      <c r="F6616" s="562"/>
      <c r="G6616" s="562">
        <f>D6616+E6616-F6616</f>
        <v>40930500</v>
      </c>
      <c r="H6616" s="362"/>
      <c r="I6616" s="362"/>
      <c r="J6616" s="362"/>
    </row>
    <row r="6617" spans="1:10" x14ac:dyDescent="0.25">
      <c r="A6617" s="532"/>
      <c r="B6617" s="532"/>
      <c r="C6617" s="532"/>
      <c r="D6617" s="632">
        <f>SUM(D6602:D6616)</f>
        <v>2052159525</v>
      </c>
      <c r="E6617" s="632">
        <f t="shared" ref="E6617:G6617" si="380">SUM(E6602:E6616)</f>
        <v>265307664</v>
      </c>
      <c r="F6617" s="632">
        <f t="shared" si="380"/>
        <v>0</v>
      </c>
      <c r="G6617" s="632">
        <f t="shared" si="380"/>
        <v>2317467189</v>
      </c>
      <c r="H6617" s="532"/>
      <c r="I6617" s="532"/>
      <c r="J6617" s="532"/>
    </row>
    <row r="6618" spans="1:10" x14ac:dyDescent="0.25">
      <c r="A6618" s="362"/>
      <c r="B6618" s="611">
        <v>44531</v>
      </c>
      <c r="C6618" s="362" t="s">
        <v>86</v>
      </c>
      <c r="D6618" s="562">
        <v>76920032</v>
      </c>
      <c r="E6618" s="562">
        <v>7748536</v>
      </c>
      <c r="F6618" s="562"/>
      <c r="G6618" s="562">
        <f t="shared" ref="G6618:G6631" si="381">D6618+E6618-F6618</f>
        <v>84668568</v>
      </c>
      <c r="H6618" s="362"/>
      <c r="I6618" s="362"/>
      <c r="J6618" s="362"/>
    </row>
    <row r="6619" spans="1:10" x14ac:dyDescent="0.25">
      <c r="A6619" s="362"/>
      <c r="B6619" s="611">
        <v>44531</v>
      </c>
      <c r="C6619" s="362" t="s">
        <v>87</v>
      </c>
      <c r="D6619" s="562">
        <v>158818078</v>
      </c>
      <c r="E6619" s="562">
        <v>67312455</v>
      </c>
      <c r="F6619" s="562"/>
      <c r="G6619" s="562">
        <f t="shared" si="381"/>
        <v>226130533</v>
      </c>
      <c r="H6619" s="362"/>
      <c r="I6619" s="362"/>
      <c r="J6619" s="362"/>
    </row>
    <row r="6620" spans="1:10" x14ac:dyDescent="0.25">
      <c r="A6620" s="362"/>
      <c r="B6620" s="611">
        <v>44531</v>
      </c>
      <c r="C6620" s="362" t="s">
        <v>88</v>
      </c>
      <c r="D6620" s="562">
        <v>130934423</v>
      </c>
      <c r="E6620" s="562">
        <v>4973673</v>
      </c>
      <c r="F6620" s="562"/>
      <c r="G6620" s="562">
        <f t="shared" si="381"/>
        <v>135908096</v>
      </c>
      <c r="H6620" s="362"/>
      <c r="I6620" s="362"/>
      <c r="J6620" s="362"/>
    </row>
    <row r="6621" spans="1:10" x14ac:dyDescent="0.25">
      <c r="A6621" s="362"/>
      <c r="B6621" s="611">
        <v>44531</v>
      </c>
      <c r="C6621" s="362" t="s">
        <v>82</v>
      </c>
      <c r="D6621" s="562">
        <v>109840534</v>
      </c>
      <c r="E6621" s="562">
        <v>2015960</v>
      </c>
      <c r="F6621" s="562"/>
      <c r="G6621" s="562">
        <f t="shared" si="381"/>
        <v>111856494</v>
      </c>
      <c r="H6621" s="362"/>
      <c r="I6621" s="362"/>
      <c r="J6621" s="362"/>
    </row>
    <row r="6622" spans="1:10" x14ac:dyDescent="0.25">
      <c r="A6622" s="362"/>
      <c r="B6622" s="611">
        <v>44531</v>
      </c>
      <c r="C6622" s="362" t="s">
        <v>80</v>
      </c>
      <c r="D6622" s="562">
        <v>284974340</v>
      </c>
      <c r="E6622" s="562">
        <v>115601460</v>
      </c>
      <c r="F6622" s="562"/>
      <c r="G6622" s="562">
        <f t="shared" si="381"/>
        <v>400575800</v>
      </c>
      <c r="H6622" s="362"/>
      <c r="I6622" s="362"/>
      <c r="J6622" s="362"/>
    </row>
    <row r="6623" spans="1:10" x14ac:dyDescent="0.25">
      <c r="A6623" s="362"/>
      <c r="B6623" s="611">
        <v>44531</v>
      </c>
      <c r="C6623" s="362" t="s">
        <v>83</v>
      </c>
      <c r="D6623" s="562">
        <v>107704042</v>
      </c>
      <c r="E6623" s="562">
        <v>9838058</v>
      </c>
      <c r="F6623" s="562"/>
      <c r="G6623" s="562">
        <f t="shared" si="381"/>
        <v>117542100</v>
      </c>
      <c r="H6623" s="362"/>
      <c r="I6623" s="362"/>
      <c r="J6623" s="362"/>
    </row>
    <row r="6624" spans="1:10" x14ac:dyDescent="0.25">
      <c r="A6624" s="362"/>
      <c r="B6624" s="611">
        <v>44531</v>
      </c>
      <c r="C6624" s="362" t="s">
        <v>78</v>
      </c>
      <c r="D6624" s="562">
        <v>247503930</v>
      </c>
      <c r="E6624" s="562">
        <v>10454570</v>
      </c>
      <c r="F6624" s="562"/>
      <c r="G6624" s="562">
        <f t="shared" si="381"/>
        <v>257958500</v>
      </c>
      <c r="H6624" s="362"/>
      <c r="I6624" s="362"/>
      <c r="J6624" s="362"/>
    </row>
    <row r="6625" spans="1:10" x14ac:dyDescent="0.25">
      <c r="A6625" s="362"/>
      <c r="B6625" s="611">
        <v>44531</v>
      </c>
      <c r="C6625" s="362" t="s">
        <v>141</v>
      </c>
      <c r="D6625" s="562">
        <v>140010076</v>
      </c>
      <c r="E6625" s="562">
        <v>589700</v>
      </c>
      <c r="F6625" s="562"/>
      <c r="G6625" s="562">
        <f t="shared" si="381"/>
        <v>140599776</v>
      </c>
      <c r="H6625" s="362"/>
      <c r="I6625" s="362"/>
      <c r="J6625" s="362"/>
    </row>
    <row r="6626" spans="1:10" x14ac:dyDescent="0.25">
      <c r="A6626" s="362"/>
      <c r="B6626" s="611">
        <v>44531</v>
      </c>
      <c r="C6626" s="362" t="s">
        <v>89</v>
      </c>
      <c r="D6626" s="562">
        <v>105929542</v>
      </c>
      <c r="E6626" s="562">
        <v>68195158</v>
      </c>
      <c r="F6626" s="562"/>
      <c r="G6626" s="562">
        <f t="shared" si="381"/>
        <v>174124700</v>
      </c>
      <c r="H6626" s="362"/>
      <c r="I6626" s="362"/>
      <c r="J6626" s="362"/>
    </row>
    <row r="6627" spans="1:10" x14ac:dyDescent="0.25">
      <c r="A6627" s="362"/>
      <c r="B6627" s="611">
        <v>44531</v>
      </c>
      <c r="C6627" s="362" t="s">
        <v>81</v>
      </c>
      <c r="D6627" s="562">
        <v>139478242</v>
      </c>
      <c r="E6627" s="562">
        <v>14840652</v>
      </c>
      <c r="F6627" s="562"/>
      <c r="G6627" s="562">
        <f t="shared" si="381"/>
        <v>154318894</v>
      </c>
      <c r="H6627" s="362"/>
      <c r="I6627" s="362"/>
      <c r="J6627" s="362"/>
    </row>
    <row r="6628" spans="1:10" x14ac:dyDescent="0.25">
      <c r="A6628" s="362"/>
      <c r="B6628" s="611">
        <v>44531</v>
      </c>
      <c r="C6628" s="362" t="s">
        <v>84</v>
      </c>
      <c r="D6628" s="562">
        <v>238158506</v>
      </c>
      <c r="E6628" s="562">
        <v>15603723</v>
      </c>
      <c r="F6628" s="562"/>
      <c r="G6628" s="562">
        <f t="shared" si="381"/>
        <v>253762229</v>
      </c>
      <c r="H6628" s="362"/>
      <c r="I6628" s="362"/>
      <c r="J6628" s="362"/>
    </row>
    <row r="6629" spans="1:10" x14ac:dyDescent="0.25">
      <c r="A6629" s="362"/>
      <c r="B6629" s="611">
        <v>44531</v>
      </c>
      <c r="C6629" s="362" t="s">
        <v>4751</v>
      </c>
      <c r="D6629" s="562">
        <v>224013299</v>
      </c>
      <c r="E6629" s="562">
        <v>134529101</v>
      </c>
      <c r="F6629" s="562"/>
      <c r="G6629" s="562">
        <f t="shared" si="381"/>
        <v>358542400</v>
      </c>
      <c r="H6629" s="362"/>
      <c r="I6629" s="362"/>
      <c r="J6629" s="362"/>
    </row>
    <row r="6630" spans="1:10" x14ac:dyDescent="0.25">
      <c r="A6630" s="362"/>
      <c r="B6630" s="611">
        <v>44531</v>
      </c>
      <c r="C6630" s="362" t="s">
        <v>166</v>
      </c>
      <c r="D6630" s="562">
        <v>48011953</v>
      </c>
      <c r="E6630" s="562"/>
      <c r="F6630" s="562"/>
      <c r="G6630" s="562">
        <f t="shared" si="381"/>
        <v>48011953</v>
      </c>
      <c r="H6630" s="362"/>
      <c r="I6630" s="362"/>
      <c r="J6630" s="362"/>
    </row>
    <row r="6631" spans="1:10" x14ac:dyDescent="0.25">
      <c r="A6631" s="362"/>
      <c r="B6631" s="611">
        <v>44531</v>
      </c>
      <c r="C6631" s="362" t="s">
        <v>3435</v>
      </c>
      <c r="D6631" s="562">
        <v>64930837</v>
      </c>
      <c r="E6631" s="562"/>
      <c r="F6631" s="562"/>
      <c r="G6631" s="562">
        <f t="shared" si="381"/>
        <v>64930837</v>
      </c>
      <c r="H6631" s="362"/>
      <c r="I6631" s="362"/>
      <c r="J6631" s="362"/>
    </row>
    <row r="6632" spans="1:10" x14ac:dyDescent="0.25">
      <c r="A6632" s="362"/>
      <c r="B6632" s="611">
        <v>44531</v>
      </c>
      <c r="C6632" s="370" t="s">
        <v>85</v>
      </c>
      <c r="D6632" s="562">
        <v>49674200</v>
      </c>
      <c r="E6632" s="562"/>
      <c r="F6632" s="562"/>
      <c r="G6632" s="562">
        <f>D6632+E6632-F6632</f>
        <v>49674200</v>
      </c>
      <c r="H6632" s="362"/>
      <c r="I6632" s="362"/>
      <c r="J6632" s="362"/>
    </row>
    <row r="6633" spans="1:10" x14ac:dyDescent="0.25">
      <c r="A6633" s="532"/>
      <c r="B6633" s="532"/>
      <c r="C6633" s="532"/>
      <c r="D6633" s="564">
        <f>SUM(D6618:D6632)</f>
        <v>2126902034</v>
      </c>
      <c r="E6633" s="564">
        <f t="shared" ref="E6633:G6633" si="382">SUM(E6618:E6632)</f>
        <v>451703046</v>
      </c>
      <c r="F6633" s="564">
        <f t="shared" si="382"/>
        <v>0</v>
      </c>
      <c r="G6633" s="564">
        <f t="shared" si="382"/>
        <v>2578605080</v>
      </c>
      <c r="H6633" s="532"/>
      <c r="I6633" s="532"/>
      <c r="J6633" s="532"/>
    </row>
    <row r="6634" spans="1:10" x14ac:dyDescent="0.25">
      <c r="A6634" s="362"/>
      <c r="B6634" s="611">
        <v>44532</v>
      </c>
      <c r="C6634" s="362" t="s">
        <v>86</v>
      </c>
      <c r="D6634" s="562">
        <v>63476756</v>
      </c>
      <c r="E6634" s="562">
        <v>78782627</v>
      </c>
      <c r="F6634" s="562"/>
      <c r="G6634" s="562">
        <f t="shared" ref="G6634:G6647" si="383">D6634+E6634-F6634</f>
        <v>142259383</v>
      </c>
      <c r="H6634" s="362"/>
      <c r="I6634" s="362"/>
      <c r="J6634" s="362"/>
    </row>
    <row r="6635" spans="1:10" x14ac:dyDescent="0.25">
      <c r="A6635" s="362"/>
      <c r="B6635" s="611">
        <v>44532</v>
      </c>
      <c r="C6635" s="362" t="s">
        <v>87</v>
      </c>
      <c r="D6635" s="562">
        <v>83969868</v>
      </c>
      <c r="E6635" s="562">
        <v>98971164</v>
      </c>
      <c r="F6635" s="562"/>
      <c r="G6635" s="562">
        <f t="shared" si="383"/>
        <v>182941032</v>
      </c>
      <c r="H6635" s="362"/>
      <c r="I6635" s="362"/>
      <c r="J6635" s="362"/>
    </row>
    <row r="6636" spans="1:10" x14ac:dyDescent="0.25">
      <c r="A6636" s="362"/>
      <c r="B6636" s="611">
        <v>44532</v>
      </c>
      <c r="C6636" s="362" t="s">
        <v>88</v>
      </c>
      <c r="D6636" s="562">
        <v>204155341</v>
      </c>
      <c r="E6636" s="562">
        <v>7893404</v>
      </c>
      <c r="F6636" s="562"/>
      <c r="G6636" s="562">
        <f t="shared" si="383"/>
        <v>212048745</v>
      </c>
      <c r="H6636" s="362"/>
      <c r="I6636" s="362"/>
      <c r="J6636" s="362"/>
    </row>
    <row r="6637" spans="1:10" x14ac:dyDescent="0.25">
      <c r="A6637" s="362"/>
      <c r="B6637" s="611">
        <v>44532</v>
      </c>
      <c r="C6637" s="362" t="s">
        <v>82</v>
      </c>
      <c r="D6637" s="562">
        <v>157515528</v>
      </c>
      <c r="E6637" s="562">
        <v>2447500</v>
      </c>
      <c r="F6637" s="562"/>
      <c r="G6637" s="562">
        <f t="shared" si="383"/>
        <v>159963028</v>
      </c>
      <c r="H6637" s="362"/>
      <c r="I6637" s="362"/>
      <c r="J6637" s="362"/>
    </row>
    <row r="6638" spans="1:10" x14ac:dyDescent="0.25">
      <c r="A6638" s="362"/>
      <c r="B6638" s="611">
        <v>44532</v>
      </c>
      <c r="C6638" s="362" t="s">
        <v>80</v>
      </c>
      <c r="D6638" s="562">
        <v>239184174</v>
      </c>
      <c r="E6638" s="562">
        <v>48964488</v>
      </c>
      <c r="F6638" s="562"/>
      <c r="G6638" s="562">
        <f t="shared" si="383"/>
        <v>288148662</v>
      </c>
      <c r="H6638" s="362"/>
      <c r="I6638" s="362"/>
      <c r="J6638" s="362"/>
    </row>
    <row r="6639" spans="1:10" x14ac:dyDescent="0.25">
      <c r="A6639" s="362"/>
      <c r="B6639" s="611">
        <v>44532</v>
      </c>
      <c r="C6639" s="362" t="s">
        <v>83</v>
      </c>
      <c r="D6639" s="562">
        <v>133786542</v>
      </c>
      <c r="E6639" s="562">
        <v>11577072</v>
      </c>
      <c r="F6639" s="562"/>
      <c r="G6639" s="562">
        <f t="shared" si="383"/>
        <v>145363614</v>
      </c>
      <c r="H6639" s="362"/>
      <c r="I6639" s="362"/>
      <c r="J6639" s="362"/>
    </row>
    <row r="6640" spans="1:10" x14ac:dyDescent="0.25">
      <c r="A6640" s="362"/>
      <c r="B6640" s="611">
        <v>44532</v>
      </c>
      <c r="C6640" s="362" t="s">
        <v>78</v>
      </c>
      <c r="D6640" s="562">
        <v>199953035</v>
      </c>
      <c r="E6640" s="562">
        <v>2114365</v>
      </c>
      <c r="F6640" s="562"/>
      <c r="G6640" s="562">
        <f t="shared" si="383"/>
        <v>202067400</v>
      </c>
      <c r="H6640" s="362"/>
      <c r="I6640" s="362"/>
      <c r="J6640" s="362"/>
    </row>
    <row r="6641" spans="1:10" x14ac:dyDescent="0.25">
      <c r="A6641" s="362"/>
      <c r="B6641" s="611">
        <v>44532</v>
      </c>
      <c r="C6641" s="362" t="s">
        <v>141</v>
      </c>
      <c r="D6641" s="562">
        <v>92590672</v>
      </c>
      <c r="E6641" s="562">
        <v>1103691</v>
      </c>
      <c r="F6641" s="562"/>
      <c r="G6641" s="562">
        <f t="shared" si="383"/>
        <v>93694363</v>
      </c>
      <c r="H6641" s="362"/>
      <c r="I6641" s="362"/>
      <c r="J6641" s="362"/>
    </row>
    <row r="6642" spans="1:10" x14ac:dyDescent="0.25">
      <c r="A6642" s="362"/>
      <c r="B6642" s="611">
        <v>44532</v>
      </c>
      <c r="C6642" s="362" t="s">
        <v>89</v>
      </c>
      <c r="D6642" s="562">
        <v>135342386</v>
      </c>
      <c r="E6642" s="562">
        <v>24811214</v>
      </c>
      <c r="F6642" s="562"/>
      <c r="G6642" s="562">
        <f t="shared" si="383"/>
        <v>160153600</v>
      </c>
      <c r="H6642" s="362"/>
      <c r="I6642" s="362"/>
      <c r="J6642" s="362"/>
    </row>
    <row r="6643" spans="1:10" x14ac:dyDescent="0.25">
      <c r="A6643" s="362"/>
      <c r="B6643" s="611">
        <v>44532</v>
      </c>
      <c r="C6643" s="362" t="s">
        <v>81</v>
      </c>
      <c r="D6643" s="562">
        <v>90098331</v>
      </c>
      <c r="E6643" s="562">
        <v>7934161</v>
      </c>
      <c r="F6643" s="562"/>
      <c r="G6643" s="562">
        <f t="shared" si="383"/>
        <v>98032492</v>
      </c>
      <c r="H6643" s="362"/>
      <c r="I6643" s="362"/>
      <c r="J6643" s="362"/>
    </row>
    <row r="6644" spans="1:10" x14ac:dyDescent="0.25">
      <c r="A6644" s="362"/>
      <c r="B6644" s="611">
        <v>44532</v>
      </c>
      <c r="C6644" s="362" t="s">
        <v>84</v>
      </c>
      <c r="D6644" s="562">
        <v>316703311</v>
      </c>
      <c r="E6644" s="562">
        <v>19134894</v>
      </c>
      <c r="F6644" s="562"/>
      <c r="G6644" s="562">
        <f t="shared" si="383"/>
        <v>335838205</v>
      </c>
      <c r="H6644" s="362"/>
      <c r="I6644" s="362"/>
      <c r="J6644" s="362"/>
    </row>
    <row r="6645" spans="1:10" x14ac:dyDescent="0.25">
      <c r="A6645" s="362"/>
      <c r="B6645" s="611">
        <v>44532</v>
      </c>
      <c r="C6645" s="362" t="s">
        <v>4751</v>
      </c>
      <c r="D6645" s="562">
        <v>272825181</v>
      </c>
      <c r="E6645" s="562">
        <v>7285319</v>
      </c>
      <c r="F6645" s="562"/>
      <c r="G6645" s="562">
        <f t="shared" si="383"/>
        <v>280110500</v>
      </c>
      <c r="H6645" s="362"/>
      <c r="I6645" s="362"/>
      <c r="J6645" s="362"/>
    </row>
    <row r="6646" spans="1:10" x14ac:dyDescent="0.25">
      <c r="A6646" s="362"/>
      <c r="B6646" s="611">
        <v>44532</v>
      </c>
      <c r="C6646" s="362" t="s">
        <v>166</v>
      </c>
      <c r="D6646" s="562">
        <v>120789272</v>
      </c>
      <c r="E6646" s="562"/>
      <c r="F6646" s="562"/>
      <c r="G6646" s="562">
        <f t="shared" si="383"/>
        <v>120789272</v>
      </c>
      <c r="H6646" s="362"/>
      <c r="I6646" s="362"/>
      <c r="J6646" s="362"/>
    </row>
    <row r="6647" spans="1:10" x14ac:dyDescent="0.25">
      <c r="A6647" s="362"/>
      <c r="B6647" s="611">
        <v>44532</v>
      </c>
      <c r="C6647" s="362" t="s">
        <v>3435</v>
      </c>
      <c r="D6647" s="562">
        <v>38141968</v>
      </c>
      <c r="E6647" s="562"/>
      <c r="F6647" s="562"/>
      <c r="G6647" s="562">
        <f t="shared" si="383"/>
        <v>38141968</v>
      </c>
      <c r="H6647" s="362"/>
      <c r="I6647" s="362"/>
      <c r="J6647" s="362"/>
    </row>
    <row r="6648" spans="1:10" x14ac:dyDescent="0.25">
      <c r="A6648" s="362"/>
      <c r="B6648" s="611">
        <v>44532</v>
      </c>
      <c r="C6648" s="370" t="s">
        <v>85</v>
      </c>
      <c r="D6648" s="562">
        <v>38542100</v>
      </c>
      <c r="E6648" s="562"/>
      <c r="F6648" s="562"/>
      <c r="G6648" s="562">
        <f>D6648+E6648-F6648</f>
        <v>38542100</v>
      </c>
      <c r="H6648" s="362"/>
      <c r="I6648" s="362"/>
      <c r="J6648" s="362"/>
    </row>
    <row r="6649" spans="1:10" x14ac:dyDescent="0.25">
      <c r="A6649" s="532"/>
      <c r="B6649" s="532"/>
      <c r="C6649" s="532"/>
      <c r="D6649" s="564">
        <f>SUM(D6634:D6648)</f>
        <v>2187074465</v>
      </c>
      <c r="E6649" s="564">
        <f t="shared" ref="E6649:G6649" si="384">SUM(E6634:E6648)</f>
        <v>311019899</v>
      </c>
      <c r="F6649" s="564">
        <f t="shared" si="384"/>
        <v>0</v>
      </c>
      <c r="G6649" s="564">
        <f t="shared" si="384"/>
        <v>2498094364</v>
      </c>
      <c r="H6649" s="532"/>
      <c r="I6649" s="532"/>
      <c r="J6649" s="532"/>
    </row>
    <row r="6650" spans="1:10" x14ac:dyDescent="0.25">
      <c r="A6650" s="362"/>
      <c r="B6650" s="611">
        <v>44533</v>
      </c>
      <c r="C6650" s="362" t="s">
        <v>86</v>
      </c>
      <c r="D6650" s="562">
        <v>64995609</v>
      </c>
      <c r="E6650" s="562">
        <v>11219590</v>
      </c>
      <c r="F6650" s="562"/>
      <c r="G6650" s="562">
        <f>D6650+E6650-F6650</f>
        <v>76215199</v>
      </c>
      <c r="H6650" s="362"/>
      <c r="I6650" s="362"/>
      <c r="J6650" s="362"/>
    </row>
    <row r="6651" spans="1:10" x14ac:dyDescent="0.25">
      <c r="A6651" s="362"/>
      <c r="B6651" s="611">
        <v>44533</v>
      </c>
      <c r="C6651" s="362" t="s">
        <v>87</v>
      </c>
      <c r="D6651" s="562">
        <v>121732324</v>
      </c>
      <c r="E6651" s="562">
        <v>26131670</v>
      </c>
      <c r="F6651" s="562"/>
      <c r="G6651" s="562">
        <f t="shared" ref="G6651:G6715" si="385">D6651+E6651-F6651</f>
        <v>147863994</v>
      </c>
      <c r="H6651" s="362"/>
      <c r="I6651" s="362"/>
      <c r="J6651" s="362"/>
    </row>
    <row r="6652" spans="1:10" x14ac:dyDescent="0.25">
      <c r="A6652" s="362"/>
      <c r="B6652" s="611">
        <v>44533</v>
      </c>
      <c r="C6652" s="362" t="s">
        <v>88</v>
      </c>
      <c r="D6652" s="562">
        <v>112863051</v>
      </c>
      <c r="E6652" s="562">
        <v>50839576</v>
      </c>
      <c r="F6652" s="562"/>
      <c r="G6652" s="562">
        <f t="shared" si="385"/>
        <v>163702627</v>
      </c>
      <c r="H6652" s="362"/>
      <c r="I6652" s="362"/>
      <c r="J6652" s="362"/>
    </row>
    <row r="6653" spans="1:10" x14ac:dyDescent="0.25">
      <c r="A6653" s="362"/>
      <c r="B6653" s="611">
        <v>44533</v>
      </c>
      <c r="C6653" s="362" t="s">
        <v>82</v>
      </c>
      <c r="D6653" s="562">
        <v>82280757</v>
      </c>
      <c r="E6653" s="562">
        <v>2429720</v>
      </c>
      <c r="F6653" s="562"/>
      <c r="G6653" s="562">
        <f t="shared" si="385"/>
        <v>84710477</v>
      </c>
      <c r="H6653" s="362"/>
      <c r="I6653" s="362"/>
      <c r="J6653" s="362"/>
    </row>
    <row r="6654" spans="1:10" x14ac:dyDescent="0.25">
      <c r="A6654" s="362"/>
      <c r="B6654" s="611">
        <v>44533</v>
      </c>
      <c r="C6654" s="362" t="s">
        <v>80</v>
      </c>
      <c r="D6654" s="562">
        <v>211018294</v>
      </c>
      <c r="E6654" s="562"/>
      <c r="F6654" s="562"/>
      <c r="G6654" s="562">
        <f t="shared" si="385"/>
        <v>211018294</v>
      </c>
      <c r="H6654" s="362"/>
      <c r="I6654" s="362"/>
      <c r="J6654" s="362"/>
    </row>
    <row r="6655" spans="1:10" x14ac:dyDescent="0.25">
      <c r="A6655" s="362"/>
      <c r="B6655" s="611">
        <v>44533</v>
      </c>
      <c r="C6655" s="362" t="s">
        <v>83</v>
      </c>
      <c r="D6655" s="562">
        <v>113039374</v>
      </c>
      <c r="E6655" s="562">
        <v>7944951</v>
      </c>
      <c r="F6655" s="562"/>
      <c r="G6655" s="562">
        <f t="shared" si="385"/>
        <v>120984325</v>
      </c>
      <c r="H6655" s="362"/>
      <c r="I6655" s="362"/>
      <c r="J6655" s="362"/>
    </row>
    <row r="6656" spans="1:10" x14ac:dyDescent="0.25">
      <c r="A6656" s="362"/>
      <c r="B6656" s="611">
        <v>44533</v>
      </c>
      <c r="C6656" s="362" t="s">
        <v>78</v>
      </c>
      <c r="D6656" s="562">
        <v>138822367</v>
      </c>
      <c r="E6656" s="562">
        <v>1232633</v>
      </c>
      <c r="F6656" s="562"/>
      <c r="G6656" s="562">
        <f t="shared" si="385"/>
        <v>140055000</v>
      </c>
      <c r="H6656" s="362"/>
      <c r="I6656" s="362"/>
      <c r="J6656" s="362"/>
    </row>
    <row r="6657" spans="1:10" x14ac:dyDescent="0.25">
      <c r="A6657" s="362"/>
      <c r="B6657" s="611">
        <v>44533</v>
      </c>
      <c r="C6657" s="362" t="s">
        <v>141</v>
      </c>
      <c r="D6657" s="562">
        <v>80147114</v>
      </c>
      <c r="E6657" s="562">
        <v>857400</v>
      </c>
      <c r="F6657" s="562"/>
      <c r="G6657" s="562">
        <f t="shared" si="385"/>
        <v>81004514</v>
      </c>
      <c r="H6657" s="362"/>
      <c r="I6657" s="362"/>
      <c r="J6657" s="362"/>
    </row>
    <row r="6658" spans="1:10" x14ac:dyDescent="0.25">
      <c r="A6658" s="362"/>
      <c r="B6658" s="611">
        <v>44533</v>
      </c>
      <c r="C6658" s="362" t="s">
        <v>89</v>
      </c>
      <c r="D6658" s="562">
        <v>182819302</v>
      </c>
      <c r="E6658" s="562">
        <v>21046898</v>
      </c>
      <c r="F6658" s="562"/>
      <c r="G6658" s="562">
        <f t="shared" si="385"/>
        <v>203866200</v>
      </c>
      <c r="H6658" s="362"/>
      <c r="I6658" s="362"/>
      <c r="J6658" s="362"/>
    </row>
    <row r="6659" spans="1:10" x14ac:dyDescent="0.25">
      <c r="A6659" s="362"/>
      <c r="B6659" s="611">
        <v>44533</v>
      </c>
      <c r="C6659" s="362" t="s">
        <v>81</v>
      </c>
      <c r="D6659" s="562">
        <v>61362075</v>
      </c>
      <c r="E6659" s="562">
        <v>14519842</v>
      </c>
      <c r="F6659" s="562"/>
      <c r="G6659" s="562">
        <f t="shared" si="385"/>
        <v>75881917</v>
      </c>
      <c r="H6659" s="362"/>
      <c r="I6659" s="362"/>
      <c r="J6659" s="362"/>
    </row>
    <row r="6660" spans="1:10" x14ac:dyDescent="0.25">
      <c r="A6660" s="362"/>
      <c r="B6660" s="611">
        <v>44533</v>
      </c>
      <c r="C6660" s="362" t="s">
        <v>84</v>
      </c>
      <c r="D6660" s="562">
        <v>250693369</v>
      </c>
      <c r="E6660" s="562">
        <v>12786255</v>
      </c>
      <c r="F6660" s="562"/>
      <c r="G6660" s="562">
        <f t="shared" si="385"/>
        <v>263479624</v>
      </c>
      <c r="H6660" s="362"/>
      <c r="I6660" s="362"/>
      <c r="J6660" s="362"/>
    </row>
    <row r="6661" spans="1:10" x14ac:dyDescent="0.25">
      <c r="A6661" s="362"/>
      <c r="B6661" s="611">
        <v>44533</v>
      </c>
      <c r="C6661" s="362" t="s">
        <v>4751</v>
      </c>
      <c r="D6661" s="562">
        <v>169732560</v>
      </c>
      <c r="E6661" s="562">
        <v>16654340</v>
      </c>
      <c r="F6661" s="562"/>
      <c r="G6661" s="562">
        <f t="shared" si="385"/>
        <v>186386900</v>
      </c>
      <c r="H6661" s="362"/>
      <c r="I6661" s="362"/>
      <c r="J6661" s="362"/>
    </row>
    <row r="6662" spans="1:10" x14ac:dyDescent="0.25">
      <c r="A6662" s="362"/>
      <c r="B6662" s="611">
        <v>44533</v>
      </c>
      <c r="C6662" s="362" t="s">
        <v>166</v>
      </c>
      <c r="D6662" s="562">
        <v>52222602</v>
      </c>
      <c r="E6662" s="562"/>
      <c r="F6662" s="562"/>
      <c r="G6662" s="562">
        <f t="shared" si="385"/>
        <v>52222602</v>
      </c>
      <c r="H6662" s="362"/>
      <c r="I6662" s="362"/>
      <c r="J6662" s="362"/>
    </row>
    <row r="6663" spans="1:10" x14ac:dyDescent="0.25">
      <c r="A6663" s="362"/>
      <c r="B6663" s="611">
        <v>44533</v>
      </c>
      <c r="C6663" s="362" t="s">
        <v>3435</v>
      </c>
      <c r="D6663" s="562">
        <v>63239256</v>
      </c>
      <c r="E6663" s="562"/>
      <c r="F6663" s="562"/>
      <c r="G6663" s="562">
        <f t="shared" si="385"/>
        <v>63239256</v>
      </c>
      <c r="H6663" s="362"/>
      <c r="I6663" s="362"/>
      <c r="J6663" s="362"/>
    </row>
    <row r="6664" spans="1:10" x14ac:dyDescent="0.25">
      <c r="A6664" s="362"/>
      <c r="B6664" s="611">
        <v>44533</v>
      </c>
      <c r="C6664" s="370" t="s">
        <v>85</v>
      </c>
      <c r="D6664" s="362">
        <v>35146900</v>
      </c>
      <c r="E6664" s="362"/>
      <c r="F6664" s="362"/>
      <c r="G6664" s="562">
        <f t="shared" si="385"/>
        <v>35146900</v>
      </c>
      <c r="H6664" s="362"/>
      <c r="I6664" s="362"/>
      <c r="J6664" s="362"/>
    </row>
    <row r="6665" spans="1:10" x14ac:dyDescent="0.25">
      <c r="A6665" s="532"/>
      <c r="B6665" s="532"/>
      <c r="C6665" s="532"/>
      <c r="D6665" s="632">
        <f>SUM(D6650:D6664)</f>
        <v>1740114954</v>
      </c>
      <c r="E6665" s="632">
        <f t="shared" ref="E6665:G6665" si="386">SUM(E6650:E6664)</f>
        <v>165662875</v>
      </c>
      <c r="F6665" s="632">
        <f t="shared" si="386"/>
        <v>0</v>
      </c>
      <c r="G6665" s="632">
        <f t="shared" si="386"/>
        <v>1905777829</v>
      </c>
      <c r="H6665" s="532"/>
      <c r="I6665" s="532"/>
      <c r="J6665" s="532"/>
    </row>
    <row r="6666" spans="1:10" x14ac:dyDescent="0.25">
      <c r="A6666" s="362"/>
      <c r="B6666" s="611">
        <v>44534</v>
      </c>
      <c r="C6666" s="362" t="s">
        <v>86</v>
      </c>
      <c r="D6666" s="562">
        <v>44507068</v>
      </c>
      <c r="E6666" s="562">
        <v>180018010</v>
      </c>
      <c r="F6666" s="562"/>
      <c r="G6666" s="562">
        <f t="shared" si="385"/>
        <v>224525078</v>
      </c>
      <c r="H6666" s="362"/>
      <c r="I6666" s="362"/>
      <c r="J6666" s="362"/>
    </row>
    <row r="6667" spans="1:10" x14ac:dyDescent="0.25">
      <c r="A6667" s="362"/>
      <c r="B6667" s="611">
        <v>44534</v>
      </c>
      <c r="C6667" s="362" t="s">
        <v>87</v>
      </c>
      <c r="D6667" s="562">
        <v>56399732</v>
      </c>
      <c r="E6667" s="562">
        <v>127342689</v>
      </c>
      <c r="F6667" s="562"/>
      <c r="G6667" s="562">
        <f t="shared" si="385"/>
        <v>183742421</v>
      </c>
      <c r="H6667" s="362"/>
      <c r="I6667" s="362"/>
      <c r="J6667" s="362"/>
    </row>
    <row r="6668" spans="1:10" x14ac:dyDescent="0.25">
      <c r="A6668" s="362"/>
      <c r="B6668" s="611">
        <v>44534</v>
      </c>
      <c r="C6668" s="362" t="s">
        <v>88</v>
      </c>
      <c r="D6668" s="562">
        <v>94008619</v>
      </c>
      <c r="E6668" s="562">
        <v>44053488</v>
      </c>
      <c r="F6668" s="562"/>
      <c r="G6668" s="562">
        <f t="shared" si="385"/>
        <v>138062107</v>
      </c>
      <c r="H6668" s="362"/>
      <c r="I6668" s="362"/>
      <c r="J6668" s="362"/>
    </row>
    <row r="6669" spans="1:10" x14ac:dyDescent="0.25">
      <c r="A6669" s="362"/>
      <c r="B6669" s="611">
        <v>44534</v>
      </c>
      <c r="C6669" s="362" t="s">
        <v>82</v>
      </c>
      <c r="D6669" s="562">
        <v>123565638</v>
      </c>
      <c r="E6669" s="562">
        <v>17871624</v>
      </c>
      <c r="F6669" s="562"/>
      <c r="G6669" s="562">
        <f t="shared" si="385"/>
        <v>141437262</v>
      </c>
      <c r="H6669" s="362"/>
      <c r="I6669" s="362"/>
      <c r="J6669" s="362"/>
    </row>
    <row r="6670" spans="1:10" x14ac:dyDescent="0.25">
      <c r="A6670" s="362"/>
      <c r="B6670" s="611">
        <v>44534</v>
      </c>
      <c r="C6670" s="362" t="s">
        <v>80</v>
      </c>
      <c r="D6670" s="562">
        <v>293441496</v>
      </c>
      <c r="E6670" s="562"/>
      <c r="F6670" s="562"/>
      <c r="G6670" s="562">
        <f t="shared" si="385"/>
        <v>293441496</v>
      </c>
      <c r="H6670" s="362"/>
      <c r="I6670" s="362"/>
      <c r="J6670" s="362"/>
    </row>
    <row r="6671" spans="1:10" x14ac:dyDescent="0.25">
      <c r="A6671" s="362"/>
      <c r="B6671" s="611">
        <v>44534</v>
      </c>
      <c r="C6671" s="362" t="s">
        <v>83</v>
      </c>
      <c r="D6671" s="562">
        <v>111002566</v>
      </c>
      <c r="E6671" s="562">
        <v>85919454</v>
      </c>
      <c r="F6671" s="562"/>
      <c r="G6671" s="562">
        <f t="shared" si="385"/>
        <v>196922020</v>
      </c>
      <c r="H6671" s="362"/>
      <c r="I6671" s="362"/>
      <c r="J6671" s="362"/>
    </row>
    <row r="6672" spans="1:10" x14ac:dyDescent="0.25">
      <c r="A6672" s="362"/>
      <c r="B6672" s="611">
        <v>44534</v>
      </c>
      <c r="C6672" s="362" t="s">
        <v>78</v>
      </c>
      <c r="D6672" s="562">
        <v>189217290</v>
      </c>
      <c r="E6672" s="562">
        <v>11021010</v>
      </c>
      <c r="F6672" s="562"/>
      <c r="G6672" s="562">
        <f t="shared" si="385"/>
        <v>200238300</v>
      </c>
      <c r="H6672" s="362"/>
      <c r="I6672" s="362"/>
      <c r="J6672" s="362"/>
    </row>
    <row r="6673" spans="1:10" x14ac:dyDescent="0.25">
      <c r="A6673" s="362"/>
      <c r="B6673" s="611">
        <v>44534</v>
      </c>
      <c r="C6673" s="362" t="s">
        <v>141</v>
      </c>
      <c r="D6673" s="562">
        <v>52480660</v>
      </c>
      <c r="E6673" s="562">
        <v>695000</v>
      </c>
      <c r="F6673" s="562"/>
      <c r="G6673" s="562">
        <f t="shared" si="385"/>
        <v>53175660</v>
      </c>
      <c r="H6673" s="362"/>
      <c r="I6673" s="362"/>
      <c r="J6673" s="362"/>
    </row>
    <row r="6674" spans="1:10" x14ac:dyDescent="0.25">
      <c r="A6674" s="362"/>
      <c r="B6674" s="611">
        <v>44534</v>
      </c>
      <c r="C6674" s="362" t="s">
        <v>89</v>
      </c>
      <c r="D6674" s="562">
        <v>128036041</v>
      </c>
      <c r="E6674" s="562">
        <v>19367459</v>
      </c>
      <c r="F6674" s="562"/>
      <c r="G6674" s="562">
        <f t="shared" si="385"/>
        <v>147403500</v>
      </c>
      <c r="H6674" s="362"/>
      <c r="I6674" s="362"/>
      <c r="J6674" s="362"/>
    </row>
    <row r="6675" spans="1:10" x14ac:dyDescent="0.25">
      <c r="A6675" s="362"/>
      <c r="B6675" s="611">
        <v>44534</v>
      </c>
      <c r="C6675" s="362" t="s">
        <v>81</v>
      </c>
      <c r="D6675" s="562">
        <v>140931940</v>
      </c>
      <c r="E6675" s="562">
        <v>78279426</v>
      </c>
      <c r="F6675" s="562"/>
      <c r="G6675" s="562">
        <f t="shared" si="385"/>
        <v>219211366</v>
      </c>
      <c r="H6675" s="362"/>
      <c r="I6675" s="362"/>
      <c r="J6675" s="362"/>
    </row>
    <row r="6676" spans="1:10" x14ac:dyDescent="0.25">
      <c r="A6676" s="362"/>
      <c r="B6676" s="611">
        <v>44534</v>
      </c>
      <c r="C6676" s="362" t="s">
        <v>84</v>
      </c>
      <c r="D6676" s="562">
        <v>380221445</v>
      </c>
      <c r="E6676" s="562">
        <v>18544520</v>
      </c>
      <c r="F6676" s="562"/>
      <c r="G6676" s="562">
        <f t="shared" si="385"/>
        <v>398765965</v>
      </c>
      <c r="H6676" s="362"/>
      <c r="I6676" s="362"/>
      <c r="J6676" s="362"/>
    </row>
    <row r="6677" spans="1:10" x14ac:dyDescent="0.25">
      <c r="A6677" s="362"/>
      <c r="B6677" s="611">
        <v>44534</v>
      </c>
      <c r="C6677" s="362" t="s">
        <v>4751</v>
      </c>
      <c r="D6677" s="562">
        <v>231825596</v>
      </c>
      <c r="E6677" s="562">
        <v>13993304</v>
      </c>
      <c r="F6677" s="562"/>
      <c r="G6677" s="562">
        <f t="shared" si="385"/>
        <v>245818900</v>
      </c>
      <c r="H6677" s="362"/>
      <c r="I6677" s="362"/>
      <c r="J6677" s="362"/>
    </row>
    <row r="6678" spans="1:10" x14ac:dyDescent="0.25">
      <c r="A6678" s="362"/>
      <c r="B6678" s="611">
        <v>44534</v>
      </c>
      <c r="C6678" s="362" t="s">
        <v>166</v>
      </c>
      <c r="D6678" s="562"/>
      <c r="E6678" s="562"/>
      <c r="F6678" s="562"/>
      <c r="G6678" s="562">
        <f t="shared" si="385"/>
        <v>0</v>
      </c>
      <c r="H6678" s="362"/>
      <c r="I6678" s="362"/>
      <c r="J6678" s="362"/>
    </row>
    <row r="6679" spans="1:10" x14ac:dyDescent="0.25">
      <c r="A6679" s="362"/>
      <c r="B6679" s="611">
        <v>44534</v>
      </c>
      <c r="C6679" s="362" t="s">
        <v>3435</v>
      </c>
      <c r="D6679" s="562"/>
      <c r="E6679" s="562"/>
      <c r="F6679" s="562"/>
      <c r="G6679" s="562">
        <f t="shared" si="385"/>
        <v>0</v>
      </c>
      <c r="H6679" s="362"/>
      <c r="I6679" s="362"/>
      <c r="J6679" s="362"/>
    </row>
    <row r="6680" spans="1:10" x14ac:dyDescent="0.25">
      <c r="A6680" s="362"/>
      <c r="B6680" s="611">
        <v>44534</v>
      </c>
      <c r="C6680" s="370" t="s">
        <v>85</v>
      </c>
      <c r="D6680" s="562">
        <v>24284400</v>
      </c>
      <c r="E6680" s="562"/>
      <c r="F6680" s="562"/>
      <c r="G6680" s="562">
        <f t="shared" si="385"/>
        <v>24284400</v>
      </c>
      <c r="H6680" s="362"/>
      <c r="I6680" s="362"/>
      <c r="J6680" s="362"/>
    </row>
    <row r="6681" spans="1:10" x14ac:dyDescent="0.25">
      <c r="A6681" s="532"/>
      <c r="B6681" s="532"/>
      <c r="C6681" s="532"/>
      <c r="D6681" s="564">
        <f>SUM(D6666:D6680)</f>
        <v>1869922491</v>
      </c>
      <c r="E6681" s="564">
        <f t="shared" ref="E6681:G6681" si="387">SUM(E6666:E6680)</f>
        <v>597105984</v>
      </c>
      <c r="F6681" s="564">
        <f t="shared" si="387"/>
        <v>0</v>
      </c>
      <c r="G6681" s="564">
        <f t="shared" si="387"/>
        <v>2467028475</v>
      </c>
      <c r="H6681" s="532"/>
      <c r="I6681" s="532"/>
      <c r="J6681" s="532"/>
    </row>
    <row r="6682" spans="1:10" x14ac:dyDescent="0.25">
      <c r="A6682" s="362"/>
      <c r="B6682" s="611">
        <v>44536</v>
      </c>
      <c r="C6682" s="362" t="s">
        <v>86</v>
      </c>
      <c r="D6682" s="562">
        <v>77736959</v>
      </c>
      <c r="E6682" s="562">
        <v>22281918</v>
      </c>
      <c r="F6682" s="562"/>
      <c r="G6682" s="562">
        <f t="shared" si="385"/>
        <v>100018877</v>
      </c>
      <c r="H6682" s="362"/>
      <c r="I6682" s="362"/>
      <c r="J6682" s="362"/>
    </row>
    <row r="6683" spans="1:10" x14ac:dyDescent="0.25">
      <c r="A6683" s="362"/>
      <c r="B6683" s="611">
        <v>44536</v>
      </c>
      <c r="C6683" s="362" t="s">
        <v>87</v>
      </c>
      <c r="D6683" s="562">
        <v>112467362</v>
      </c>
      <c r="E6683" s="562">
        <v>18227209</v>
      </c>
      <c r="F6683" s="562"/>
      <c r="G6683" s="562">
        <f t="shared" si="385"/>
        <v>130694571</v>
      </c>
      <c r="H6683" s="362"/>
      <c r="I6683" s="362"/>
      <c r="J6683" s="362"/>
    </row>
    <row r="6684" spans="1:10" x14ac:dyDescent="0.25">
      <c r="A6684" s="362"/>
      <c r="B6684" s="611">
        <v>44536</v>
      </c>
      <c r="C6684" s="362" t="s">
        <v>88</v>
      </c>
      <c r="D6684" s="562">
        <v>125427301</v>
      </c>
      <c r="E6684" s="562">
        <v>27900688</v>
      </c>
      <c r="F6684" s="562"/>
      <c r="G6684" s="562">
        <f t="shared" si="385"/>
        <v>153327989</v>
      </c>
      <c r="H6684" s="362"/>
      <c r="I6684" s="362"/>
      <c r="J6684" s="362"/>
    </row>
    <row r="6685" spans="1:10" x14ac:dyDescent="0.25">
      <c r="A6685" s="362"/>
      <c r="B6685" s="611">
        <v>44536</v>
      </c>
      <c r="C6685" s="362" t="s">
        <v>82</v>
      </c>
      <c r="D6685" s="562">
        <v>68278183</v>
      </c>
      <c r="E6685" s="562">
        <v>2577475</v>
      </c>
      <c r="F6685" s="562"/>
      <c r="G6685" s="562">
        <f t="shared" si="385"/>
        <v>70855658</v>
      </c>
      <c r="H6685" s="362"/>
      <c r="I6685" s="362"/>
      <c r="J6685" s="362"/>
    </row>
    <row r="6686" spans="1:10" x14ac:dyDescent="0.25">
      <c r="A6686" s="362"/>
      <c r="B6686" s="611">
        <v>44536</v>
      </c>
      <c r="C6686" s="362" t="s">
        <v>80</v>
      </c>
      <c r="D6686" s="562">
        <v>229694400</v>
      </c>
      <c r="E6686" s="562"/>
      <c r="F6686" s="562"/>
      <c r="G6686" s="562">
        <f t="shared" si="385"/>
        <v>229694400</v>
      </c>
      <c r="H6686" s="362"/>
      <c r="I6686" s="362"/>
      <c r="J6686" s="362"/>
    </row>
    <row r="6687" spans="1:10" x14ac:dyDescent="0.25">
      <c r="A6687" s="362"/>
      <c r="B6687" s="611">
        <v>44536</v>
      </c>
      <c r="C6687" s="362" t="s">
        <v>83</v>
      </c>
      <c r="D6687" s="562">
        <v>161151933</v>
      </c>
      <c r="E6687" s="562">
        <v>30038898</v>
      </c>
      <c r="F6687" s="562"/>
      <c r="G6687" s="562">
        <f t="shared" si="385"/>
        <v>191190831</v>
      </c>
      <c r="H6687" s="362"/>
      <c r="I6687" s="362"/>
      <c r="J6687" s="362"/>
    </row>
    <row r="6688" spans="1:10" x14ac:dyDescent="0.25">
      <c r="A6688" s="362"/>
      <c r="B6688" s="611">
        <v>44536</v>
      </c>
      <c r="C6688" s="362" t="s">
        <v>78</v>
      </c>
      <c r="D6688" s="562">
        <v>138808158</v>
      </c>
      <c r="E6688" s="562">
        <v>8933042</v>
      </c>
      <c r="F6688" s="562"/>
      <c r="G6688" s="562">
        <f t="shared" si="385"/>
        <v>147741200</v>
      </c>
      <c r="H6688" s="362"/>
      <c r="I6688" s="362"/>
      <c r="J6688" s="362"/>
    </row>
    <row r="6689" spans="1:10" x14ac:dyDescent="0.25">
      <c r="A6689" s="362"/>
      <c r="B6689" s="611">
        <v>44536</v>
      </c>
      <c r="C6689" s="362" t="s">
        <v>141</v>
      </c>
      <c r="D6689" s="562">
        <v>121866341</v>
      </c>
      <c r="E6689" s="562">
        <v>784660</v>
      </c>
      <c r="F6689" s="562"/>
      <c r="G6689" s="562">
        <f t="shared" si="385"/>
        <v>122651001</v>
      </c>
      <c r="H6689" s="362"/>
      <c r="I6689" s="362"/>
      <c r="J6689" s="362"/>
    </row>
    <row r="6690" spans="1:10" x14ac:dyDescent="0.25">
      <c r="A6690" s="362"/>
      <c r="B6690" s="611">
        <v>44536</v>
      </c>
      <c r="C6690" s="362" t="s">
        <v>89</v>
      </c>
      <c r="D6690" s="562">
        <v>149094353</v>
      </c>
      <c r="E6690" s="562">
        <v>25997747</v>
      </c>
      <c r="F6690" s="562"/>
      <c r="G6690" s="562">
        <f t="shared" si="385"/>
        <v>175092100</v>
      </c>
      <c r="H6690" s="362"/>
      <c r="I6690" s="362"/>
      <c r="J6690" s="362"/>
    </row>
    <row r="6691" spans="1:10" x14ac:dyDescent="0.25">
      <c r="A6691" s="362"/>
      <c r="B6691" s="611">
        <v>44536</v>
      </c>
      <c r="C6691" s="362" t="s">
        <v>81</v>
      </c>
      <c r="D6691" s="562">
        <v>125669533</v>
      </c>
      <c r="E6691" s="562">
        <v>14173896</v>
      </c>
      <c r="F6691" s="562"/>
      <c r="G6691" s="562">
        <f t="shared" si="385"/>
        <v>139843429</v>
      </c>
      <c r="H6691" s="362"/>
      <c r="I6691" s="362"/>
      <c r="J6691" s="362"/>
    </row>
    <row r="6692" spans="1:10" x14ac:dyDescent="0.25">
      <c r="A6692" s="362"/>
      <c r="B6692" s="611">
        <v>44536</v>
      </c>
      <c r="C6692" s="362" t="s">
        <v>84</v>
      </c>
      <c r="D6692" s="562">
        <v>272261921</v>
      </c>
      <c r="E6692" s="562">
        <v>11939875</v>
      </c>
      <c r="F6692" s="562"/>
      <c r="G6692" s="562">
        <f t="shared" si="385"/>
        <v>284201796</v>
      </c>
      <c r="H6692" s="362"/>
      <c r="I6692" s="362"/>
      <c r="J6692" s="362"/>
    </row>
    <row r="6693" spans="1:10" x14ac:dyDescent="0.25">
      <c r="A6693" s="362"/>
      <c r="B6693" s="611">
        <v>44536</v>
      </c>
      <c r="C6693" s="362" t="s">
        <v>4751</v>
      </c>
      <c r="D6693" s="562">
        <v>199590825</v>
      </c>
      <c r="E6693" s="562">
        <v>18512475</v>
      </c>
      <c r="F6693" s="562"/>
      <c r="G6693" s="562">
        <f t="shared" si="385"/>
        <v>218103300</v>
      </c>
      <c r="H6693" s="362"/>
      <c r="I6693" s="362"/>
      <c r="J6693" s="362"/>
    </row>
    <row r="6694" spans="1:10" x14ac:dyDescent="0.25">
      <c r="A6694" s="362"/>
      <c r="B6694" s="611">
        <v>44536</v>
      </c>
      <c r="C6694" s="362" t="s">
        <v>166</v>
      </c>
      <c r="D6694" s="562">
        <v>82264296</v>
      </c>
      <c r="E6694" s="562"/>
      <c r="F6694" s="562"/>
      <c r="G6694" s="562">
        <f t="shared" si="385"/>
        <v>82264296</v>
      </c>
      <c r="H6694" s="362"/>
      <c r="I6694" s="362"/>
      <c r="J6694" s="362"/>
    </row>
    <row r="6695" spans="1:10" x14ac:dyDescent="0.25">
      <c r="A6695" s="362"/>
      <c r="B6695" s="611">
        <v>44536</v>
      </c>
      <c r="C6695" s="362" t="s">
        <v>3435</v>
      </c>
      <c r="D6695" s="562">
        <v>28006394</v>
      </c>
      <c r="E6695" s="562"/>
      <c r="F6695" s="562"/>
      <c r="G6695" s="562">
        <f t="shared" si="385"/>
        <v>28006394</v>
      </c>
      <c r="H6695" s="362"/>
      <c r="I6695" s="362"/>
      <c r="J6695" s="362"/>
    </row>
    <row r="6696" spans="1:10" x14ac:dyDescent="0.25">
      <c r="A6696" s="362"/>
      <c r="B6696" s="611">
        <v>44536</v>
      </c>
      <c r="C6696" s="370" t="s">
        <v>85</v>
      </c>
      <c r="D6696" s="562">
        <v>55517900</v>
      </c>
      <c r="E6696" s="562"/>
      <c r="F6696" s="562"/>
      <c r="G6696" s="562">
        <f t="shared" si="385"/>
        <v>55517900</v>
      </c>
      <c r="H6696" s="362"/>
      <c r="I6696" s="362"/>
      <c r="J6696" s="362"/>
    </row>
    <row r="6697" spans="1:10" x14ac:dyDescent="0.25">
      <c r="A6697" s="532"/>
      <c r="B6697" s="532"/>
      <c r="C6697" s="532"/>
      <c r="D6697" s="564">
        <f>SUM(D6682:D6696)</f>
        <v>1947835859</v>
      </c>
      <c r="E6697" s="564">
        <f t="shared" ref="E6697:G6697" si="388">SUM(E6682:E6696)</f>
        <v>181367883</v>
      </c>
      <c r="F6697" s="564">
        <f t="shared" si="388"/>
        <v>0</v>
      </c>
      <c r="G6697" s="564">
        <f t="shared" si="388"/>
        <v>2129203742</v>
      </c>
      <c r="H6697" s="532"/>
      <c r="I6697" s="532"/>
      <c r="J6697" s="532"/>
    </row>
    <row r="6698" spans="1:10" x14ac:dyDescent="0.25">
      <c r="A6698" s="362"/>
      <c r="B6698" s="611">
        <v>44537</v>
      </c>
      <c r="C6698" s="362" t="s">
        <v>86</v>
      </c>
      <c r="D6698" s="562">
        <v>54910704</v>
      </c>
      <c r="E6698" s="562">
        <v>44143275</v>
      </c>
      <c r="F6698" s="562"/>
      <c r="G6698" s="562">
        <f t="shared" si="385"/>
        <v>99053979</v>
      </c>
      <c r="H6698" s="362"/>
      <c r="I6698" s="362"/>
      <c r="J6698" s="362"/>
    </row>
    <row r="6699" spans="1:10" x14ac:dyDescent="0.25">
      <c r="A6699" s="362"/>
      <c r="B6699" s="611">
        <v>44537</v>
      </c>
      <c r="C6699" s="362" t="s">
        <v>87</v>
      </c>
      <c r="D6699" s="562">
        <v>103334247</v>
      </c>
      <c r="E6699" s="562">
        <v>49542704</v>
      </c>
      <c r="F6699" s="562"/>
      <c r="G6699" s="562">
        <f t="shared" si="385"/>
        <v>152876951</v>
      </c>
      <c r="H6699" s="362"/>
      <c r="I6699" s="362"/>
      <c r="J6699" s="362"/>
    </row>
    <row r="6700" spans="1:10" x14ac:dyDescent="0.25">
      <c r="A6700" s="362"/>
      <c r="B6700" s="611">
        <v>44537</v>
      </c>
      <c r="C6700" s="362" t="s">
        <v>88</v>
      </c>
      <c r="D6700" s="562">
        <v>158143395</v>
      </c>
      <c r="E6700" s="562">
        <v>112279904</v>
      </c>
      <c r="F6700" s="562"/>
      <c r="G6700" s="562">
        <f t="shared" si="385"/>
        <v>270423299</v>
      </c>
      <c r="H6700" s="362"/>
      <c r="I6700" s="362"/>
      <c r="J6700" s="362"/>
    </row>
    <row r="6701" spans="1:10" x14ac:dyDescent="0.25">
      <c r="A6701" s="362"/>
      <c r="B6701" s="611">
        <v>44537</v>
      </c>
      <c r="C6701" s="362" t="s">
        <v>82</v>
      </c>
      <c r="D6701" s="562">
        <v>93928569</v>
      </c>
      <c r="E6701" s="562">
        <v>1882815</v>
      </c>
      <c r="F6701" s="562"/>
      <c r="G6701" s="562">
        <f t="shared" si="385"/>
        <v>95811384</v>
      </c>
      <c r="H6701" s="362"/>
      <c r="I6701" s="362"/>
      <c r="J6701" s="362"/>
    </row>
    <row r="6702" spans="1:10" x14ac:dyDescent="0.25">
      <c r="A6702" s="362"/>
      <c r="B6702" s="611">
        <v>44537</v>
      </c>
      <c r="C6702" s="362" t="s">
        <v>80</v>
      </c>
      <c r="D6702" s="562"/>
      <c r="E6702" s="562"/>
      <c r="F6702" s="562"/>
      <c r="G6702" s="562">
        <f t="shared" si="385"/>
        <v>0</v>
      </c>
      <c r="H6702" s="362"/>
      <c r="I6702" s="362"/>
      <c r="J6702" s="362"/>
    </row>
    <row r="6703" spans="1:10" x14ac:dyDescent="0.25">
      <c r="A6703" s="362"/>
      <c r="B6703" s="611">
        <v>44537</v>
      </c>
      <c r="C6703" s="362" t="s">
        <v>83</v>
      </c>
      <c r="D6703" s="562">
        <v>213730695</v>
      </c>
      <c r="E6703" s="562">
        <v>27116732</v>
      </c>
      <c r="F6703" s="562"/>
      <c r="G6703" s="562">
        <f t="shared" si="385"/>
        <v>240847427</v>
      </c>
      <c r="H6703" s="362"/>
      <c r="I6703" s="362"/>
      <c r="J6703" s="362"/>
    </row>
    <row r="6704" spans="1:10" x14ac:dyDescent="0.25">
      <c r="A6704" s="362"/>
      <c r="B6704" s="611">
        <v>44537</v>
      </c>
      <c r="C6704" s="362" t="s">
        <v>78</v>
      </c>
      <c r="D6704" s="562">
        <v>129482093</v>
      </c>
      <c r="E6704" s="562">
        <v>3170307</v>
      </c>
      <c r="F6704" s="562"/>
      <c r="G6704" s="562">
        <f t="shared" si="385"/>
        <v>132652400</v>
      </c>
      <c r="H6704" s="362"/>
      <c r="I6704" s="362"/>
      <c r="J6704" s="362"/>
    </row>
    <row r="6705" spans="1:10" x14ac:dyDescent="0.25">
      <c r="A6705" s="362"/>
      <c r="B6705" s="611">
        <v>44537</v>
      </c>
      <c r="C6705" s="362" t="s">
        <v>141</v>
      </c>
      <c r="D6705" s="562">
        <v>65902566</v>
      </c>
      <c r="E6705" s="562">
        <v>719700</v>
      </c>
      <c r="F6705" s="562"/>
      <c r="G6705" s="562">
        <f t="shared" si="385"/>
        <v>66622266</v>
      </c>
      <c r="H6705" s="362"/>
      <c r="I6705" s="362"/>
      <c r="J6705" s="362"/>
    </row>
    <row r="6706" spans="1:10" x14ac:dyDescent="0.25">
      <c r="A6706" s="362"/>
      <c r="B6706" s="611">
        <v>44537</v>
      </c>
      <c r="C6706" s="362" t="s">
        <v>89</v>
      </c>
      <c r="D6706" s="562">
        <v>104074883</v>
      </c>
      <c r="E6706" s="562">
        <v>18066817</v>
      </c>
      <c r="F6706" s="562"/>
      <c r="G6706" s="562">
        <f t="shared" si="385"/>
        <v>122141700</v>
      </c>
      <c r="H6706" s="362"/>
      <c r="I6706" s="362"/>
      <c r="J6706" s="362"/>
    </row>
    <row r="6707" spans="1:10" x14ac:dyDescent="0.25">
      <c r="A6707" s="362"/>
      <c r="B6707" s="611">
        <v>44537</v>
      </c>
      <c r="C6707" s="362" t="s">
        <v>81</v>
      </c>
      <c r="D6707" s="562">
        <v>83684826</v>
      </c>
      <c r="E6707" s="562">
        <v>63743401</v>
      </c>
      <c r="F6707" s="562"/>
      <c r="G6707" s="562">
        <f t="shared" si="385"/>
        <v>147428227</v>
      </c>
      <c r="H6707" s="362"/>
      <c r="I6707" s="362"/>
      <c r="J6707" s="362"/>
    </row>
    <row r="6708" spans="1:10" x14ac:dyDescent="0.25">
      <c r="A6708" s="362"/>
      <c r="B6708" s="611">
        <v>44537</v>
      </c>
      <c r="C6708" s="362" t="s">
        <v>84</v>
      </c>
      <c r="D6708" s="562">
        <v>210910746</v>
      </c>
      <c r="E6708" s="562">
        <v>71488225</v>
      </c>
      <c r="F6708" s="562"/>
      <c r="G6708" s="562">
        <f t="shared" si="385"/>
        <v>282398971</v>
      </c>
      <c r="H6708" s="362"/>
      <c r="I6708" s="362"/>
      <c r="J6708" s="362"/>
    </row>
    <row r="6709" spans="1:10" x14ac:dyDescent="0.25">
      <c r="A6709" s="362"/>
      <c r="B6709" s="611">
        <v>44537</v>
      </c>
      <c r="C6709" s="362" t="s">
        <v>4751</v>
      </c>
      <c r="D6709" s="562">
        <v>232687130</v>
      </c>
      <c r="E6709" s="562">
        <v>48930770</v>
      </c>
      <c r="F6709" s="562"/>
      <c r="G6709" s="562">
        <f t="shared" si="385"/>
        <v>281617900</v>
      </c>
      <c r="H6709" s="362"/>
      <c r="I6709" s="362"/>
      <c r="J6709" s="362"/>
    </row>
    <row r="6710" spans="1:10" x14ac:dyDescent="0.25">
      <c r="A6710" s="362"/>
      <c r="B6710" s="611">
        <v>44537</v>
      </c>
      <c r="C6710" s="362" t="s">
        <v>166</v>
      </c>
      <c r="D6710" s="562">
        <v>58540454</v>
      </c>
      <c r="E6710" s="562"/>
      <c r="F6710" s="562"/>
      <c r="G6710" s="562">
        <f t="shared" si="385"/>
        <v>58540454</v>
      </c>
      <c r="H6710" s="362"/>
      <c r="I6710" s="362"/>
      <c r="J6710" s="362"/>
    </row>
    <row r="6711" spans="1:10" x14ac:dyDescent="0.25">
      <c r="A6711" s="362"/>
      <c r="B6711" s="611">
        <v>44537</v>
      </c>
      <c r="C6711" s="362" t="s">
        <v>3435</v>
      </c>
      <c r="D6711" s="562">
        <v>63302266</v>
      </c>
      <c r="E6711" s="562"/>
      <c r="F6711" s="562"/>
      <c r="G6711" s="562">
        <f t="shared" si="385"/>
        <v>63302266</v>
      </c>
      <c r="H6711" s="362"/>
      <c r="I6711" s="362"/>
      <c r="J6711" s="362"/>
    </row>
    <row r="6712" spans="1:10" x14ac:dyDescent="0.25">
      <c r="A6712" s="362"/>
      <c r="B6712" s="611">
        <v>44537</v>
      </c>
      <c r="C6712" s="370" t="s">
        <v>85</v>
      </c>
      <c r="D6712" s="562">
        <v>29740700</v>
      </c>
      <c r="E6712" s="562"/>
      <c r="F6712" s="562"/>
      <c r="G6712" s="562">
        <f t="shared" si="385"/>
        <v>29740700</v>
      </c>
      <c r="H6712" s="362"/>
      <c r="I6712" s="362"/>
      <c r="J6712" s="362"/>
    </row>
    <row r="6713" spans="1:10" x14ac:dyDescent="0.25">
      <c r="A6713" s="532"/>
      <c r="B6713" s="532"/>
      <c r="C6713" s="532"/>
      <c r="D6713" s="564">
        <f>SUM(D6698:D6712)</f>
        <v>1602373274</v>
      </c>
      <c r="E6713" s="564">
        <f t="shared" ref="E6713:G6713" si="389">SUM(E6698:E6712)</f>
        <v>441084650</v>
      </c>
      <c r="F6713" s="564">
        <f t="shared" si="389"/>
        <v>0</v>
      </c>
      <c r="G6713" s="564">
        <f t="shared" si="389"/>
        <v>2043457924</v>
      </c>
      <c r="H6713" s="532"/>
      <c r="I6713" s="532"/>
      <c r="J6713" s="532"/>
    </row>
    <row r="6714" spans="1:10" x14ac:dyDescent="0.25">
      <c r="A6714" s="362"/>
      <c r="B6714" s="611">
        <v>44538</v>
      </c>
      <c r="C6714" s="362" t="s">
        <v>86</v>
      </c>
      <c r="D6714" s="562">
        <v>66944059</v>
      </c>
      <c r="E6714" s="562">
        <v>17265384</v>
      </c>
      <c r="F6714" s="562"/>
      <c r="G6714" s="562">
        <f t="shared" si="385"/>
        <v>84209443</v>
      </c>
      <c r="H6714" s="362"/>
      <c r="I6714" s="362"/>
      <c r="J6714" s="362"/>
    </row>
    <row r="6715" spans="1:10" x14ac:dyDescent="0.25">
      <c r="A6715" s="362"/>
      <c r="B6715" s="611">
        <v>44538</v>
      </c>
      <c r="C6715" s="362" t="s">
        <v>87</v>
      </c>
      <c r="D6715" s="562">
        <v>96433718</v>
      </c>
      <c r="E6715" s="562">
        <v>16149888</v>
      </c>
      <c r="F6715" s="562"/>
      <c r="G6715" s="562">
        <f t="shared" si="385"/>
        <v>112583606</v>
      </c>
      <c r="H6715" s="362"/>
      <c r="I6715" s="362"/>
      <c r="J6715" s="362"/>
    </row>
    <row r="6716" spans="1:10" x14ac:dyDescent="0.25">
      <c r="A6716" s="362"/>
      <c r="B6716" s="611">
        <v>44538</v>
      </c>
      <c r="C6716" s="362" t="s">
        <v>88</v>
      </c>
      <c r="D6716" s="562">
        <v>179847893</v>
      </c>
      <c r="E6716" s="562">
        <v>13528818</v>
      </c>
      <c r="F6716" s="562"/>
      <c r="G6716" s="562">
        <f t="shared" ref="G6716:G6743" si="390">D6716+E6716-F6716</f>
        <v>193376711</v>
      </c>
      <c r="H6716" s="362"/>
      <c r="I6716" s="362"/>
      <c r="J6716" s="362"/>
    </row>
    <row r="6717" spans="1:10" x14ac:dyDescent="0.25">
      <c r="A6717" s="362"/>
      <c r="B6717" s="611">
        <v>44538</v>
      </c>
      <c r="C6717" s="362" t="s">
        <v>82</v>
      </c>
      <c r="D6717" s="562">
        <v>113370495</v>
      </c>
      <c r="E6717" s="562">
        <v>631280</v>
      </c>
      <c r="F6717" s="562"/>
      <c r="G6717" s="562">
        <f t="shared" si="390"/>
        <v>114001775</v>
      </c>
      <c r="H6717" s="362"/>
      <c r="I6717" s="362"/>
      <c r="J6717" s="362"/>
    </row>
    <row r="6718" spans="1:10" x14ac:dyDescent="0.25">
      <c r="A6718" s="362"/>
      <c r="B6718" s="611">
        <v>44538</v>
      </c>
      <c r="C6718" s="362" t="s">
        <v>80</v>
      </c>
      <c r="D6718" s="562">
        <v>355443571</v>
      </c>
      <c r="E6718" s="562">
        <v>91972591</v>
      </c>
      <c r="F6718" s="562"/>
      <c r="G6718" s="562">
        <f t="shared" si="390"/>
        <v>447416162</v>
      </c>
      <c r="H6718" s="362"/>
      <c r="I6718" s="362"/>
      <c r="J6718" s="362"/>
    </row>
    <row r="6719" spans="1:10" x14ac:dyDescent="0.25">
      <c r="A6719" s="362"/>
      <c r="B6719" s="611">
        <v>44538</v>
      </c>
      <c r="C6719" s="362" t="s">
        <v>83</v>
      </c>
      <c r="D6719" s="562">
        <v>126562928</v>
      </c>
      <c r="E6719" s="562">
        <v>82030921</v>
      </c>
      <c r="F6719" s="562"/>
      <c r="G6719" s="562">
        <f t="shared" si="390"/>
        <v>208593849</v>
      </c>
      <c r="H6719" s="362"/>
      <c r="I6719" s="362"/>
      <c r="J6719" s="362"/>
    </row>
    <row r="6720" spans="1:10" x14ac:dyDescent="0.25">
      <c r="A6720" s="362"/>
      <c r="B6720" s="611">
        <v>44538</v>
      </c>
      <c r="C6720" s="362" t="s">
        <v>78</v>
      </c>
      <c r="D6720" s="562">
        <v>173508238</v>
      </c>
      <c r="E6720" s="562">
        <v>11931362</v>
      </c>
      <c r="F6720" s="562"/>
      <c r="G6720" s="562">
        <f t="shared" si="390"/>
        <v>185439600</v>
      </c>
      <c r="H6720" s="362"/>
      <c r="I6720" s="362"/>
      <c r="J6720" s="362"/>
    </row>
    <row r="6721" spans="1:10" x14ac:dyDescent="0.25">
      <c r="A6721" s="362"/>
      <c r="B6721" s="611">
        <v>44538</v>
      </c>
      <c r="C6721" s="362" t="s">
        <v>141</v>
      </c>
      <c r="D6721" s="562">
        <v>142495428</v>
      </c>
      <c r="E6721" s="562">
        <v>943800</v>
      </c>
      <c r="F6721" s="562"/>
      <c r="G6721" s="562">
        <f t="shared" si="390"/>
        <v>143439228</v>
      </c>
      <c r="H6721" s="362"/>
      <c r="I6721" s="362"/>
      <c r="J6721" s="362"/>
    </row>
    <row r="6722" spans="1:10" x14ac:dyDescent="0.25">
      <c r="A6722" s="362"/>
      <c r="B6722" s="611">
        <v>44538</v>
      </c>
      <c r="C6722" s="362" t="s">
        <v>89</v>
      </c>
      <c r="D6722" s="562">
        <v>143205123</v>
      </c>
      <c r="E6722" s="562">
        <v>44428277</v>
      </c>
      <c r="F6722" s="562"/>
      <c r="G6722" s="562">
        <f t="shared" si="390"/>
        <v>187633400</v>
      </c>
      <c r="H6722" s="362"/>
      <c r="I6722" s="362"/>
      <c r="J6722" s="362"/>
    </row>
    <row r="6723" spans="1:10" x14ac:dyDescent="0.25">
      <c r="A6723" s="362"/>
      <c r="B6723" s="611">
        <v>44538</v>
      </c>
      <c r="C6723" s="362" t="s">
        <v>81</v>
      </c>
      <c r="D6723" s="562">
        <v>107479107</v>
      </c>
      <c r="E6723" s="562">
        <v>10766449</v>
      </c>
      <c r="F6723" s="562"/>
      <c r="G6723" s="562">
        <f t="shared" si="390"/>
        <v>118245556</v>
      </c>
      <c r="H6723" s="362"/>
      <c r="I6723" s="362"/>
      <c r="J6723" s="362"/>
    </row>
    <row r="6724" spans="1:10" x14ac:dyDescent="0.25">
      <c r="A6724" s="362"/>
      <c r="B6724" s="611">
        <v>44538</v>
      </c>
      <c r="C6724" s="362" t="s">
        <v>84</v>
      </c>
      <c r="D6724" s="562">
        <v>277281896</v>
      </c>
      <c r="E6724" s="562">
        <v>13303601</v>
      </c>
      <c r="F6724" s="562"/>
      <c r="G6724" s="562">
        <f t="shared" si="390"/>
        <v>290585497</v>
      </c>
      <c r="H6724" s="362"/>
      <c r="I6724" s="362"/>
      <c r="J6724" s="362"/>
    </row>
    <row r="6725" spans="1:10" x14ac:dyDescent="0.25">
      <c r="A6725" s="362"/>
      <c r="B6725" s="611">
        <v>44538</v>
      </c>
      <c r="C6725" s="362" t="s">
        <v>4751</v>
      </c>
      <c r="D6725" s="562">
        <v>263219013</v>
      </c>
      <c r="E6725" s="562">
        <v>19746487</v>
      </c>
      <c r="F6725" s="562"/>
      <c r="G6725" s="562">
        <f t="shared" si="390"/>
        <v>282965500</v>
      </c>
      <c r="H6725" s="362"/>
      <c r="I6725" s="362"/>
      <c r="J6725" s="362"/>
    </row>
    <row r="6726" spans="1:10" x14ac:dyDescent="0.25">
      <c r="A6726" s="362"/>
      <c r="B6726" s="611">
        <v>44538</v>
      </c>
      <c r="C6726" s="362" t="s">
        <v>166</v>
      </c>
      <c r="D6726" s="562">
        <v>52403389</v>
      </c>
      <c r="E6726" s="562"/>
      <c r="F6726" s="562"/>
      <c r="G6726" s="562">
        <f t="shared" si="390"/>
        <v>52403389</v>
      </c>
      <c r="H6726" s="362"/>
      <c r="I6726" s="362"/>
      <c r="J6726" s="362"/>
    </row>
    <row r="6727" spans="1:10" x14ac:dyDescent="0.25">
      <c r="A6727" s="362"/>
      <c r="B6727" s="611">
        <v>44538</v>
      </c>
      <c r="C6727" s="362" t="s">
        <v>3435</v>
      </c>
      <c r="D6727" s="562">
        <v>53718392</v>
      </c>
      <c r="E6727" s="562"/>
      <c r="F6727" s="562"/>
      <c r="G6727" s="562">
        <f t="shared" si="390"/>
        <v>53718392</v>
      </c>
      <c r="H6727" s="362"/>
      <c r="I6727" s="362"/>
      <c r="J6727" s="362"/>
    </row>
    <row r="6728" spans="1:10" x14ac:dyDescent="0.25">
      <c r="A6728" s="362"/>
      <c r="B6728" s="611">
        <v>44538</v>
      </c>
      <c r="C6728" s="370" t="s">
        <v>85</v>
      </c>
      <c r="D6728" s="562">
        <v>52722800</v>
      </c>
      <c r="E6728" s="562"/>
      <c r="F6728" s="562"/>
      <c r="G6728" s="562">
        <f t="shared" si="390"/>
        <v>52722800</v>
      </c>
      <c r="H6728" s="362"/>
      <c r="I6728" s="362"/>
      <c r="J6728" s="362"/>
    </row>
    <row r="6729" spans="1:10" x14ac:dyDescent="0.25">
      <c r="A6729" s="532"/>
      <c r="B6729" s="532"/>
      <c r="C6729" s="532"/>
      <c r="D6729" s="564">
        <f>SUM(D6714:D6728)</f>
        <v>2204636050</v>
      </c>
      <c r="E6729" s="564">
        <f t="shared" ref="E6729:G6729" si="391">SUM(E6714:E6728)</f>
        <v>322698858</v>
      </c>
      <c r="F6729" s="564">
        <f t="shared" si="391"/>
        <v>0</v>
      </c>
      <c r="G6729" s="564">
        <f t="shared" si="391"/>
        <v>2527334908</v>
      </c>
      <c r="H6729" s="532"/>
      <c r="I6729" s="532"/>
      <c r="J6729" s="532"/>
    </row>
    <row r="6730" spans="1:10" x14ac:dyDescent="0.25">
      <c r="A6730" s="362"/>
      <c r="B6730" s="611">
        <v>44539</v>
      </c>
      <c r="C6730" s="362" t="s">
        <v>86</v>
      </c>
      <c r="D6730" s="562">
        <v>88782755</v>
      </c>
      <c r="E6730" s="562">
        <v>18376630</v>
      </c>
      <c r="F6730" s="562"/>
      <c r="G6730" s="562">
        <f t="shared" si="390"/>
        <v>107159385</v>
      </c>
      <c r="H6730" s="362"/>
      <c r="I6730" s="362"/>
      <c r="J6730" s="362"/>
    </row>
    <row r="6731" spans="1:10" x14ac:dyDescent="0.25">
      <c r="A6731" s="362"/>
      <c r="B6731" s="611">
        <v>44539</v>
      </c>
      <c r="C6731" s="362" t="s">
        <v>87</v>
      </c>
      <c r="D6731" s="562">
        <v>76167923</v>
      </c>
      <c r="E6731" s="562">
        <v>91689058</v>
      </c>
      <c r="F6731" s="562"/>
      <c r="G6731" s="562">
        <f t="shared" si="390"/>
        <v>167856981</v>
      </c>
      <c r="H6731" s="362"/>
      <c r="I6731" s="362"/>
      <c r="J6731" s="362"/>
    </row>
    <row r="6732" spans="1:10" x14ac:dyDescent="0.25">
      <c r="A6732" s="362"/>
      <c r="B6732" s="611">
        <v>44539</v>
      </c>
      <c r="C6732" s="362" t="s">
        <v>88</v>
      </c>
      <c r="D6732" s="562">
        <v>205199451</v>
      </c>
      <c r="E6732" s="562">
        <v>23597399</v>
      </c>
      <c r="F6732" s="562"/>
      <c r="G6732" s="562">
        <f t="shared" si="390"/>
        <v>228796850</v>
      </c>
      <c r="H6732" s="362"/>
      <c r="I6732" s="362"/>
      <c r="J6732" s="362"/>
    </row>
    <row r="6733" spans="1:10" x14ac:dyDescent="0.25">
      <c r="A6733" s="362"/>
      <c r="B6733" s="611">
        <v>44539</v>
      </c>
      <c r="C6733" s="362" t="s">
        <v>82</v>
      </c>
      <c r="D6733" s="562">
        <v>106328007</v>
      </c>
      <c r="E6733" s="562">
        <v>3047720</v>
      </c>
      <c r="F6733" s="562"/>
      <c r="G6733" s="562">
        <f t="shared" si="390"/>
        <v>109375727</v>
      </c>
      <c r="H6733" s="362"/>
      <c r="I6733" s="362"/>
      <c r="J6733" s="362"/>
    </row>
    <row r="6734" spans="1:10" x14ac:dyDescent="0.25">
      <c r="A6734" s="362"/>
      <c r="B6734" s="611">
        <v>44539</v>
      </c>
      <c r="C6734" s="362" t="s">
        <v>80</v>
      </c>
      <c r="D6734" s="562">
        <v>427439843</v>
      </c>
      <c r="E6734" s="562">
        <v>312757</v>
      </c>
      <c r="F6734" s="562"/>
      <c r="G6734" s="562">
        <f t="shared" si="390"/>
        <v>427752600</v>
      </c>
      <c r="H6734" s="362"/>
      <c r="I6734" s="362"/>
      <c r="J6734" s="362"/>
    </row>
    <row r="6735" spans="1:10" x14ac:dyDescent="0.25">
      <c r="A6735" s="362"/>
      <c r="B6735" s="611">
        <v>44539</v>
      </c>
      <c r="C6735" s="362" t="s">
        <v>83</v>
      </c>
      <c r="D6735" s="562">
        <v>131345330</v>
      </c>
      <c r="E6735" s="562">
        <v>126252876</v>
      </c>
      <c r="F6735" s="562"/>
      <c r="G6735" s="562">
        <f t="shared" si="390"/>
        <v>257598206</v>
      </c>
      <c r="H6735" s="362"/>
      <c r="I6735" s="362"/>
      <c r="J6735" s="362"/>
    </row>
    <row r="6736" spans="1:10" x14ac:dyDescent="0.25">
      <c r="A6736" s="362"/>
      <c r="B6736" s="611">
        <v>44539</v>
      </c>
      <c r="C6736" s="362" t="s">
        <v>78</v>
      </c>
      <c r="D6736" s="562">
        <v>117506289</v>
      </c>
      <c r="E6736" s="562">
        <v>1283311</v>
      </c>
      <c r="F6736" s="562"/>
      <c r="G6736" s="562">
        <f t="shared" si="390"/>
        <v>118789600</v>
      </c>
      <c r="H6736" s="362"/>
      <c r="I6736" s="362"/>
      <c r="J6736" s="362"/>
    </row>
    <row r="6737" spans="1:10" x14ac:dyDescent="0.25">
      <c r="A6737" s="362"/>
      <c r="B6737" s="611">
        <v>44539</v>
      </c>
      <c r="C6737" s="362" t="s">
        <v>141</v>
      </c>
      <c r="D6737" s="562">
        <v>111425287</v>
      </c>
      <c r="E6737" s="562">
        <v>1494615</v>
      </c>
      <c r="F6737" s="562"/>
      <c r="G6737" s="562">
        <f t="shared" si="390"/>
        <v>112919902</v>
      </c>
      <c r="H6737" s="362"/>
      <c r="I6737" s="362"/>
      <c r="J6737" s="362"/>
    </row>
    <row r="6738" spans="1:10" x14ac:dyDescent="0.25">
      <c r="A6738" s="362"/>
      <c r="B6738" s="611">
        <v>44539</v>
      </c>
      <c r="C6738" s="362" t="s">
        <v>89</v>
      </c>
      <c r="D6738" s="562">
        <v>119706113</v>
      </c>
      <c r="E6738" s="562">
        <v>15858787</v>
      </c>
      <c r="F6738" s="562"/>
      <c r="G6738" s="562">
        <f t="shared" si="390"/>
        <v>135564900</v>
      </c>
      <c r="H6738" s="362"/>
      <c r="I6738" s="362"/>
      <c r="J6738" s="362"/>
    </row>
    <row r="6739" spans="1:10" x14ac:dyDescent="0.25">
      <c r="A6739" s="362"/>
      <c r="B6739" s="611">
        <v>44539</v>
      </c>
      <c r="C6739" s="362" t="s">
        <v>81</v>
      </c>
      <c r="D6739" s="562">
        <v>146904370</v>
      </c>
      <c r="E6739" s="562">
        <v>42450815</v>
      </c>
      <c r="F6739" s="562"/>
      <c r="G6739" s="562">
        <f t="shared" si="390"/>
        <v>189355185</v>
      </c>
      <c r="H6739" s="362"/>
      <c r="I6739" s="362"/>
      <c r="J6739" s="362"/>
    </row>
    <row r="6740" spans="1:10" x14ac:dyDescent="0.25">
      <c r="A6740" s="362"/>
      <c r="B6740" s="611">
        <v>44539</v>
      </c>
      <c r="C6740" s="362" t="s">
        <v>84</v>
      </c>
      <c r="D6740" s="562">
        <v>224270193</v>
      </c>
      <c r="E6740" s="562">
        <v>16172704</v>
      </c>
      <c r="F6740" s="562"/>
      <c r="G6740" s="562">
        <f t="shared" si="390"/>
        <v>240442897</v>
      </c>
      <c r="H6740" s="362"/>
      <c r="I6740" s="362"/>
      <c r="J6740" s="362"/>
    </row>
    <row r="6741" spans="1:10" x14ac:dyDescent="0.25">
      <c r="A6741" s="362"/>
      <c r="B6741" s="611">
        <v>44539</v>
      </c>
      <c r="C6741" s="362" t="s">
        <v>4751</v>
      </c>
      <c r="D6741" s="562">
        <v>265990355</v>
      </c>
      <c r="E6741" s="562">
        <v>21651345</v>
      </c>
      <c r="F6741" s="562"/>
      <c r="G6741" s="562">
        <f t="shared" si="390"/>
        <v>287641700</v>
      </c>
      <c r="H6741" s="362"/>
      <c r="I6741" s="362"/>
      <c r="J6741" s="362"/>
    </row>
    <row r="6742" spans="1:10" x14ac:dyDescent="0.25">
      <c r="A6742" s="362"/>
      <c r="B6742" s="611">
        <v>44539</v>
      </c>
      <c r="C6742" s="362" t="s">
        <v>166</v>
      </c>
      <c r="D6742" s="562">
        <v>91758374</v>
      </c>
      <c r="E6742" s="562">
        <v>18580000</v>
      </c>
      <c r="F6742" s="562"/>
      <c r="G6742" s="562">
        <f t="shared" si="390"/>
        <v>110338374</v>
      </c>
      <c r="H6742" s="362"/>
      <c r="I6742" s="362"/>
      <c r="J6742" s="362"/>
    </row>
    <row r="6743" spans="1:10" x14ac:dyDescent="0.25">
      <c r="A6743" s="362"/>
      <c r="B6743" s="611">
        <v>44539</v>
      </c>
      <c r="C6743" s="362" t="s">
        <v>3435</v>
      </c>
      <c r="D6743" s="562">
        <v>64155432</v>
      </c>
      <c r="E6743" s="562"/>
      <c r="F6743" s="562"/>
      <c r="G6743" s="562">
        <f t="shared" si="390"/>
        <v>64155432</v>
      </c>
      <c r="H6743" s="362"/>
      <c r="I6743" s="362"/>
      <c r="J6743" s="362"/>
    </row>
    <row r="6744" spans="1:10" x14ac:dyDescent="0.25">
      <c r="A6744" s="362"/>
      <c r="B6744" s="611">
        <v>44539</v>
      </c>
      <c r="C6744" s="370" t="s">
        <v>85</v>
      </c>
      <c r="D6744" s="562">
        <v>26706000</v>
      </c>
      <c r="E6744" s="562"/>
      <c r="F6744" s="562"/>
      <c r="G6744" s="562">
        <f>D6744+E6744-F6744</f>
        <v>26706000</v>
      </c>
      <c r="H6744" s="362"/>
      <c r="I6744" s="362"/>
      <c r="J6744" s="362"/>
    </row>
    <row r="6745" spans="1:10" x14ac:dyDescent="0.25">
      <c r="A6745" s="532"/>
      <c r="B6745" s="532"/>
      <c r="C6745" s="532"/>
      <c r="D6745" s="632">
        <f>SUM(D6730:D6744)</f>
        <v>2203685722</v>
      </c>
      <c r="E6745" s="632">
        <f t="shared" ref="E6745:G6745" si="392">SUM(E6730:E6744)</f>
        <v>380768017</v>
      </c>
      <c r="F6745" s="632">
        <f t="shared" si="392"/>
        <v>0</v>
      </c>
      <c r="G6745" s="632">
        <f t="shared" si="392"/>
        <v>2584453739</v>
      </c>
      <c r="H6745" s="532"/>
      <c r="I6745" s="532"/>
      <c r="J6745" s="532"/>
    </row>
    <row r="6746" spans="1:10" x14ac:dyDescent="0.25">
      <c r="A6746" s="362"/>
      <c r="B6746" s="611">
        <v>44540</v>
      </c>
      <c r="C6746" s="362" t="s">
        <v>86</v>
      </c>
      <c r="D6746" s="562">
        <v>47002632</v>
      </c>
      <c r="E6746" s="562">
        <v>23800455</v>
      </c>
      <c r="F6746" s="562"/>
      <c r="G6746" s="562">
        <f>D6746+E6746-F6746</f>
        <v>70803087</v>
      </c>
      <c r="H6746" s="362"/>
      <c r="I6746" s="362"/>
      <c r="J6746" s="362"/>
    </row>
    <row r="6747" spans="1:10" x14ac:dyDescent="0.25">
      <c r="A6747" s="362"/>
      <c r="B6747" s="611">
        <v>44540</v>
      </c>
      <c r="C6747" s="362" t="s">
        <v>87</v>
      </c>
      <c r="D6747" s="562">
        <v>89858584</v>
      </c>
      <c r="E6747" s="562">
        <v>79764343</v>
      </c>
      <c r="F6747" s="562"/>
      <c r="G6747" s="562">
        <f t="shared" ref="G6747:G6791" si="393">D6747+E6747-F6747</f>
        <v>169622927</v>
      </c>
      <c r="H6747" s="362"/>
      <c r="I6747" s="362"/>
      <c r="J6747" s="362"/>
    </row>
    <row r="6748" spans="1:10" x14ac:dyDescent="0.25">
      <c r="A6748" s="362"/>
      <c r="B6748" s="611">
        <v>44540</v>
      </c>
      <c r="C6748" s="362" t="s">
        <v>88</v>
      </c>
      <c r="D6748" s="562">
        <v>100074065</v>
      </c>
      <c r="E6748" s="562">
        <v>23776466</v>
      </c>
      <c r="F6748" s="562"/>
      <c r="G6748" s="562">
        <f t="shared" si="393"/>
        <v>123850531</v>
      </c>
      <c r="H6748" s="362"/>
      <c r="I6748" s="362"/>
      <c r="J6748" s="362"/>
    </row>
    <row r="6749" spans="1:10" x14ac:dyDescent="0.25">
      <c r="A6749" s="362"/>
      <c r="B6749" s="611">
        <v>44540</v>
      </c>
      <c r="C6749" s="362" t="s">
        <v>82</v>
      </c>
      <c r="D6749" s="562">
        <v>76013642</v>
      </c>
      <c r="E6749" s="562">
        <v>15420360</v>
      </c>
      <c r="F6749" s="562"/>
      <c r="G6749" s="562">
        <f t="shared" si="393"/>
        <v>91434002</v>
      </c>
      <c r="H6749" s="362"/>
      <c r="I6749" s="362"/>
      <c r="J6749" s="362"/>
    </row>
    <row r="6750" spans="1:10" x14ac:dyDescent="0.25">
      <c r="A6750" s="362"/>
      <c r="B6750" s="611">
        <v>44540</v>
      </c>
      <c r="C6750" s="362" t="s">
        <v>80</v>
      </c>
      <c r="D6750" s="562">
        <v>228767577</v>
      </c>
      <c r="E6750" s="562">
        <v>1213602</v>
      </c>
      <c r="F6750" s="562"/>
      <c r="G6750" s="562">
        <f t="shared" si="393"/>
        <v>229981179</v>
      </c>
      <c r="H6750" s="362"/>
      <c r="I6750" s="362"/>
      <c r="J6750" s="362"/>
    </row>
    <row r="6751" spans="1:10" x14ac:dyDescent="0.25">
      <c r="A6751" s="362"/>
      <c r="B6751" s="611">
        <v>44540</v>
      </c>
      <c r="C6751" s="362" t="s">
        <v>83</v>
      </c>
      <c r="D6751" s="562">
        <v>97345119</v>
      </c>
      <c r="E6751" s="562">
        <v>54674066</v>
      </c>
      <c r="F6751" s="562"/>
      <c r="G6751" s="562">
        <f t="shared" si="393"/>
        <v>152019185</v>
      </c>
      <c r="H6751" s="362"/>
      <c r="I6751" s="362"/>
      <c r="J6751" s="362"/>
    </row>
    <row r="6752" spans="1:10" x14ac:dyDescent="0.25">
      <c r="A6752" s="362"/>
      <c r="B6752" s="611">
        <v>44540</v>
      </c>
      <c r="C6752" s="362" t="s">
        <v>78</v>
      </c>
      <c r="D6752" s="562">
        <v>142595003</v>
      </c>
      <c r="E6752" s="562">
        <v>1104997</v>
      </c>
      <c r="F6752" s="562"/>
      <c r="G6752" s="562">
        <f t="shared" si="393"/>
        <v>143700000</v>
      </c>
      <c r="H6752" s="362"/>
      <c r="I6752" s="362"/>
      <c r="J6752" s="362"/>
    </row>
    <row r="6753" spans="1:10" x14ac:dyDescent="0.25">
      <c r="A6753" s="362"/>
      <c r="B6753" s="611">
        <v>44540</v>
      </c>
      <c r="C6753" s="362" t="s">
        <v>141</v>
      </c>
      <c r="D6753" s="562">
        <v>116482226</v>
      </c>
      <c r="E6753" s="562">
        <v>930450</v>
      </c>
      <c r="F6753" s="562"/>
      <c r="G6753" s="562">
        <f t="shared" si="393"/>
        <v>117412676</v>
      </c>
      <c r="H6753" s="362"/>
      <c r="I6753" s="362"/>
      <c r="J6753" s="362"/>
    </row>
    <row r="6754" spans="1:10" x14ac:dyDescent="0.25">
      <c r="A6754" s="362"/>
      <c r="B6754" s="611">
        <v>44540</v>
      </c>
      <c r="C6754" s="362" t="s">
        <v>89</v>
      </c>
      <c r="D6754" s="562">
        <v>135508002</v>
      </c>
      <c r="E6754" s="562">
        <v>117003998</v>
      </c>
      <c r="F6754" s="562"/>
      <c r="G6754" s="562">
        <f t="shared" si="393"/>
        <v>252512000</v>
      </c>
      <c r="H6754" s="362"/>
      <c r="I6754" s="362"/>
      <c r="J6754" s="362"/>
    </row>
    <row r="6755" spans="1:10" x14ac:dyDescent="0.25">
      <c r="A6755" s="362"/>
      <c r="B6755" s="611">
        <v>44540</v>
      </c>
      <c r="C6755" s="362" t="s">
        <v>81</v>
      </c>
      <c r="D6755" s="562">
        <v>102248978</v>
      </c>
      <c r="E6755" s="562">
        <v>48069131</v>
      </c>
      <c r="F6755" s="562"/>
      <c r="G6755" s="562">
        <f t="shared" si="393"/>
        <v>150318109</v>
      </c>
      <c r="H6755" s="362"/>
      <c r="I6755" s="362"/>
      <c r="J6755" s="362"/>
    </row>
    <row r="6756" spans="1:10" x14ac:dyDescent="0.25">
      <c r="A6756" s="362"/>
      <c r="B6756" s="611">
        <v>44540</v>
      </c>
      <c r="C6756" s="362" t="s">
        <v>84</v>
      </c>
      <c r="D6756" s="562">
        <v>357724378</v>
      </c>
      <c r="E6756" s="562">
        <v>11829607</v>
      </c>
      <c r="F6756" s="562"/>
      <c r="G6756" s="562">
        <f t="shared" si="393"/>
        <v>369553985</v>
      </c>
      <c r="H6756" s="362"/>
      <c r="I6756" s="362"/>
      <c r="J6756" s="362"/>
    </row>
    <row r="6757" spans="1:10" x14ac:dyDescent="0.25">
      <c r="A6757" s="362"/>
      <c r="B6757" s="611">
        <v>44540</v>
      </c>
      <c r="C6757" s="362" t="s">
        <v>4751</v>
      </c>
      <c r="D6757" s="562">
        <v>149567964</v>
      </c>
      <c r="E6757" s="562">
        <v>9718136</v>
      </c>
      <c r="F6757" s="562"/>
      <c r="G6757" s="562">
        <f t="shared" si="393"/>
        <v>159286100</v>
      </c>
      <c r="H6757" s="362"/>
      <c r="I6757" s="362"/>
      <c r="J6757" s="362"/>
    </row>
    <row r="6758" spans="1:10" x14ac:dyDescent="0.25">
      <c r="A6758" s="362"/>
      <c r="B6758" s="611">
        <v>44540</v>
      </c>
      <c r="C6758" s="362" t="s">
        <v>166</v>
      </c>
      <c r="D6758" s="562">
        <v>49004457</v>
      </c>
      <c r="E6758" s="562"/>
      <c r="F6758" s="562"/>
      <c r="G6758" s="562">
        <f t="shared" si="393"/>
        <v>49004457</v>
      </c>
      <c r="H6758" s="362"/>
      <c r="I6758" s="362"/>
      <c r="J6758" s="362"/>
    </row>
    <row r="6759" spans="1:10" x14ac:dyDescent="0.25">
      <c r="A6759" s="362"/>
      <c r="B6759" s="611">
        <v>44540</v>
      </c>
      <c r="C6759" s="362" t="s">
        <v>3435</v>
      </c>
      <c r="D6759" s="562">
        <v>42249624</v>
      </c>
      <c r="E6759" s="562"/>
      <c r="F6759" s="562"/>
      <c r="G6759" s="562">
        <f t="shared" si="393"/>
        <v>42249624</v>
      </c>
      <c r="H6759" s="362"/>
      <c r="I6759" s="362"/>
      <c r="J6759" s="362"/>
    </row>
    <row r="6760" spans="1:10" x14ac:dyDescent="0.25">
      <c r="A6760" s="362"/>
      <c r="B6760" s="611">
        <v>44540</v>
      </c>
      <c r="C6760" s="370" t="s">
        <v>85</v>
      </c>
      <c r="D6760" s="562">
        <v>23952300</v>
      </c>
      <c r="E6760" s="562"/>
      <c r="F6760" s="562"/>
      <c r="G6760" s="562">
        <f t="shared" si="393"/>
        <v>23952300</v>
      </c>
      <c r="H6760" s="362"/>
      <c r="I6760" s="362"/>
      <c r="J6760" s="362"/>
    </row>
    <row r="6761" spans="1:10" x14ac:dyDescent="0.25">
      <c r="A6761" s="532"/>
      <c r="B6761" s="532"/>
      <c r="C6761" s="532"/>
      <c r="D6761" s="564">
        <f>SUM(D6746:D6760)</f>
        <v>1758394551</v>
      </c>
      <c r="E6761" s="564">
        <f t="shared" ref="E6761:G6761" si="394">SUM(E6746:E6760)</f>
        <v>387305611</v>
      </c>
      <c r="F6761" s="564">
        <f t="shared" si="394"/>
        <v>0</v>
      </c>
      <c r="G6761" s="564">
        <f t="shared" si="394"/>
        <v>2145700162</v>
      </c>
      <c r="H6761" s="532"/>
      <c r="I6761" s="532"/>
      <c r="J6761" s="532"/>
    </row>
    <row r="6762" spans="1:10" x14ac:dyDescent="0.25">
      <c r="A6762" s="362"/>
      <c r="B6762" s="611">
        <v>44541</v>
      </c>
      <c r="C6762" s="362" t="s">
        <v>86</v>
      </c>
      <c r="D6762" s="562">
        <v>39870305</v>
      </c>
      <c r="E6762" s="562">
        <v>22241320</v>
      </c>
      <c r="F6762" s="562"/>
      <c r="G6762" s="562">
        <f t="shared" si="393"/>
        <v>62111625</v>
      </c>
      <c r="H6762" s="362"/>
      <c r="I6762" s="362"/>
      <c r="J6762" s="362"/>
    </row>
    <row r="6763" spans="1:10" x14ac:dyDescent="0.25">
      <c r="A6763" s="362"/>
      <c r="B6763" s="611">
        <v>44541</v>
      </c>
      <c r="C6763" s="362" t="s">
        <v>87</v>
      </c>
      <c r="D6763" s="562">
        <v>75817609</v>
      </c>
      <c r="E6763" s="562">
        <v>85985001</v>
      </c>
      <c r="F6763" s="562"/>
      <c r="G6763" s="562">
        <f t="shared" si="393"/>
        <v>161802610</v>
      </c>
      <c r="H6763" s="362"/>
      <c r="I6763" s="362"/>
      <c r="J6763" s="362"/>
    </row>
    <row r="6764" spans="1:10" x14ac:dyDescent="0.25">
      <c r="A6764" s="362"/>
      <c r="B6764" s="611">
        <v>44541</v>
      </c>
      <c r="C6764" s="362" t="s">
        <v>88</v>
      </c>
      <c r="D6764" s="562">
        <v>84186973</v>
      </c>
      <c r="E6764" s="562">
        <v>36286442</v>
      </c>
      <c r="F6764" s="562"/>
      <c r="G6764" s="562">
        <f t="shared" si="393"/>
        <v>120473415</v>
      </c>
      <c r="H6764" s="362"/>
      <c r="I6764" s="362"/>
      <c r="J6764" s="362"/>
    </row>
    <row r="6765" spans="1:10" x14ac:dyDescent="0.25">
      <c r="A6765" s="362"/>
      <c r="B6765" s="611">
        <v>44541</v>
      </c>
      <c r="C6765" s="362" t="s">
        <v>82</v>
      </c>
      <c r="D6765" s="562">
        <v>54080056</v>
      </c>
      <c r="E6765" s="562">
        <v>2472980</v>
      </c>
      <c r="F6765" s="562"/>
      <c r="G6765" s="562">
        <f t="shared" si="393"/>
        <v>56553036</v>
      </c>
      <c r="H6765" s="362"/>
      <c r="I6765" s="362"/>
      <c r="J6765" s="362"/>
    </row>
    <row r="6766" spans="1:10" x14ac:dyDescent="0.25">
      <c r="A6766" s="362"/>
      <c r="B6766" s="611">
        <v>44541</v>
      </c>
      <c r="C6766" s="362" t="s">
        <v>80</v>
      </c>
      <c r="D6766" s="562">
        <v>311640330</v>
      </c>
      <c r="E6766" s="562">
        <v>1212369</v>
      </c>
      <c r="F6766" s="562"/>
      <c r="G6766" s="562">
        <f t="shared" si="393"/>
        <v>312852699</v>
      </c>
      <c r="H6766" s="362"/>
      <c r="I6766" s="362"/>
      <c r="J6766" s="362"/>
    </row>
    <row r="6767" spans="1:10" x14ac:dyDescent="0.25">
      <c r="A6767" s="362"/>
      <c r="B6767" s="611">
        <v>44541</v>
      </c>
      <c r="C6767" s="362" t="s">
        <v>83</v>
      </c>
      <c r="D6767" s="562">
        <v>127447346</v>
      </c>
      <c r="E6767" s="562">
        <v>14460993</v>
      </c>
      <c r="F6767" s="562"/>
      <c r="G6767" s="562">
        <f t="shared" si="393"/>
        <v>141908339</v>
      </c>
      <c r="H6767" s="362"/>
      <c r="I6767" s="362"/>
      <c r="J6767" s="362"/>
    </row>
    <row r="6768" spans="1:10" x14ac:dyDescent="0.25">
      <c r="A6768" s="362"/>
      <c r="B6768" s="611">
        <v>44541</v>
      </c>
      <c r="C6768" s="362" t="s">
        <v>78</v>
      </c>
      <c r="D6768" s="562">
        <v>130625982</v>
      </c>
      <c r="E6768" s="562">
        <v>11057718</v>
      </c>
      <c r="F6768" s="562"/>
      <c r="G6768" s="562">
        <f t="shared" si="393"/>
        <v>141683700</v>
      </c>
      <c r="H6768" s="362"/>
      <c r="I6768" s="362"/>
      <c r="J6768" s="362"/>
    </row>
    <row r="6769" spans="1:10" x14ac:dyDescent="0.25">
      <c r="A6769" s="362"/>
      <c r="B6769" s="611">
        <v>44541</v>
      </c>
      <c r="C6769" s="362" t="s">
        <v>141</v>
      </c>
      <c r="D6769" s="562">
        <v>63273009</v>
      </c>
      <c r="E6769" s="562">
        <v>1207060</v>
      </c>
      <c r="F6769" s="562"/>
      <c r="G6769" s="562">
        <f t="shared" si="393"/>
        <v>64480069</v>
      </c>
      <c r="H6769" s="362"/>
      <c r="I6769" s="362"/>
      <c r="J6769" s="362"/>
    </row>
    <row r="6770" spans="1:10" x14ac:dyDescent="0.25">
      <c r="A6770" s="362"/>
      <c r="B6770" s="611">
        <v>44541</v>
      </c>
      <c r="C6770" s="362" t="s">
        <v>89</v>
      </c>
      <c r="D6770" s="562">
        <v>73840417</v>
      </c>
      <c r="E6770" s="562">
        <v>59130183</v>
      </c>
      <c r="F6770" s="562"/>
      <c r="G6770" s="562">
        <f t="shared" si="393"/>
        <v>132970600</v>
      </c>
      <c r="H6770" s="362"/>
      <c r="I6770" s="362"/>
      <c r="J6770" s="362"/>
    </row>
    <row r="6771" spans="1:10" x14ac:dyDescent="0.25">
      <c r="A6771" s="362"/>
      <c r="B6771" s="611">
        <v>44541</v>
      </c>
      <c r="C6771" s="362" t="s">
        <v>81</v>
      </c>
      <c r="D6771" s="562">
        <v>147686145</v>
      </c>
      <c r="E6771" s="562">
        <v>14075818</v>
      </c>
      <c r="F6771" s="562"/>
      <c r="G6771" s="562">
        <f t="shared" si="393"/>
        <v>161761963</v>
      </c>
      <c r="H6771" s="362"/>
      <c r="I6771" s="362"/>
      <c r="J6771" s="362"/>
    </row>
    <row r="6772" spans="1:10" x14ac:dyDescent="0.25">
      <c r="A6772" s="362"/>
      <c r="B6772" s="611">
        <v>44541</v>
      </c>
      <c r="C6772" s="362" t="s">
        <v>84</v>
      </c>
      <c r="D6772" s="562">
        <v>283145436</v>
      </c>
      <c r="E6772" s="562">
        <v>25733856</v>
      </c>
      <c r="F6772" s="562"/>
      <c r="G6772" s="562">
        <f t="shared" si="393"/>
        <v>308879292</v>
      </c>
      <c r="H6772" s="362"/>
      <c r="I6772" s="362"/>
      <c r="J6772" s="362"/>
    </row>
    <row r="6773" spans="1:10" x14ac:dyDescent="0.25">
      <c r="A6773" s="362"/>
      <c r="B6773" s="611">
        <v>44541</v>
      </c>
      <c r="C6773" s="362" t="s">
        <v>4751</v>
      </c>
      <c r="D6773" s="562">
        <v>246043497</v>
      </c>
      <c r="E6773" s="562">
        <v>16442503</v>
      </c>
      <c r="F6773" s="562"/>
      <c r="G6773" s="562">
        <f t="shared" si="393"/>
        <v>262486000</v>
      </c>
      <c r="H6773" s="362"/>
      <c r="I6773" s="362"/>
      <c r="J6773" s="362"/>
    </row>
    <row r="6774" spans="1:10" x14ac:dyDescent="0.25">
      <c r="A6774" s="362"/>
      <c r="B6774" s="611">
        <v>44541</v>
      </c>
      <c r="C6774" s="362" t="s">
        <v>166</v>
      </c>
      <c r="D6774" s="562"/>
      <c r="E6774" s="562"/>
      <c r="F6774" s="562"/>
      <c r="G6774" s="562">
        <f t="shared" si="393"/>
        <v>0</v>
      </c>
      <c r="H6774" s="362"/>
      <c r="I6774" s="362"/>
      <c r="J6774" s="362"/>
    </row>
    <row r="6775" spans="1:10" x14ac:dyDescent="0.25">
      <c r="A6775" s="362"/>
      <c r="B6775" s="611">
        <v>44541</v>
      </c>
      <c r="C6775" s="362" t="s">
        <v>3435</v>
      </c>
      <c r="D6775" s="562"/>
      <c r="E6775" s="562"/>
      <c r="F6775" s="562"/>
      <c r="G6775" s="562">
        <f t="shared" si="393"/>
        <v>0</v>
      </c>
      <c r="H6775" s="362"/>
      <c r="I6775" s="362"/>
      <c r="J6775" s="362"/>
    </row>
    <row r="6776" spans="1:10" x14ac:dyDescent="0.25">
      <c r="A6776" s="362"/>
      <c r="B6776" s="611">
        <v>44541</v>
      </c>
      <c r="C6776" s="370" t="s">
        <v>85</v>
      </c>
      <c r="D6776" s="562">
        <v>35447800</v>
      </c>
      <c r="E6776" s="562"/>
      <c r="F6776" s="562"/>
      <c r="G6776" s="562">
        <f t="shared" si="393"/>
        <v>35447800</v>
      </c>
      <c r="H6776" s="362"/>
      <c r="I6776" s="362"/>
      <c r="J6776" s="362"/>
    </row>
    <row r="6777" spans="1:10" x14ac:dyDescent="0.25">
      <c r="A6777" s="532"/>
      <c r="B6777" s="532"/>
      <c r="C6777" s="532"/>
      <c r="D6777" s="564">
        <f>SUM(D6762:D6776)</f>
        <v>1673104905</v>
      </c>
      <c r="E6777" s="564">
        <f t="shared" ref="E6777:G6777" si="395">SUM(E6762:E6776)</f>
        <v>290306243</v>
      </c>
      <c r="F6777" s="564">
        <f t="shared" si="395"/>
        <v>0</v>
      </c>
      <c r="G6777" s="564">
        <f t="shared" si="395"/>
        <v>1963411148</v>
      </c>
      <c r="H6777" s="532"/>
      <c r="I6777" s="532"/>
      <c r="J6777" s="532"/>
    </row>
    <row r="6778" spans="1:10" x14ac:dyDescent="0.25">
      <c r="A6778" s="362"/>
      <c r="B6778" s="611">
        <v>44543</v>
      </c>
      <c r="C6778" s="362" t="s">
        <v>86</v>
      </c>
      <c r="D6778" s="562">
        <v>66506248</v>
      </c>
      <c r="E6778" s="562">
        <v>27052440</v>
      </c>
      <c r="F6778" s="562"/>
      <c r="G6778" s="562">
        <f t="shared" si="393"/>
        <v>93558688</v>
      </c>
      <c r="H6778" s="362"/>
      <c r="I6778" s="362"/>
      <c r="J6778" s="362"/>
    </row>
    <row r="6779" spans="1:10" x14ac:dyDescent="0.25">
      <c r="A6779" s="362"/>
      <c r="B6779" s="611">
        <v>44543</v>
      </c>
      <c r="C6779" s="362" t="s">
        <v>87</v>
      </c>
      <c r="D6779" s="562">
        <v>74800285</v>
      </c>
      <c r="E6779" s="562">
        <v>134203229</v>
      </c>
      <c r="F6779" s="562"/>
      <c r="G6779" s="562">
        <f t="shared" si="393"/>
        <v>209003514</v>
      </c>
      <c r="H6779" s="362"/>
      <c r="I6779" s="362"/>
      <c r="J6779" s="362"/>
    </row>
    <row r="6780" spans="1:10" x14ac:dyDescent="0.25">
      <c r="A6780" s="362"/>
      <c r="B6780" s="611">
        <v>44543</v>
      </c>
      <c r="C6780" s="362" t="s">
        <v>88</v>
      </c>
      <c r="D6780" s="562">
        <v>118928333</v>
      </c>
      <c r="E6780" s="562">
        <v>59495064</v>
      </c>
      <c r="F6780" s="562"/>
      <c r="G6780" s="562">
        <f t="shared" si="393"/>
        <v>178423397</v>
      </c>
      <c r="H6780" s="362"/>
      <c r="I6780" s="362"/>
      <c r="J6780" s="362"/>
    </row>
    <row r="6781" spans="1:10" x14ac:dyDescent="0.25">
      <c r="A6781" s="362"/>
      <c r="B6781" s="611">
        <v>44543</v>
      </c>
      <c r="C6781" s="362" t="s">
        <v>82</v>
      </c>
      <c r="D6781" s="562">
        <v>49749271</v>
      </c>
      <c r="E6781" s="562">
        <v>32366020</v>
      </c>
      <c r="F6781" s="562"/>
      <c r="G6781" s="562">
        <f t="shared" si="393"/>
        <v>82115291</v>
      </c>
      <c r="H6781" s="362"/>
      <c r="I6781" s="362"/>
      <c r="J6781" s="362"/>
    </row>
    <row r="6782" spans="1:10" x14ac:dyDescent="0.25">
      <c r="A6782" s="362"/>
      <c r="B6782" s="611">
        <v>44543</v>
      </c>
      <c r="C6782" s="362" t="s">
        <v>80</v>
      </c>
      <c r="D6782" s="562">
        <v>207619185</v>
      </c>
      <c r="E6782" s="562"/>
      <c r="F6782" s="562"/>
      <c r="G6782" s="562">
        <f t="shared" si="393"/>
        <v>207619185</v>
      </c>
      <c r="H6782" s="362"/>
      <c r="I6782" s="362"/>
      <c r="J6782" s="362"/>
    </row>
    <row r="6783" spans="1:10" x14ac:dyDescent="0.25">
      <c r="A6783" s="362"/>
      <c r="B6783" s="611">
        <v>44543</v>
      </c>
      <c r="C6783" s="362" t="s">
        <v>83</v>
      </c>
      <c r="D6783" s="562">
        <v>199228056</v>
      </c>
      <c r="E6783" s="562">
        <v>12741435</v>
      </c>
      <c r="F6783" s="562"/>
      <c r="G6783" s="562">
        <f t="shared" si="393"/>
        <v>211969491</v>
      </c>
      <c r="H6783" s="362"/>
      <c r="I6783" s="362"/>
      <c r="J6783" s="362"/>
    </row>
    <row r="6784" spans="1:10" x14ac:dyDescent="0.25">
      <c r="A6784" s="362"/>
      <c r="B6784" s="611">
        <v>44543</v>
      </c>
      <c r="C6784" s="362" t="s">
        <v>78</v>
      </c>
      <c r="D6784" s="562">
        <v>72257451</v>
      </c>
      <c r="E6784" s="562">
        <v>287149</v>
      </c>
      <c r="F6784" s="562"/>
      <c r="G6784" s="562">
        <f t="shared" si="393"/>
        <v>72544600</v>
      </c>
      <c r="H6784" s="362"/>
      <c r="I6784" s="362"/>
      <c r="J6784" s="362"/>
    </row>
    <row r="6785" spans="1:10" x14ac:dyDescent="0.25">
      <c r="A6785" s="362"/>
      <c r="B6785" s="611">
        <v>44543</v>
      </c>
      <c r="C6785" s="362" t="s">
        <v>141</v>
      </c>
      <c r="D6785" s="562">
        <v>46511762</v>
      </c>
      <c r="E6785" s="562"/>
      <c r="F6785" s="562"/>
      <c r="G6785" s="562">
        <f t="shared" si="393"/>
        <v>46511762</v>
      </c>
      <c r="H6785" s="362"/>
      <c r="I6785" s="362"/>
      <c r="J6785" s="362"/>
    </row>
    <row r="6786" spans="1:10" x14ac:dyDescent="0.25">
      <c r="A6786" s="362"/>
      <c r="B6786" s="611">
        <v>44543</v>
      </c>
      <c r="C6786" s="362" t="s">
        <v>89</v>
      </c>
      <c r="D6786" s="562">
        <v>109400338</v>
      </c>
      <c r="E6786" s="562">
        <v>9316862</v>
      </c>
      <c r="F6786" s="562"/>
      <c r="G6786" s="562">
        <f t="shared" si="393"/>
        <v>118717200</v>
      </c>
      <c r="H6786" s="362"/>
      <c r="I6786" s="362"/>
      <c r="J6786" s="362"/>
    </row>
    <row r="6787" spans="1:10" x14ac:dyDescent="0.25">
      <c r="A6787" s="362"/>
      <c r="B6787" s="611">
        <v>44543</v>
      </c>
      <c r="C6787" s="362" t="s">
        <v>81</v>
      </c>
      <c r="D6787" s="562">
        <v>76138863</v>
      </c>
      <c r="E6787" s="562">
        <v>46706888</v>
      </c>
      <c r="F6787" s="562"/>
      <c r="G6787" s="562">
        <f t="shared" si="393"/>
        <v>122845751</v>
      </c>
      <c r="H6787" s="362"/>
      <c r="I6787" s="362"/>
      <c r="J6787" s="362"/>
    </row>
    <row r="6788" spans="1:10" x14ac:dyDescent="0.25">
      <c r="A6788" s="362"/>
      <c r="B6788" s="611">
        <v>44543</v>
      </c>
      <c r="C6788" s="362" t="s">
        <v>84</v>
      </c>
      <c r="D6788" s="562">
        <v>246319038</v>
      </c>
      <c r="E6788" s="562">
        <v>12865256</v>
      </c>
      <c r="F6788" s="562"/>
      <c r="G6788" s="562">
        <f t="shared" si="393"/>
        <v>259184294</v>
      </c>
      <c r="H6788" s="362"/>
      <c r="I6788" s="362"/>
      <c r="J6788" s="362"/>
    </row>
    <row r="6789" spans="1:10" x14ac:dyDescent="0.25">
      <c r="A6789" s="362"/>
      <c r="B6789" s="611">
        <v>44543</v>
      </c>
      <c r="C6789" s="362" t="s">
        <v>4751</v>
      </c>
      <c r="D6789" s="562">
        <v>164184282</v>
      </c>
      <c r="E6789" s="562">
        <v>8707718</v>
      </c>
      <c r="F6789" s="562"/>
      <c r="G6789" s="562">
        <f t="shared" si="393"/>
        <v>172892000</v>
      </c>
      <c r="H6789" s="362"/>
      <c r="I6789" s="362"/>
      <c r="J6789" s="362"/>
    </row>
    <row r="6790" spans="1:10" x14ac:dyDescent="0.25">
      <c r="A6790" s="362"/>
      <c r="B6790" s="611">
        <v>44543</v>
      </c>
      <c r="C6790" s="362" t="s">
        <v>166</v>
      </c>
      <c r="D6790" s="562">
        <v>67188778</v>
      </c>
      <c r="E6790" s="562"/>
      <c r="F6790" s="562"/>
      <c r="G6790" s="562">
        <f t="shared" si="393"/>
        <v>67188778</v>
      </c>
      <c r="H6790" s="362"/>
      <c r="I6790" s="362"/>
      <c r="J6790" s="362"/>
    </row>
    <row r="6791" spans="1:10" x14ac:dyDescent="0.25">
      <c r="A6791" s="362"/>
      <c r="B6791" s="611">
        <v>44543</v>
      </c>
      <c r="C6791" s="362" t="s">
        <v>3435</v>
      </c>
      <c r="D6791" s="562">
        <v>28676124</v>
      </c>
      <c r="E6791" s="562"/>
      <c r="F6791" s="562"/>
      <c r="G6791" s="562">
        <f t="shared" si="393"/>
        <v>28676124</v>
      </c>
      <c r="H6791" s="362"/>
      <c r="I6791" s="362"/>
      <c r="J6791" s="362"/>
    </row>
    <row r="6792" spans="1:10" x14ac:dyDescent="0.25">
      <c r="A6792" s="362"/>
      <c r="B6792" s="611">
        <v>44543</v>
      </c>
      <c r="C6792" s="370" t="s">
        <v>85</v>
      </c>
      <c r="D6792" s="562">
        <v>44429700</v>
      </c>
      <c r="E6792" s="562"/>
      <c r="F6792" s="562"/>
      <c r="G6792" s="562">
        <f>D6792+E6792-F6792</f>
        <v>44429700</v>
      </c>
      <c r="H6792" s="362"/>
      <c r="I6792" s="362"/>
      <c r="J6792" s="362"/>
    </row>
    <row r="6793" spans="1:10" x14ac:dyDescent="0.25">
      <c r="A6793" s="532"/>
      <c r="B6793" s="532"/>
      <c r="C6793" s="532"/>
      <c r="D6793" s="632">
        <f>SUM(D6778:D6792)</f>
        <v>1571937714</v>
      </c>
      <c r="E6793" s="632">
        <f t="shared" ref="E6793:G6793" si="396">SUM(E6778:E6792)</f>
        <v>343742061</v>
      </c>
      <c r="F6793" s="632">
        <f t="shared" si="396"/>
        <v>0</v>
      </c>
      <c r="G6793" s="632">
        <f t="shared" si="396"/>
        <v>1915679775</v>
      </c>
      <c r="H6793" s="532"/>
      <c r="I6793" s="532"/>
      <c r="J6793" s="532"/>
    </row>
    <row r="6794" spans="1:10" x14ac:dyDescent="0.25">
      <c r="A6794" s="362"/>
      <c r="B6794" s="611">
        <v>44544</v>
      </c>
      <c r="C6794" s="362" t="s">
        <v>86</v>
      </c>
      <c r="D6794" s="562">
        <v>117808285</v>
      </c>
      <c r="E6794" s="562">
        <v>25983940</v>
      </c>
      <c r="F6794" s="562"/>
      <c r="G6794" s="562">
        <f>D6794+E6794-F6794</f>
        <v>143792225</v>
      </c>
      <c r="H6794" s="362"/>
      <c r="I6794" s="362"/>
      <c r="J6794" s="362"/>
    </row>
    <row r="6795" spans="1:10" x14ac:dyDescent="0.25">
      <c r="A6795" s="362"/>
      <c r="B6795" s="611">
        <v>44544</v>
      </c>
      <c r="C6795" s="362" t="s">
        <v>87</v>
      </c>
      <c r="D6795" s="562">
        <v>65304905</v>
      </c>
      <c r="E6795" s="562">
        <v>121589316</v>
      </c>
      <c r="F6795" s="562"/>
      <c r="G6795" s="562">
        <f t="shared" ref="G6795:G6859" si="397">D6795+E6795-F6795</f>
        <v>186894221</v>
      </c>
      <c r="H6795" s="362"/>
      <c r="I6795" s="362"/>
      <c r="J6795" s="362"/>
    </row>
    <row r="6796" spans="1:10" x14ac:dyDescent="0.25">
      <c r="A6796" s="362"/>
      <c r="B6796" s="611">
        <v>44544</v>
      </c>
      <c r="C6796" s="362" t="s">
        <v>88</v>
      </c>
      <c r="D6796" s="562">
        <v>286327859</v>
      </c>
      <c r="E6796" s="562">
        <v>44367184</v>
      </c>
      <c r="F6796" s="562"/>
      <c r="G6796" s="562">
        <f t="shared" si="397"/>
        <v>330695043</v>
      </c>
      <c r="H6796" s="362"/>
      <c r="I6796" s="362"/>
      <c r="J6796" s="362"/>
    </row>
    <row r="6797" spans="1:10" x14ac:dyDescent="0.25">
      <c r="A6797" s="362"/>
      <c r="B6797" s="611">
        <v>44544</v>
      </c>
      <c r="C6797" s="362" t="s">
        <v>82</v>
      </c>
      <c r="D6797" s="562">
        <v>38478160</v>
      </c>
      <c r="E6797" s="562">
        <v>8181175</v>
      </c>
      <c r="F6797" s="562"/>
      <c r="G6797" s="562">
        <f t="shared" si="397"/>
        <v>46659335</v>
      </c>
      <c r="H6797" s="362"/>
      <c r="I6797" s="362"/>
      <c r="J6797" s="362"/>
    </row>
    <row r="6798" spans="1:10" x14ac:dyDescent="0.25">
      <c r="A6798" s="362"/>
      <c r="B6798" s="611">
        <v>44544</v>
      </c>
      <c r="C6798" s="362" t="s">
        <v>80</v>
      </c>
      <c r="D6798" s="562">
        <v>282174204</v>
      </c>
      <c r="E6798" s="562">
        <v>7432796</v>
      </c>
      <c r="F6798" s="562"/>
      <c r="G6798" s="562">
        <f t="shared" si="397"/>
        <v>289607000</v>
      </c>
      <c r="H6798" s="362"/>
      <c r="I6798" s="362"/>
      <c r="J6798" s="362"/>
    </row>
    <row r="6799" spans="1:10" x14ac:dyDescent="0.25">
      <c r="A6799" s="362"/>
      <c r="B6799" s="611">
        <v>44544</v>
      </c>
      <c r="C6799" s="362" t="s">
        <v>83</v>
      </c>
      <c r="D6799" s="562">
        <v>116858446</v>
      </c>
      <c r="E6799" s="562">
        <v>15412638</v>
      </c>
      <c r="F6799" s="562"/>
      <c r="G6799" s="562">
        <f t="shared" si="397"/>
        <v>132271084</v>
      </c>
      <c r="H6799" s="362"/>
      <c r="I6799" s="362"/>
      <c r="J6799" s="362"/>
    </row>
    <row r="6800" spans="1:10" x14ac:dyDescent="0.25">
      <c r="A6800" s="362"/>
      <c r="B6800" s="611">
        <v>44544</v>
      </c>
      <c r="C6800" s="362" t="s">
        <v>78</v>
      </c>
      <c r="D6800" s="562">
        <v>135078486</v>
      </c>
      <c r="E6800" s="562">
        <v>3118714</v>
      </c>
      <c r="F6800" s="562"/>
      <c r="G6800" s="562">
        <f t="shared" si="397"/>
        <v>138197200</v>
      </c>
      <c r="H6800" s="362"/>
      <c r="I6800" s="362"/>
      <c r="J6800" s="362"/>
    </row>
    <row r="6801" spans="1:10" x14ac:dyDescent="0.25">
      <c r="A6801" s="362"/>
      <c r="B6801" s="611">
        <v>44544</v>
      </c>
      <c r="C6801" s="362" t="s">
        <v>141</v>
      </c>
      <c r="D6801" s="562">
        <v>88901571</v>
      </c>
      <c r="E6801" s="562"/>
      <c r="F6801" s="562"/>
      <c r="G6801" s="562">
        <f t="shared" si="397"/>
        <v>88901571</v>
      </c>
      <c r="H6801" s="362"/>
      <c r="I6801" s="362"/>
      <c r="J6801" s="362"/>
    </row>
    <row r="6802" spans="1:10" x14ac:dyDescent="0.25">
      <c r="A6802" s="362"/>
      <c r="B6802" s="611">
        <v>44544</v>
      </c>
      <c r="C6802" s="362" t="s">
        <v>89</v>
      </c>
      <c r="D6802" s="562">
        <v>164500038</v>
      </c>
      <c r="E6802" s="562">
        <v>20636462</v>
      </c>
      <c r="F6802" s="562"/>
      <c r="G6802" s="562">
        <f t="shared" si="397"/>
        <v>185136500</v>
      </c>
      <c r="H6802" s="362"/>
      <c r="I6802" s="362"/>
      <c r="J6802" s="362"/>
    </row>
    <row r="6803" spans="1:10" x14ac:dyDescent="0.25">
      <c r="A6803" s="362"/>
      <c r="B6803" s="611">
        <v>44544</v>
      </c>
      <c r="C6803" s="362" t="s">
        <v>81</v>
      </c>
      <c r="D6803" s="562">
        <v>91958748</v>
      </c>
      <c r="E6803" s="562">
        <v>28270520</v>
      </c>
      <c r="F6803" s="562"/>
      <c r="G6803" s="562">
        <f t="shared" si="397"/>
        <v>120229268</v>
      </c>
      <c r="H6803" s="362"/>
      <c r="I6803" s="362"/>
      <c r="J6803" s="362"/>
    </row>
    <row r="6804" spans="1:10" x14ac:dyDescent="0.25">
      <c r="A6804" s="362"/>
      <c r="B6804" s="611">
        <v>44544</v>
      </c>
      <c r="C6804" s="362" t="s">
        <v>84</v>
      </c>
      <c r="D6804" s="562">
        <v>180282062</v>
      </c>
      <c r="E6804" s="562">
        <v>20436494</v>
      </c>
      <c r="F6804" s="562"/>
      <c r="G6804" s="562">
        <f t="shared" si="397"/>
        <v>200718556</v>
      </c>
      <c r="H6804" s="362"/>
      <c r="I6804" s="362"/>
      <c r="J6804" s="362"/>
    </row>
    <row r="6805" spans="1:10" x14ac:dyDescent="0.25">
      <c r="A6805" s="362"/>
      <c r="B6805" s="611">
        <v>44544</v>
      </c>
      <c r="C6805" s="362" t="s">
        <v>4751</v>
      </c>
      <c r="D6805" s="562">
        <v>190240875</v>
      </c>
      <c r="E6805" s="562">
        <v>13414925</v>
      </c>
      <c r="F6805" s="562"/>
      <c r="G6805" s="562">
        <f t="shared" si="397"/>
        <v>203655800</v>
      </c>
      <c r="H6805" s="362"/>
      <c r="I6805" s="362"/>
      <c r="J6805" s="362"/>
    </row>
    <row r="6806" spans="1:10" x14ac:dyDescent="0.25">
      <c r="A6806" s="362"/>
      <c r="B6806" s="611">
        <v>44544</v>
      </c>
      <c r="C6806" s="362" t="s">
        <v>166</v>
      </c>
      <c r="D6806" s="562">
        <v>74972585</v>
      </c>
      <c r="E6806" s="562"/>
      <c r="F6806" s="562"/>
      <c r="G6806" s="562">
        <f t="shared" si="397"/>
        <v>74972585</v>
      </c>
      <c r="H6806" s="362"/>
      <c r="I6806" s="362"/>
      <c r="J6806" s="362"/>
    </row>
    <row r="6807" spans="1:10" x14ac:dyDescent="0.25">
      <c r="A6807" s="362"/>
      <c r="B6807" s="611">
        <v>44544</v>
      </c>
      <c r="C6807" s="362" t="s">
        <v>3435</v>
      </c>
      <c r="D6807" s="562">
        <v>60491126</v>
      </c>
      <c r="E6807" s="562"/>
      <c r="F6807" s="562"/>
      <c r="G6807" s="562">
        <f t="shared" si="397"/>
        <v>60491126</v>
      </c>
      <c r="H6807" s="362"/>
      <c r="I6807" s="362"/>
      <c r="J6807" s="362"/>
    </row>
    <row r="6808" spans="1:10" x14ac:dyDescent="0.25">
      <c r="A6808" s="362"/>
      <c r="B6808" s="611">
        <v>44544</v>
      </c>
      <c r="C6808" s="370" t="s">
        <v>85</v>
      </c>
      <c r="D6808" s="562">
        <v>30954100</v>
      </c>
      <c r="E6808" s="562"/>
      <c r="F6808" s="562"/>
      <c r="G6808" s="562">
        <f t="shared" si="397"/>
        <v>30954100</v>
      </c>
      <c r="H6808" s="362"/>
      <c r="I6808" s="362"/>
      <c r="J6808" s="362"/>
    </row>
    <row r="6809" spans="1:10" x14ac:dyDescent="0.25">
      <c r="A6809" s="532"/>
      <c r="B6809" s="532"/>
      <c r="C6809" s="532"/>
      <c r="D6809" s="564">
        <f>SUM(D6794:D6808)</f>
        <v>1924331450</v>
      </c>
      <c r="E6809" s="564">
        <f t="shared" ref="E6809:G6809" si="398">SUM(E6794:E6808)</f>
        <v>308844164</v>
      </c>
      <c r="F6809" s="564">
        <f t="shared" si="398"/>
        <v>0</v>
      </c>
      <c r="G6809" s="564">
        <f t="shared" si="398"/>
        <v>2233175614</v>
      </c>
      <c r="H6809" s="532"/>
      <c r="I6809" s="532"/>
      <c r="J6809" s="532"/>
    </row>
    <row r="6810" spans="1:10" x14ac:dyDescent="0.25">
      <c r="A6810" s="362"/>
      <c r="B6810" s="611">
        <v>44545</v>
      </c>
      <c r="C6810" s="362" t="s">
        <v>86</v>
      </c>
      <c r="D6810" s="562">
        <v>135432800</v>
      </c>
      <c r="E6810" s="562">
        <v>15953730</v>
      </c>
      <c r="F6810" s="562"/>
      <c r="G6810" s="562">
        <f t="shared" si="397"/>
        <v>151386530</v>
      </c>
      <c r="H6810" s="362"/>
      <c r="I6810" s="362"/>
      <c r="J6810" s="362"/>
    </row>
    <row r="6811" spans="1:10" x14ac:dyDescent="0.25">
      <c r="A6811" s="362"/>
      <c r="B6811" s="611">
        <v>44545</v>
      </c>
      <c r="C6811" s="362" t="s">
        <v>87</v>
      </c>
      <c r="D6811" s="562">
        <v>54342281</v>
      </c>
      <c r="E6811" s="562">
        <v>66336618</v>
      </c>
      <c r="F6811" s="562"/>
      <c r="G6811" s="562">
        <f t="shared" si="397"/>
        <v>120678899</v>
      </c>
      <c r="H6811" s="362"/>
      <c r="I6811" s="362"/>
      <c r="J6811" s="362"/>
    </row>
    <row r="6812" spans="1:10" x14ac:dyDescent="0.25">
      <c r="A6812" s="362"/>
      <c r="B6812" s="611">
        <v>44545</v>
      </c>
      <c r="C6812" s="362" t="s">
        <v>88</v>
      </c>
      <c r="D6812" s="562">
        <v>191885431</v>
      </c>
      <c r="E6812" s="562">
        <v>72625302</v>
      </c>
      <c r="F6812" s="562"/>
      <c r="G6812" s="562">
        <f t="shared" si="397"/>
        <v>264510733</v>
      </c>
      <c r="H6812" s="362"/>
      <c r="I6812" s="362"/>
      <c r="J6812" s="362"/>
    </row>
    <row r="6813" spans="1:10" x14ac:dyDescent="0.25">
      <c r="A6813" s="362"/>
      <c r="B6813" s="611">
        <v>44545</v>
      </c>
      <c r="C6813" s="362" t="s">
        <v>82</v>
      </c>
      <c r="D6813" s="562">
        <v>113903181</v>
      </c>
      <c r="E6813" s="562">
        <v>2379350</v>
      </c>
      <c r="F6813" s="562"/>
      <c r="G6813" s="562">
        <f t="shared" si="397"/>
        <v>116282531</v>
      </c>
      <c r="H6813" s="362"/>
      <c r="I6813" s="362"/>
      <c r="J6813" s="362"/>
    </row>
    <row r="6814" spans="1:10" x14ac:dyDescent="0.25">
      <c r="A6814" s="362"/>
      <c r="B6814" s="611">
        <v>44545</v>
      </c>
      <c r="C6814" s="362" t="s">
        <v>80</v>
      </c>
      <c r="D6814" s="562">
        <v>350858681</v>
      </c>
      <c r="E6814" s="562">
        <v>11596000</v>
      </c>
      <c r="F6814" s="562"/>
      <c r="G6814" s="562">
        <f t="shared" si="397"/>
        <v>362454681</v>
      </c>
      <c r="H6814" s="362"/>
      <c r="I6814" s="362"/>
      <c r="J6814" s="362"/>
    </row>
    <row r="6815" spans="1:10" x14ac:dyDescent="0.25">
      <c r="A6815" s="362"/>
      <c r="B6815" s="611">
        <v>44545</v>
      </c>
      <c r="C6815" s="362" t="s">
        <v>83</v>
      </c>
      <c r="D6815" s="562">
        <v>127826216</v>
      </c>
      <c r="E6815" s="562">
        <v>172535638</v>
      </c>
      <c r="F6815" s="562"/>
      <c r="G6815" s="562">
        <f t="shared" si="397"/>
        <v>300361854</v>
      </c>
      <c r="H6815" s="362"/>
      <c r="I6815" s="362"/>
      <c r="J6815" s="362"/>
    </row>
    <row r="6816" spans="1:10" x14ac:dyDescent="0.25">
      <c r="A6816" s="362"/>
      <c r="B6816" s="611">
        <v>44545</v>
      </c>
      <c r="C6816" s="362" t="s">
        <v>78</v>
      </c>
      <c r="D6816" s="562">
        <v>96025392</v>
      </c>
      <c r="E6816" s="562">
        <v>12758908</v>
      </c>
      <c r="F6816" s="562"/>
      <c r="G6816" s="562">
        <f t="shared" si="397"/>
        <v>108784300</v>
      </c>
      <c r="H6816" s="362"/>
      <c r="I6816" s="362"/>
      <c r="J6816" s="362"/>
    </row>
    <row r="6817" spans="1:10" x14ac:dyDescent="0.25">
      <c r="A6817" s="362"/>
      <c r="B6817" s="611">
        <v>44545</v>
      </c>
      <c r="C6817" s="362" t="s">
        <v>141</v>
      </c>
      <c r="D6817" s="562">
        <v>76679306</v>
      </c>
      <c r="E6817" s="562"/>
      <c r="F6817" s="562"/>
      <c r="G6817" s="562">
        <f t="shared" si="397"/>
        <v>76679306</v>
      </c>
      <c r="H6817" s="362"/>
      <c r="I6817" s="362"/>
      <c r="J6817" s="362"/>
    </row>
    <row r="6818" spans="1:10" x14ac:dyDescent="0.25">
      <c r="A6818" s="362"/>
      <c r="B6818" s="611">
        <v>44545</v>
      </c>
      <c r="C6818" s="362" t="s">
        <v>89</v>
      </c>
      <c r="D6818" s="562">
        <v>103942103</v>
      </c>
      <c r="E6818" s="562">
        <v>72649397</v>
      </c>
      <c r="F6818" s="562"/>
      <c r="G6818" s="562">
        <f t="shared" si="397"/>
        <v>176591500</v>
      </c>
      <c r="H6818" s="362"/>
      <c r="I6818" s="362"/>
      <c r="J6818" s="362"/>
    </row>
    <row r="6819" spans="1:10" x14ac:dyDescent="0.25">
      <c r="A6819" s="362"/>
      <c r="B6819" s="611">
        <v>44545</v>
      </c>
      <c r="C6819" s="362" t="s">
        <v>81</v>
      </c>
      <c r="D6819" s="562">
        <v>125439309</v>
      </c>
      <c r="E6819" s="562">
        <v>12177033</v>
      </c>
      <c r="F6819" s="562"/>
      <c r="G6819" s="562">
        <f t="shared" si="397"/>
        <v>137616342</v>
      </c>
      <c r="H6819" s="362"/>
      <c r="I6819" s="362"/>
      <c r="J6819" s="362"/>
    </row>
    <row r="6820" spans="1:10" x14ac:dyDescent="0.25">
      <c r="A6820" s="362"/>
      <c r="B6820" s="611">
        <v>44545</v>
      </c>
      <c r="C6820" s="362" t="s">
        <v>84</v>
      </c>
      <c r="D6820" s="562">
        <v>303622877</v>
      </c>
      <c r="E6820" s="562">
        <v>11249931</v>
      </c>
      <c r="F6820" s="562"/>
      <c r="G6820" s="562">
        <f t="shared" si="397"/>
        <v>314872808</v>
      </c>
      <c r="H6820" s="362"/>
      <c r="I6820" s="362"/>
      <c r="J6820" s="362"/>
    </row>
    <row r="6821" spans="1:10" x14ac:dyDescent="0.25">
      <c r="A6821" s="362"/>
      <c r="B6821" s="611">
        <v>44545</v>
      </c>
      <c r="C6821" s="362" t="s">
        <v>4751</v>
      </c>
      <c r="D6821" s="562">
        <v>187989333</v>
      </c>
      <c r="E6821" s="562">
        <v>6431467</v>
      </c>
      <c r="F6821" s="562"/>
      <c r="G6821" s="562">
        <f t="shared" si="397"/>
        <v>194420800</v>
      </c>
      <c r="H6821" s="362"/>
      <c r="I6821" s="362"/>
      <c r="J6821" s="362"/>
    </row>
    <row r="6822" spans="1:10" x14ac:dyDescent="0.25">
      <c r="A6822" s="362"/>
      <c r="B6822" s="611">
        <v>44545</v>
      </c>
      <c r="C6822" s="362" t="s">
        <v>166</v>
      </c>
      <c r="D6822" s="562">
        <v>62429857</v>
      </c>
      <c r="E6822" s="562"/>
      <c r="F6822" s="562"/>
      <c r="G6822" s="562">
        <f t="shared" si="397"/>
        <v>62429857</v>
      </c>
      <c r="H6822" s="362"/>
      <c r="I6822" s="362"/>
      <c r="J6822" s="362"/>
    </row>
    <row r="6823" spans="1:10" x14ac:dyDescent="0.25">
      <c r="A6823" s="362"/>
      <c r="B6823" s="611">
        <v>44545</v>
      </c>
      <c r="C6823" s="362" t="s">
        <v>3435</v>
      </c>
      <c r="D6823" s="562">
        <v>44533918</v>
      </c>
      <c r="E6823" s="562"/>
      <c r="F6823" s="562"/>
      <c r="G6823" s="562">
        <f t="shared" si="397"/>
        <v>44533918</v>
      </c>
      <c r="H6823" s="562"/>
      <c r="I6823" s="562"/>
      <c r="J6823" s="562"/>
    </row>
    <row r="6824" spans="1:10" x14ac:dyDescent="0.25">
      <c r="A6824" s="362"/>
      <c r="B6824" s="611">
        <v>44545</v>
      </c>
      <c r="C6824" s="370" t="s">
        <v>85</v>
      </c>
      <c r="D6824" s="562">
        <v>44842900</v>
      </c>
      <c r="E6824" s="562"/>
      <c r="F6824" s="562"/>
      <c r="G6824" s="562">
        <f t="shared" si="397"/>
        <v>44842900</v>
      </c>
      <c r="H6824" s="562"/>
      <c r="I6824" s="562"/>
      <c r="J6824" s="562"/>
    </row>
    <row r="6825" spans="1:10" x14ac:dyDescent="0.25">
      <c r="A6825" s="532"/>
      <c r="B6825" s="532"/>
      <c r="C6825" s="532"/>
      <c r="D6825" s="564">
        <f>SUM(D6810:D6824)</f>
        <v>2019753585</v>
      </c>
      <c r="E6825" s="564">
        <f t="shared" ref="E6825:G6825" si="399">SUM(E6810:E6824)</f>
        <v>456693374</v>
      </c>
      <c r="F6825" s="564">
        <f t="shared" si="399"/>
        <v>0</v>
      </c>
      <c r="G6825" s="564">
        <f t="shared" si="399"/>
        <v>2476446959</v>
      </c>
      <c r="H6825" s="564"/>
      <c r="I6825" s="564"/>
      <c r="J6825" s="564"/>
    </row>
    <row r="6826" spans="1:10" x14ac:dyDescent="0.25">
      <c r="A6826" s="362"/>
      <c r="B6826" s="611">
        <v>44546</v>
      </c>
      <c r="C6826" s="362" t="s">
        <v>86</v>
      </c>
      <c r="D6826" s="562">
        <v>59093069</v>
      </c>
      <c r="E6826" s="562">
        <v>35302237</v>
      </c>
      <c r="F6826" s="562"/>
      <c r="G6826" s="562">
        <f t="shared" si="397"/>
        <v>94395306</v>
      </c>
      <c r="H6826" s="562"/>
      <c r="I6826" s="562"/>
      <c r="J6826" s="562"/>
    </row>
    <row r="6827" spans="1:10" x14ac:dyDescent="0.25">
      <c r="A6827" s="362"/>
      <c r="B6827" s="611">
        <v>44546</v>
      </c>
      <c r="C6827" s="362" t="s">
        <v>87</v>
      </c>
      <c r="D6827" s="562">
        <v>55695505</v>
      </c>
      <c r="E6827" s="562">
        <v>44417997</v>
      </c>
      <c r="F6827" s="562"/>
      <c r="G6827" s="562">
        <f t="shared" si="397"/>
        <v>100113502</v>
      </c>
      <c r="H6827" s="562"/>
      <c r="I6827" s="562"/>
      <c r="J6827" s="562"/>
    </row>
    <row r="6828" spans="1:10" x14ac:dyDescent="0.25">
      <c r="A6828" s="362"/>
      <c r="B6828" s="611">
        <v>44546</v>
      </c>
      <c r="C6828" s="362" t="s">
        <v>88</v>
      </c>
      <c r="D6828" s="562">
        <v>236661534</v>
      </c>
      <c r="E6828" s="562">
        <v>27687429</v>
      </c>
      <c r="F6828" s="562"/>
      <c r="G6828" s="562">
        <f t="shared" si="397"/>
        <v>264348963</v>
      </c>
      <c r="H6828" s="562"/>
      <c r="I6828" s="562"/>
      <c r="J6828" s="562"/>
    </row>
    <row r="6829" spans="1:10" x14ac:dyDescent="0.25">
      <c r="A6829" s="362"/>
      <c r="B6829" s="611">
        <v>44546</v>
      </c>
      <c r="C6829" s="362" t="s">
        <v>82</v>
      </c>
      <c r="D6829" s="562">
        <v>109032751</v>
      </c>
      <c r="E6829" s="562">
        <v>2879670</v>
      </c>
      <c r="F6829" s="562"/>
      <c r="G6829" s="562">
        <f t="shared" si="397"/>
        <v>111912421</v>
      </c>
      <c r="H6829" s="362"/>
      <c r="I6829" s="362"/>
      <c r="J6829" s="362"/>
    </row>
    <row r="6830" spans="1:10" x14ac:dyDescent="0.25">
      <c r="A6830" s="362"/>
      <c r="B6830" s="611">
        <v>44546</v>
      </c>
      <c r="C6830" s="362" t="s">
        <v>80</v>
      </c>
      <c r="D6830" s="562">
        <v>332778092</v>
      </c>
      <c r="E6830" s="562">
        <v>6702707</v>
      </c>
      <c r="F6830" s="562"/>
      <c r="G6830" s="562">
        <f t="shared" si="397"/>
        <v>339480799</v>
      </c>
      <c r="H6830" s="362"/>
      <c r="I6830" s="362"/>
      <c r="J6830" s="362"/>
    </row>
    <row r="6831" spans="1:10" x14ac:dyDescent="0.25">
      <c r="A6831" s="362"/>
      <c r="B6831" s="611">
        <v>44546</v>
      </c>
      <c r="C6831" s="362" t="s">
        <v>83</v>
      </c>
      <c r="D6831" s="562">
        <v>102440391</v>
      </c>
      <c r="E6831" s="562">
        <v>103684509</v>
      </c>
      <c r="F6831" s="562"/>
      <c r="G6831" s="562">
        <f t="shared" si="397"/>
        <v>206124900</v>
      </c>
      <c r="H6831" s="362"/>
      <c r="I6831" s="362"/>
      <c r="J6831" s="362"/>
    </row>
    <row r="6832" spans="1:10" x14ac:dyDescent="0.25">
      <c r="A6832" s="362"/>
      <c r="B6832" s="611">
        <v>44546</v>
      </c>
      <c r="C6832" s="362" t="s">
        <v>78</v>
      </c>
      <c r="D6832" s="562">
        <v>124651017</v>
      </c>
      <c r="E6832" s="562">
        <v>1509583</v>
      </c>
      <c r="F6832" s="562"/>
      <c r="G6832" s="562">
        <f t="shared" si="397"/>
        <v>126160600</v>
      </c>
      <c r="H6832" s="362"/>
      <c r="I6832" s="362"/>
      <c r="J6832" s="362"/>
    </row>
    <row r="6833" spans="1:10" x14ac:dyDescent="0.25">
      <c r="A6833" s="362"/>
      <c r="B6833" s="611">
        <v>44546</v>
      </c>
      <c r="C6833" s="362" t="s">
        <v>141</v>
      </c>
      <c r="D6833" s="562">
        <v>69888169</v>
      </c>
      <c r="E6833" s="562">
        <v>561800</v>
      </c>
      <c r="F6833" s="562"/>
      <c r="G6833" s="562">
        <f t="shared" si="397"/>
        <v>70449969</v>
      </c>
      <c r="H6833" s="362"/>
      <c r="I6833" s="362"/>
      <c r="J6833" s="362"/>
    </row>
    <row r="6834" spans="1:10" x14ac:dyDescent="0.25">
      <c r="A6834" s="362"/>
      <c r="B6834" s="611">
        <v>44546</v>
      </c>
      <c r="C6834" s="362" t="s">
        <v>89</v>
      </c>
      <c r="D6834" s="562">
        <v>151421385</v>
      </c>
      <c r="E6834" s="562">
        <v>31153615</v>
      </c>
      <c r="F6834" s="562"/>
      <c r="G6834" s="562">
        <f t="shared" si="397"/>
        <v>182575000</v>
      </c>
      <c r="H6834" s="362"/>
      <c r="I6834" s="362"/>
      <c r="J6834" s="362"/>
    </row>
    <row r="6835" spans="1:10" x14ac:dyDescent="0.25">
      <c r="A6835" s="362"/>
      <c r="B6835" s="611">
        <v>44546</v>
      </c>
      <c r="C6835" s="362" t="s">
        <v>81</v>
      </c>
      <c r="D6835" s="562">
        <v>79275063</v>
      </c>
      <c r="E6835" s="562">
        <v>9473581</v>
      </c>
      <c r="F6835" s="562"/>
      <c r="G6835" s="562">
        <f t="shared" si="397"/>
        <v>88748644</v>
      </c>
      <c r="H6835" s="362"/>
      <c r="I6835" s="362"/>
      <c r="J6835" s="362"/>
    </row>
    <row r="6836" spans="1:10" x14ac:dyDescent="0.25">
      <c r="A6836" s="362"/>
      <c r="B6836" s="611">
        <v>44546</v>
      </c>
      <c r="C6836" s="362" t="s">
        <v>84</v>
      </c>
      <c r="D6836" s="562">
        <v>261901898</v>
      </c>
      <c r="E6836" s="562">
        <v>14900269</v>
      </c>
      <c r="F6836" s="562"/>
      <c r="G6836" s="562">
        <f t="shared" si="397"/>
        <v>276802167</v>
      </c>
      <c r="H6836" s="362"/>
      <c r="I6836" s="362"/>
      <c r="J6836" s="362"/>
    </row>
    <row r="6837" spans="1:10" x14ac:dyDescent="0.25">
      <c r="A6837" s="362"/>
      <c r="B6837" s="611">
        <v>44546</v>
      </c>
      <c r="C6837" s="362" t="s">
        <v>4751</v>
      </c>
      <c r="D6837" s="562">
        <v>226912773</v>
      </c>
      <c r="E6837" s="562">
        <v>5698027</v>
      </c>
      <c r="F6837" s="562"/>
      <c r="G6837" s="562">
        <f t="shared" si="397"/>
        <v>232610800</v>
      </c>
      <c r="H6837" s="362"/>
      <c r="I6837" s="362"/>
      <c r="J6837" s="362"/>
    </row>
    <row r="6838" spans="1:10" x14ac:dyDescent="0.25">
      <c r="A6838" s="362"/>
      <c r="B6838" s="611">
        <v>44546</v>
      </c>
      <c r="C6838" s="362" t="s">
        <v>166</v>
      </c>
      <c r="D6838" s="562">
        <v>62640851</v>
      </c>
      <c r="E6838" s="562"/>
      <c r="F6838" s="562"/>
      <c r="G6838" s="562">
        <f t="shared" si="397"/>
        <v>62640851</v>
      </c>
      <c r="H6838" s="362"/>
      <c r="I6838" s="362"/>
      <c r="J6838" s="362"/>
    </row>
    <row r="6839" spans="1:10" x14ac:dyDescent="0.25">
      <c r="A6839" s="362"/>
      <c r="B6839" s="611">
        <v>44546</v>
      </c>
      <c r="C6839" s="362" t="s">
        <v>3435</v>
      </c>
      <c r="D6839" s="562">
        <v>59846766</v>
      </c>
      <c r="E6839" s="562"/>
      <c r="F6839" s="562"/>
      <c r="G6839" s="562">
        <f t="shared" si="397"/>
        <v>59846766</v>
      </c>
      <c r="H6839" s="362"/>
      <c r="I6839" s="362"/>
      <c r="J6839" s="362"/>
    </row>
    <row r="6840" spans="1:10" x14ac:dyDescent="0.25">
      <c r="A6840" s="362"/>
      <c r="B6840" s="611">
        <v>44546</v>
      </c>
      <c r="C6840" s="370" t="s">
        <v>85</v>
      </c>
      <c r="D6840" s="562">
        <v>30776800</v>
      </c>
      <c r="E6840" s="562"/>
      <c r="F6840" s="562"/>
      <c r="G6840" s="562">
        <f t="shared" si="397"/>
        <v>30776800</v>
      </c>
      <c r="H6840" s="362"/>
      <c r="I6840" s="362"/>
      <c r="J6840" s="362"/>
    </row>
    <row r="6841" spans="1:10" x14ac:dyDescent="0.25">
      <c r="A6841" s="532"/>
      <c r="B6841" s="532"/>
      <c r="C6841" s="532"/>
      <c r="D6841" s="564">
        <f>SUM(D6826:D6840)</f>
        <v>1963016064</v>
      </c>
      <c r="E6841" s="564">
        <f t="shared" ref="E6841:G6841" si="400">SUM(E6826:E6840)</f>
        <v>283971424</v>
      </c>
      <c r="F6841" s="564">
        <f t="shared" si="400"/>
        <v>0</v>
      </c>
      <c r="G6841" s="564">
        <f t="shared" si="400"/>
        <v>2246987488</v>
      </c>
      <c r="H6841" s="532"/>
      <c r="I6841" s="532"/>
      <c r="J6841" s="532"/>
    </row>
    <row r="6842" spans="1:10" x14ac:dyDescent="0.25">
      <c r="A6842" s="362"/>
      <c r="B6842" s="611">
        <v>44547</v>
      </c>
      <c r="C6842" s="362" t="s">
        <v>86</v>
      </c>
      <c r="D6842" s="562">
        <v>39756299</v>
      </c>
      <c r="E6842" s="562">
        <v>34321904</v>
      </c>
      <c r="F6842" s="562">
        <v>74078200</v>
      </c>
      <c r="G6842" s="562">
        <f t="shared" si="397"/>
        <v>3</v>
      </c>
      <c r="H6842" s="362"/>
      <c r="I6842" s="362"/>
      <c r="J6842" s="362"/>
    </row>
    <row r="6843" spans="1:10" x14ac:dyDescent="0.25">
      <c r="A6843" s="362"/>
      <c r="B6843" s="611">
        <v>44547</v>
      </c>
      <c r="C6843" s="362" t="s">
        <v>87</v>
      </c>
      <c r="D6843" s="562">
        <v>100479532</v>
      </c>
      <c r="E6843" s="562">
        <v>72138414</v>
      </c>
      <c r="F6843" s="562">
        <v>172618000</v>
      </c>
      <c r="G6843" s="562">
        <f t="shared" si="397"/>
        <v>-54</v>
      </c>
      <c r="H6843" s="362"/>
      <c r="I6843" s="362"/>
      <c r="J6843" s="362"/>
    </row>
    <row r="6844" spans="1:10" x14ac:dyDescent="0.25">
      <c r="A6844" s="362"/>
      <c r="B6844" s="611">
        <v>44547</v>
      </c>
      <c r="C6844" s="362" t="s">
        <v>88</v>
      </c>
      <c r="D6844" s="562">
        <v>103099821</v>
      </c>
      <c r="E6844" s="562">
        <v>39358095</v>
      </c>
      <c r="F6844" s="562">
        <v>142458000</v>
      </c>
      <c r="G6844" s="562">
        <f t="shared" si="397"/>
        <v>-84</v>
      </c>
      <c r="H6844" s="362"/>
      <c r="I6844" s="362"/>
      <c r="J6844" s="362"/>
    </row>
    <row r="6845" spans="1:10" x14ac:dyDescent="0.25">
      <c r="A6845" s="362"/>
      <c r="B6845" s="611">
        <v>44547</v>
      </c>
      <c r="C6845" s="362" t="s">
        <v>82</v>
      </c>
      <c r="D6845" s="562">
        <v>152953612</v>
      </c>
      <c r="E6845" s="562">
        <v>3631540</v>
      </c>
      <c r="F6845" s="562">
        <v>156585200</v>
      </c>
      <c r="G6845" s="562">
        <f t="shared" si="397"/>
        <v>-48</v>
      </c>
      <c r="H6845" s="362"/>
      <c r="I6845" s="362"/>
      <c r="J6845" s="362"/>
    </row>
    <row r="6846" spans="1:10" x14ac:dyDescent="0.25">
      <c r="A6846" s="362"/>
      <c r="B6846" s="611">
        <v>44547</v>
      </c>
      <c r="C6846" s="362" t="s">
        <v>80</v>
      </c>
      <c r="D6846" s="562">
        <v>221972834</v>
      </c>
      <c r="E6846" s="562">
        <v>92044466</v>
      </c>
      <c r="F6846" s="562">
        <v>314017300</v>
      </c>
      <c r="G6846" s="562">
        <f t="shared" si="397"/>
        <v>0</v>
      </c>
      <c r="H6846" s="362"/>
      <c r="I6846" s="362"/>
      <c r="J6846" s="362"/>
    </row>
    <row r="6847" spans="1:10" x14ac:dyDescent="0.25">
      <c r="A6847" s="362"/>
      <c r="B6847" s="611">
        <v>44547</v>
      </c>
      <c r="C6847" s="362" t="s">
        <v>83</v>
      </c>
      <c r="D6847" s="562">
        <v>131877977</v>
      </c>
      <c r="E6847" s="562">
        <v>11933182</v>
      </c>
      <c r="F6847" s="562">
        <v>143811200</v>
      </c>
      <c r="G6847" s="562">
        <f t="shared" si="397"/>
        <v>-41</v>
      </c>
      <c r="H6847" s="362"/>
      <c r="I6847" s="362"/>
      <c r="J6847" s="362"/>
    </row>
    <row r="6848" spans="1:10" x14ac:dyDescent="0.25">
      <c r="A6848" s="362"/>
      <c r="B6848" s="611">
        <v>44547</v>
      </c>
      <c r="C6848" s="362" t="s">
        <v>78</v>
      </c>
      <c r="D6848" s="562">
        <v>116726381</v>
      </c>
      <c r="E6848" s="562">
        <v>3311219</v>
      </c>
      <c r="F6848" s="562">
        <v>120037600</v>
      </c>
      <c r="G6848" s="562">
        <f t="shared" si="397"/>
        <v>0</v>
      </c>
      <c r="H6848" s="362"/>
      <c r="I6848" s="362"/>
      <c r="J6848" s="362"/>
    </row>
    <row r="6849" spans="1:10" x14ac:dyDescent="0.25">
      <c r="A6849" s="362"/>
      <c r="B6849" s="611">
        <v>44547</v>
      </c>
      <c r="C6849" s="362" t="s">
        <v>141</v>
      </c>
      <c r="D6849" s="562">
        <v>72878976</v>
      </c>
      <c r="E6849" s="562">
        <v>307735</v>
      </c>
      <c r="F6849" s="562">
        <v>73186800</v>
      </c>
      <c r="G6849" s="562">
        <f t="shared" si="397"/>
        <v>-89</v>
      </c>
      <c r="H6849" s="362"/>
      <c r="I6849" s="362"/>
      <c r="J6849" s="362"/>
    </row>
    <row r="6850" spans="1:10" x14ac:dyDescent="0.25">
      <c r="A6850" s="362"/>
      <c r="B6850" s="611">
        <v>44547</v>
      </c>
      <c r="C6850" s="362" t="s">
        <v>89</v>
      </c>
      <c r="D6850" s="562">
        <v>130303436</v>
      </c>
      <c r="E6850" s="562">
        <v>23280264</v>
      </c>
      <c r="F6850" s="562">
        <v>153583700</v>
      </c>
      <c r="G6850" s="562">
        <f t="shared" si="397"/>
        <v>0</v>
      </c>
      <c r="H6850" s="362"/>
      <c r="I6850" s="362"/>
      <c r="J6850" s="362"/>
    </row>
    <row r="6851" spans="1:10" x14ac:dyDescent="0.25">
      <c r="A6851" s="362"/>
      <c r="B6851" s="611">
        <v>44547</v>
      </c>
      <c r="C6851" s="362" t="s">
        <v>81</v>
      </c>
      <c r="D6851" s="562">
        <v>56671743</v>
      </c>
      <c r="E6851" s="562">
        <v>9090867</v>
      </c>
      <c r="F6851" s="562">
        <v>65762600</v>
      </c>
      <c r="G6851" s="562">
        <f t="shared" si="397"/>
        <v>10</v>
      </c>
      <c r="H6851" s="362"/>
      <c r="I6851" s="362"/>
      <c r="J6851" s="362"/>
    </row>
    <row r="6852" spans="1:10" x14ac:dyDescent="0.25">
      <c r="A6852" s="362"/>
      <c r="B6852" s="611">
        <v>44547</v>
      </c>
      <c r="C6852" s="362" t="s">
        <v>84</v>
      </c>
      <c r="D6852" s="562">
        <v>309993291</v>
      </c>
      <c r="E6852" s="562">
        <v>42999104</v>
      </c>
      <c r="F6852" s="562">
        <v>352992400</v>
      </c>
      <c r="G6852" s="562">
        <f t="shared" si="397"/>
        <v>-5</v>
      </c>
      <c r="H6852" s="362"/>
      <c r="I6852" s="362"/>
      <c r="J6852" s="362"/>
    </row>
    <row r="6853" spans="1:10" x14ac:dyDescent="0.25">
      <c r="A6853" s="362"/>
      <c r="B6853" s="611">
        <v>44547</v>
      </c>
      <c r="C6853" s="362" t="s">
        <v>4751</v>
      </c>
      <c r="D6853" s="562">
        <v>197925553</v>
      </c>
      <c r="E6853" s="562">
        <v>17395047</v>
      </c>
      <c r="F6853" s="562">
        <v>215320600</v>
      </c>
      <c r="G6853" s="562">
        <f t="shared" si="397"/>
        <v>0</v>
      </c>
      <c r="H6853" s="362"/>
      <c r="I6853" s="362"/>
      <c r="J6853" s="362"/>
    </row>
    <row r="6854" spans="1:10" x14ac:dyDescent="0.25">
      <c r="A6854" s="362"/>
      <c r="B6854" s="611">
        <v>44547</v>
      </c>
      <c r="C6854" s="362" t="s">
        <v>166</v>
      </c>
      <c r="D6854" s="562">
        <v>50089619</v>
      </c>
      <c r="E6854" s="562"/>
      <c r="F6854" s="562">
        <v>50089700</v>
      </c>
      <c r="G6854" s="562">
        <f t="shared" si="397"/>
        <v>-81</v>
      </c>
      <c r="H6854" s="362"/>
      <c r="I6854" s="362"/>
      <c r="J6854" s="362"/>
    </row>
    <row r="6855" spans="1:10" x14ac:dyDescent="0.25">
      <c r="A6855" s="362"/>
      <c r="B6855" s="611">
        <v>44547</v>
      </c>
      <c r="C6855" s="362" t="s">
        <v>3435</v>
      </c>
      <c r="D6855" s="562">
        <v>80318345</v>
      </c>
      <c r="E6855" s="562"/>
      <c r="F6855" s="562">
        <v>80318400</v>
      </c>
      <c r="G6855" s="562">
        <f t="shared" si="397"/>
        <v>-55</v>
      </c>
      <c r="H6855" s="362"/>
      <c r="I6855" s="362"/>
      <c r="J6855" s="362"/>
    </row>
    <row r="6856" spans="1:10" x14ac:dyDescent="0.25">
      <c r="A6856" s="362"/>
      <c r="B6856" s="611">
        <v>44547</v>
      </c>
      <c r="C6856" s="370" t="s">
        <v>85</v>
      </c>
      <c r="D6856" s="562">
        <v>33732400</v>
      </c>
      <c r="E6856" s="562"/>
      <c r="F6856" s="562">
        <v>33732400</v>
      </c>
      <c r="G6856" s="562">
        <f t="shared" si="397"/>
        <v>0</v>
      </c>
      <c r="H6856" s="362"/>
      <c r="I6856" s="362"/>
      <c r="J6856" s="362"/>
    </row>
    <row r="6857" spans="1:10" x14ac:dyDescent="0.25">
      <c r="A6857" s="532"/>
      <c r="B6857" s="532"/>
      <c r="C6857" s="532"/>
      <c r="D6857" s="564">
        <f>SUM(D6842:D6856)</f>
        <v>1798779819</v>
      </c>
      <c r="E6857" s="564">
        <f t="shared" ref="E6857:G6857" si="401">SUM(E6842:E6856)</f>
        <v>349811837</v>
      </c>
      <c r="F6857" s="564">
        <f t="shared" si="401"/>
        <v>2148592100</v>
      </c>
      <c r="G6857" s="564">
        <f t="shared" si="401"/>
        <v>-444</v>
      </c>
      <c r="H6857" s="532"/>
      <c r="I6857" s="532"/>
      <c r="J6857" s="532"/>
    </row>
    <row r="6858" spans="1:10" x14ac:dyDescent="0.25">
      <c r="A6858" s="362"/>
      <c r="B6858" s="611">
        <v>44548</v>
      </c>
      <c r="C6858" s="362" t="s">
        <v>86</v>
      </c>
      <c r="D6858" s="562">
        <v>39287375</v>
      </c>
      <c r="E6858" s="562">
        <v>99770120</v>
      </c>
      <c r="F6858" s="562"/>
      <c r="G6858" s="562">
        <f t="shared" si="397"/>
        <v>139057495</v>
      </c>
      <c r="H6858" s="362"/>
      <c r="I6858" s="362"/>
      <c r="J6858" s="362"/>
    </row>
    <row r="6859" spans="1:10" x14ac:dyDescent="0.25">
      <c r="A6859" s="362"/>
      <c r="B6859" s="611">
        <v>44548</v>
      </c>
      <c r="C6859" s="362" t="s">
        <v>87</v>
      </c>
      <c r="D6859" s="562">
        <v>40522383</v>
      </c>
      <c r="E6859" s="562">
        <v>121253677</v>
      </c>
      <c r="F6859" s="562"/>
      <c r="G6859" s="562">
        <f t="shared" si="397"/>
        <v>161776060</v>
      </c>
      <c r="H6859" s="362"/>
      <c r="I6859" s="362"/>
      <c r="J6859" s="362"/>
    </row>
    <row r="6860" spans="1:10" x14ac:dyDescent="0.25">
      <c r="A6860" s="362"/>
      <c r="B6860" s="611">
        <v>44548</v>
      </c>
      <c r="C6860" s="362" t="s">
        <v>88</v>
      </c>
      <c r="D6860" s="562">
        <v>85432282</v>
      </c>
      <c r="E6860" s="562">
        <v>19430659</v>
      </c>
      <c r="F6860" s="562"/>
      <c r="G6860" s="562">
        <f t="shared" ref="G6860:G6923" si="402">D6860+E6860-F6860</f>
        <v>104862941</v>
      </c>
      <c r="H6860" s="362"/>
      <c r="I6860" s="362"/>
      <c r="J6860" s="362"/>
    </row>
    <row r="6861" spans="1:10" x14ac:dyDescent="0.25">
      <c r="A6861" s="362"/>
      <c r="B6861" s="611">
        <v>44548</v>
      </c>
      <c r="C6861" s="362" t="s">
        <v>82</v>
      </c>
      <c r="D6861" s="562">
        <v>76179868</v>
      </c>
      <c r="E6861" s="562">
        <v>32611900</v>
      </c>
      <c r="F6861" s="562"/>
      <c r="G6861" s="562">
        <f t="shared" si="402"/>
        <v>108791768</v>
      </c>
      <c r="H6861" s="362"/>
      <c r="I6861" s="362"/>
      <c r="J6861" s="362"/>
    </row>
    <row r="6862" spans="1:10" x14ac:dyDescent="0.25">
      <c r="A6862" s="362"/>
      <c r="B6862" s="611">
        <v>44548</v>
      </c>
      <c r="C6862" s="362" t="s">
        <v>80</v>
      </c>
      <c r="D6862" s="562">
        <v>270864873</v>
      </c>
      <c r="E6862" s="562">
        <v>432555</v>
      </c>
      <c r="F6862" s="562"/>
      <c r="G6862" s="562">
        <f t="shared" si="402"/>
        <v>271297428</v>
      </c>
      <c r="H6862" s="362"/>
      <c r="I6862" s="362"/>
      <c r="J6862" s="362"/>
    </row>
    <row r="6863" spans="1:10" x14ac:dyDescent="0.25">
      <c r="A6863" s="362"/>
      <c r="B6863" s="611">
        <v>44548</v>
      </c>
      <c r="C6863" s="362" t="s">
        <v>83</v>
      </c>
      <c r="D6863" s="562">
        <v>116719026</v>
      </c>
      <c r="E6863" s="562">
        <v>18060654</v>
      </c>
      <c r="F6863" s="562"/>
      <c r="G6863" s="562">
        <f t="shared" si="402"/>
        <v>134779680</v>
      </c>
      <c r="H6863" s="362"/>
      <c r="I6863" s="362"/>
      <c r="J6863" s="362"/>
    </row>
    <row r="6864" spans="1:10" x14ac:dyDescent="0.25">
      <c r="A6864" s="362"/>
      <c r="B6864" s="611">
        <v>44548</v>
      </c>
      <c r="C6864" s="362" t="s">
        <v>78</v>
      </c>
      <c r="D6864" s="562">
        <v>145713508</v>
      </c>
      <c r="E6864" s="562">
        <v>10488492</v>
      </c>
      <c r="F6864" s="562"/>
      <c r="G6864" s="562">
        <f t="shared" si="402"/>
        <v>156202000</v>
      </c>
      <c r="H6864" s="362"/>
      <c r="I6864" s="362"/>
      <c r="J6864" s="362"/>
    </row>
    <row r="6865" spans="1:10" x14ac:dyDescent="0.25">
      <c r="A6865" s="362"/>
      <c r="B6865" s="611">
        <v>44548</v>
      </c>
      <c r="C6865" s="362" t="s">
        <v>141</v>
      </c>
      <c r="D6865" s="562">
        <v>66700360</v>
      </c>
      <c r="E6865" s="562"/>
      <c r="F6865" s="562"/>
      <c r="G6865" s="562">
        <f t="shared" si="402"/>
        <v>66700360</v>
      </c>
      <c r="H6865" s="362"/>
      <c r="I6865" s="362"/>
      <c r="J6865" s="362"/>
    </row>
    <row r="6866" spans="1:10" x14ac:dyDescent="0.25">
      <c r="A6866" s="362"/>
      <c r="B6866" s="611">
        <v>44548</v>
      </c>
      <c r="C6866" s="362" t="s">
        <v>89</v>
      </c>
      <c r="D6866" s="562">
        <v>126416783</v>
      </c>
      <c r="E6866" s="562">
        <v>38507117</v>
      </c>
      <c r="F6866" s="562"/>
      <c r="G6866" s="562">
        <f t="shared" si="402"/>
        <v>164923900</v>
      </c>
      <c r="H6866" s="362"/>
      <c r="I6866" s="362"/>
      <c r="J6866" s="362"/>
    </row>
    <row r="6867" spans="1:10" x14ac:dyDescent="0.25">
      <c r="A6867" s="362"/>
      <c r="B6867" s="611">
        <v>44548</v>
      </c>
      <c r="C6867" s="362" t="s">
        <v>81</v>
      </c>
      <c r="D6867" s="562">
        <v>99350995</v>
      </c>
      <c r="E6867" s="562">
        <v>50420918</v>
      </c>
      <c r="F6867" s="562"/>
      <c r="G6867" s="562">
        <f t="shared" si="402"/>
        <v>149771913</v>
      </c>
      <c r="H6867" s="362"/>
      <c r="I6867" s="362"/>
      <c r="J6867" s="362"/>
    </row>
    <row r="6868" spans="1:10" x14ac:dyDescent="0.25">
      <c r="A6868" s="362"/>
      <c r="B6868" s="611">
        <v>44548</v>
      </c>
      <c r="C6868" s="362" t="s">
        <v>84</v>
      </c>
      <c r="D6868" s="562">
        <v>226196866</v>
      </c>
      <c r="E6868" s="562">
        <v>16987927</v>
      </c>
      <c r="F6868" s="562"/>
      <c r="G6868" s="562">
        <f t="shared" si="402"/>
        <v>243184793</v>
      </c>
      <c r="H6868" s="362"/>
      <c r="I6868" s="362"/>
      <c r="J6868" s="362"/>
    </row>
    <row r="6869" spans="1:10" x14ac:dyDescent="0.25">
      <c r="A6869" s="362"/>
      <c r="B6869" s="611">
        <v>44548</v>
      </c>
      <c r="C6869" s="362" t="s">
        <v>4751</v>
      </c>
      <c r="D6869" s="562">
        <v>247625528</v>
      </c>
      <c r="E6869" s="562">
        <v>8106372</v>
      </c>
      <c r="F6869" s="562"/>
      <c r="G6869" s="562">
        <f t="shared" si="402"/>
        <v>255731900</v>
      </c>
      <c r="H6869" s="362"/>
      <c r="I6869" s="362"/>
      <c r="J6869" s="362"/>
    </row>
    <row r="6870" spans="1:10" x14ac:dyDescent="0.25">
      <c r="A6870" s="362"/>
      <c r="B6870" s="611">
        <v>44548</v>
      </c>
      <c r="C6870" s="362" t="s">
        <v>166</v>
      </c>
      <c r="D6870" s="562"/>
      <c r="E6870" s="562"/>
      <c r="F6870" s="562"/>
      <c r="G6870" s="562">
        <f t="shared" si="402"/>
        <v>0</v>
      </c>
      <c r="H6870" s="362"/>
      <c r="I6870" s="362"/>
      <c r="J6870" s="362"/>
    </row>
    <row r="6871" spans="1:10" x14ac:dyDescent="0.25">
      <c r="A6871" s="362"/>
      <c r="B6871" s="611">
        <v>44548</v>
      </c>
      <c r="C6871" s="362" t="s">
        <v>3435</v>
      </c>
      <c r="D6871" s="562"/>
      <c r="E6871" s="562"/>
      <c r="F6871" s="562"/>
      <c r="G6871" s="562">
        <f t="shared" si="402"/>
        <v>0</v>
      </c>
      <c r="H6871" s="362"/>
      <c r="I6871" s="362"/>
      <c r="J6871" s="362"/>
    </row>
    <row r="6872" spans="1:10" x14ac:dyDescent="0.25">
      <c r="A6872" s="362"/>
      <c r="B6872" s="611">
        <v>44548</v>
      </c>
      <c r="C6872" s="370" t="s">
        <v>85</v>
      </c>
      <c r="D6872" s="562">
        <v>25098600</v>
      </c>
      <c r="E6872" s="562"/>
      <c r="F6872" s="562"/>
      <c r="G6872" s="562">
        <f t="shared" si="402"/>
        <v>25098600</v>
      </c>
      <c r="H6872" s="362"/>
      <c r="I6872" s="362"/>
      <c r="J6872" s="362"/>
    </row>
    <row r="6873" spans="1:10" x14ac:dyDescent="0.25">
      <c r="A6873" s="532"/>
      <c r="B6873" s="532"/>
      <c r="C6873" s="532"/>
      <c r="D6873" s="564">
        <f>SUM(D6858:D6872)</f>
        <v>1566108447</v>
      </c>
      <c r="E6873" s="564">
        <f t="shared" ref="E6873:G6873" si="403">SUM(E6858:E6872)</f>
        <v>416070391</v>
      </c>
      <c r="F6873" s="564">
        <f t="shared" si="403"/>
        <v>0</v>
      </c>
      <c r="G6873" s="564">
        <f t="shared" si="403"/>
        <v>1982178838</v>
      </c>
      <c r="H6873" s="532"/>
      <c r="I6873" s="532"/>
      <c r="J6873" s="532"/>
    </row>
    <row r="6874" spans="1:10" x14ac:dyDescent="0.25">
      <c r="A6874" s="362"/>
      <c r="B6874" s="611">
        <v>44550</v>
      </c>
      <c r="C6874" s="362" t="s">
        <v>86</v>
      </c>
      <c r="D6874" s="562">
        <v>58216174</v>
      </c>
      <c r="E6874" s="562">
        <v>14827200</v>
      </c>
      <c r="F6874" s="562">
        <v>73043500</v>
      </c>
      <c r="G6874" s="562">
        <f t="shared" si="402"/>
        <v>-126</v>
      </c>
      <c r="H6874" s="362"/>
      <c r="I6874" s="362"/>
      <c r="J6874" s="362"/>
    </row>
    <row r="6875" spans="1:10" x14ac:dyDescent="0.25">
      <c r="A6875" s="362"/>
      <c r="B6875" s="611">
        <v>44550</v>
      </c>
      <c r="C6875" s="362" t="s">
        <v>87</v>
      </c>
      <c r="D6875" s="562">
        <v>122940876</v>
      </c>
      <c r="E6875" s="562">
        <v>25388019</v>
      </c>
      <c r="F6875" s="562">
        <v>148328900</v>
      </c>
      <c r="G6875" s="562">
        <f t="shared" si="402"/>
        <v>-5</v>
      </c>
      <c r="H6875" s="362"/>
      <c r="I6875" s="362"/>
      <c r="J6875" s="362"/>
    </row>
    <row r="6876" spans="1:10" x14ac:dyDescent="0.25">
      <c r="A6876" s="362"/>
      <c r="B6876" s="611">
        <v>44550</v>
      </c>
      <c r="C6876" s="362" t="s">
        <v>88</v>
      </c>
      <c r="D6876" s="562">
        <v>239179438</v>
      </c>
      <c r="E6876" s="562">
        <v>39791074</v>
      </c>
      <c r="F6876" s="562">
        <v>278970800</v>
      </c>
      <c r="G6876" s="562">
        <f t="shared" si="402"/>
        <v>-288</v>
      </c>
      <c r="H6876" s="362"/>
      <c r="I6876" s="362"/>
      <c r="J6876" s="362"/>
    </row>
    <row r="6877" spans="1:10" x14ac:dyDescent="0.25">
      <c r="A6877" s="362"/>
      <c r="B6877" s="611">
        <v>44550</v>
      </c>
      <c r="C6877" s="362" t="s">
        <v>82</v>
      </c>
      <c r="D6877" s="562">
        <v>49915079</v>
      </c>
      <c r="E6877" s="562">
        <v>7006782</v>
      </c>
      <c r="F6877" s="562">
        <v>56946900</v>
      </c>
      <c r="G6877" s="562">
        <f t="shared" si="402"/>
        <v>-25039</v>
      </c>
      <c r="H6877" s="362"/>
      <c r="I6877" s="362"/>
      <c r="J6877" s="362"/>
    </row>
    <row r="6878" spans="1:10" x14ac:dyDescent="0.25">
      <c r="A6878" s="362"/>
      <c r="B6878" s="611">
        <v>44550</v>
      </c>
      <c r="C6878" s="362" t="s">
        <v>80</v>
      </c>
      <c r="D6878" s="562">
        <v>291894789</v>
      </c>
      <c r="E6878" s="562">
        <v>761909</v>
      </c>
      <c r="F6878" s="562">
        <v>292656700</v>
      </c>
      <c r="G6878" s="562">
        <f t="shared" si="402"/>
        <v>-2</v>
      </c>
      <c r="H6878" s="362"/>
      <c r="I6878" s="362"/>
      <c r="J6878" s="362"/>
    </row>
    <row r="6879" spans="1:10" x14ac:dyDescent="0.25">
      <c r="A6879" s="362"/>
      <c r="B6879" s="611">
        <v>44550</v>
      </c>
      <c r="C6879" s="362" t="s">
        <v>83</v>
      </c>
      <c r="D6879" s="562">
        <v>139653858</v>
      </c>
      <c r="E6879" s="562">
        <v>14425865</v>
      </c>
      <c r="F6879" s="562">
        <v>154079700</v>
      </c>
      <c r="G6879" s="562">
        <f t="shared" si="402"/>
        <v>23</v>
      </c>
      <c r="H6879" s="362"/>
      <c r="I6879" s="362"/>
      <c r="J6879" s="362"/>
    </row>
    <row r="6880" spans="1:10" x14ac:dyDescent="0.25">
      <c r="A6880" s="362"/>
      <c r="B6880" s="611">
        <v>44550</v>
      </c>
      <c r="C6880" s="362" t="s">
        <v>78</v>
      </c>
      <c r="D6880" s="562">
        <v>164478183</v>
      </c>
      <c r="E6880" s="562">
        <v>3511217</v>
      </c>
      <c r="F6880" s="562">
        <v>167989400</v>
      </c>
      <c r="G6880" s="562">
        <f t="shared" si="402"/>
        <v>0</v>
      </c>
      <c r="H6880" s="362"/>
      <c r="I6880" s="362"/>
      <c r="J6880" s="362"/>
    </row>
    <row r="6881" spans="1:10" x14ac:dyDescent="0.25">
      <c r="A6881" s="362"/>
      <c r="B6881" s="611">
        <v>44550</v>
      </c>
      <c r="C6881" s="362" t="s">
        <v>141</v>
      </c>
      <c r="D6881" s="562">
        <v>120654505</v>
      </c>
      <c r="E6881" s="562"/>
      <c r="F6881" s="562">
        <v>120654600</v>
      </c>
      <c r="G6881" s="562">
        <f t="shared" si="402"/>
        <v>-95</v>
      </c>
      <c r="H6881" s="362"/>
      <c r="I6881" s="362"/>
      <c r="J6881" s="362"/>
    </row>
    <row r="6882" spans="1:10" x14ac:dyDescent="0.25">
      <c r="A6882" s="362"/>
      <c r="B6882" s="611">
        <v>44550</v>
      </c>
      <c r="C6882" s="362" t="s">
        <v>89</v>
      </c>
      <c r="D6882" s="562">
        <v>165950182</v>
      </c>
      <c r="E6882" s="562">
        <v>19145418</v>
      </c>
      <c r="F6882" s="562">
        <v>185095600</v>
      </c>
      <c r="G6882" s="562">
        <f t="shared" si="402"/>
        <v>0</v>
      </c>
      <c r="H6882" s="362"/>
      <c r="I6882" s="362"/>
      <c r="J6882" s="362"/>
    </row>
    <row r="6883" spans="1:10" x14ac:dyDescent="0.25">
      <c r="A6883" s="362"/>
      <c r="B6883" s="611">
        <v>44550</v>
      </c>
      <c r="C6883" s="362" t="s">
        <v>81</v>
      </c>
      <c r="D6883" s="562">
        <v>153115449</v>
      </c>
      <c r="E6883" s="562">
        <v>82065108</v>
      </c>
      <c r="F6883" s="562">
        <v>235180600</v>
      </c>
      <c r="G6883" s="562">
        <f t="shared" si="402"/>
        <v>-43</v>
      </c>
      <c r="H6883" s="362"/>
      <c r="I6883" s="362"/>
      <c r="J6883" s="362"/>
    </row>
    <row r="6884" spans="1:10" x14ac:dyDescent="0.25">
      <c r="A6884" s="362"/>
      <c r="B6884" s="611">
        <v>44550</v>
      </c>
      <c r="C6884" s="362" t="s">
        <v>84</v>
      </c>
      <c r="D6884" s="562">
        <v>261332610</v>
      </c>
      <c r="E6884" s="562">
        <v>24065270</v>
      </c>
      <c r="F6884" s="562">
        <v>285397900</v>
      </c>
      <c r="G6884" s="562">
        <f t="shared" si="402"/>
        <v>-20</v>
      </c>
      <c r="H6884" s="362"/>
      <c r="I6884" s="362"/>
      <c r="J6884" s="362"/>
    </row>
    <row r="6885" spans="1:10" x14ac:dyDescent="0.25">
      <c r="A6885" s="362"/>
      <c r="B6885" s="611">
        <v>44550</v>
      </c>
      <c r="C6885" s="362" t="s">
        <v>4751</v>
      </c>
      <c r="D6885" s="562">
        <v>222374227</v>
      </c>
      <c r="E6885" s="562">
        <v>10973773</v>
      </c>
      <c r="F6885" s="562">
        <v>233348000</v>
      </c>
      <c r="G6885" s="562">
        <f t="shared" si="402"/>
        <v>0</v>
      </c>
      <c r="H6885" s="362"/>
      <c r="I6885" s="362"/>
      <c r="J6885" s="362"/>
    </row>
    <row r="6886" spans="1:10" x14ac:dyDescent="0.25">
      <c r="A6886" s="362"/>
      <c r="B6886" s="611">
        <v>44550</v>
      </c>
      <c r="C6886" s="362" t="s">
        <v>166</v>
      </c>
      <c r="D6886" s="562">
        <v>76599581</v>
      </c>
      <c r="E6886" s="562"/>
      <c r="F6886" s="562">
        <v>76599600</v>
      </c>
      <c r="G6886" s="562">
        <f t="shared" si="402"/>
        <v>-19</v>
      </c>
      <c r="H6886" s="362"/>
      <c r="I6886" s="362"/>
      <c r="J6886" s="362"/>
    </row>
    <row r="6887" spans="1:10" x14ac:dyDescent="0.25">
      <c r="A6887" s="362"/>
      <c r="B6887" s="611">
        <v>44550</v>
      </c>
      <c r="C6887" s="362" t="s">
        <v>3435</v>
      </c>
      <c r="D6887" s="562">
        <v>14377459</v>
      </c>
      <c r="E6887" s="562"/>
      <c r="F6887" s="562">
        <v>14377500</v>
      </c>
      <c r="G6887" s="562">
        <f t="shared" si="402"/>
        <v>-41</v>
      </c>
      <c r="H6887" s="362"/>
      <c r="I6887" s="362"/>
      <c r="J6887" s="362"/>
    </row>
    <row r="6888" spans="1:10" x14ac:dyDescent="0.25">
      <c r="A6888" s="362"/>
      <c r="B6888" s="611">
        <v>44550</v>
      </c>
      <c r="C6888" s="370" t="s">
        <v>85</v>
      </c>
      <c r="D6888" s="562">
        <v>64438300</v>
      </c>
      <c r="E6888" s="562"/>
      <c r="F6888" s="562">
        <v>64438300</v>
      </c>
      <c r="G6888" s="562">
        <f t="shared" si="402"/>
        <v>0</v>
      </c>
      <c r="H6888" s="362"/>
      <c r="I6888" s="362"/>
      <c r="J6888" s="362"/>
    </row>
    <row r="6889" spans="1:10" x14ac:dyDescent="0.25">
      <c r="A6889" s="532"/>
      <c r="B6889" s="532"/>
      <c r="C6889" s="532"/>
      <c r="D6889" s="564">
        <f>SUM(D6874:D6888)</f>
        <v>2145120710</v>
      </c>
      <c r="E6889" s="564">
        <f t="shared" ref="E6889:G6889" si="404">SUM(E6874:E6888)</f>
        <v>241961635</v>
      </c>
      <c r="F6889" s="564">
        <f t="shared" si="404"/>
        <v>2387108000</v>
      </c>
      <c r="G6889" s="564">
        <f t="shared" si="404"/>
        <v>-25655</v>
      </c>
      <c r="H6889" s="532"/>
      <c r="I6889" s="532"/>
      <c r="J6889" s="532"/>
    </row>
    <row r="6890" spans="1:10" x14ac:dyDescent="0.25">
      <c r="A6890" s="362"/>
      <c r="B6890" s="611">
        <v>44551</v>
      </c>
      <c r="C6890" s="362" t="s">
        <v>86</v>
      </c>
      <c r="D6890" s="562">
        <v>69590176</v>
      </c>
      <c r="E6890" s="562">
        <v>121941850</v>
      </c>
      <c r="F6890" s="562"/>
      <c r="G6890" s="562">
        <f t="shared" si="402"/>
        <v>191532026</v>
      </c>
      <c r="H6890" s="362"/>
      <c r="I6890" s="362"/>
      <c r="J6890" s="362"/>
    </row>
    <row r="6891" spans="1:10" x14ac:dyDescent="0.25">
      <c r="A6891" s="362"/>
      <c r="B6891" s="611">
        <v>44551</v>
      </c>
      <c r="C6891" s="362" t="s">
        <v>87</v>
      </c>
      <c r="D6891" s="562">
        <v>79256807</v>
      </c>
      <c r="E6891" s="562">
        <v>63606580</v>
      </c>
      <c r="F6891" s="562"/>
      <c r="G6891" s="562">
        <f t="shared" si="402"/>
        <v>142863387</v>
      </c>
      <c r="H6891" s="362"/>
      <c r="I6891" s="362"/>
      <c r="J6891" s="362"/>
    </row>
    <row r="6892" spans="1:10" x14ac:dyDescent="0.25">
      <c r="A6892" s="362"/>
      <c r="B6892" s="611">
        <v>44551</v>
      </c>
      <c r="C6892" s="362" t="s">
        <v>88</v>
      </c>
      <c r="D6892" s="562">
        <v>149130686</v>
      </c>
      <c r="E6892" s="562">
        <v>43756704</v>
      </c>
      <c r="F6892" s="562"/>
      <c r="G6892" s="562">
        <f t="shared" si="402"/>
        <v>192887390</v>
      </c>
      <c r="H6892" s="362"/>
      <c r="I6892" s="362"/>
      <c r="J6892" s="362"/>
    </row>
    <row r="6893" spans="1:10" x14ac:dyDescent="0.25">
      <c r="A6893" s="362"/>
      <c r="B6893" s="611">
        <v>44551</v>
      </c>
      <c r="C6893" s="362" t="s">
        <v>82</v>
      </c>
      <c r="D6893" s="562">
        <v>65447518</v>
      </c>
      <c r="E6893" s="562"/>
      <c r="F6893" s="562"/>
      <c r="G6893" s="562">
        <f t="shared" si="402"/>
        <v>65447518</v>
      </c>
      <c r="H6893" s="362"/>
      <c r="I6893" s="362"/>
      <c r="J6893" s="362"/>
    </row>
    <row r="6894" spans="1:10" x14ac:dyDescent="0.25">
      <c r="A6894" s="362"/>
      <c r="B6894" s="611">
        <v>44551</v>
      </c>
      <c r="C6894" s="362" t="s">
        <v>80</v>
      </c>
      <c r="D6894" s="562">
        <v>262104494</v>
      </c>
      <c r="E6894" s="562">
        <v>139663091</v>
      </c>
      <c r="F6894" s="562"/>
      <c r="G6894" s="562">
        <f t="shared" si="402"/>
        <v>401767585</v>
      </c>
      <c r="H6894" s="362"/>
      <c r="I6894" s="362"/>
      <c r="J6894" s="362"/>
    </row>
    <row r="6895" spans="1:10" x14ac:dyDescent="0.25">
      <c r="A6895" s="362"/>
      <c r="B6895" s="611">
        <v>44551</v>
      </c>
      <c r="C6895" s="362" t="s">
        <v>83</v>
      </c>
      <c r="D6895" s="562">
        <v>153540859</v>
      </c>
      <c r="E6895" s="562">
        <v>203016214</v>
      </c>
      <c r="F6895" s="562"/>
      <c r="G6895" s="562">
        <f t="shared" si="402"/>
        <v>356557073</v>
      </c>
      <c r="H6895" s="362"/>
      <c r="I6895" s="362"/>
      <c r="J6895" s="362"/>
    </row>
    <row r="6896" spans="1:10" x14ac:dyDescent="0.25">
      <c r="A6896" s="362"/>
      <c r="B6896" s="611">
        <v>44551</v>
      </c>
      <c r="C6896" s="362" t="s">
        <v>78</v>
      </c>
      <c r="D6896" s="562">
        <v>133908929</v>
      </c>
      <c r="E6896" s="562">
        <v>2130571</v>
      </c>
      <c r="F6896" s="562"/>
      <c r="G6896" s="562">
        <f t="shared" si="402"/>
        <v>136039500</v>
      </c>
      <c r="H6896" s="362"/>
      <c r="I6896" s="362"/>
      <c r="J6896" s="362"/>
    </row>
    <row r="6897" spans="1:10" x14ac:dyDescent="0.25">
      <c r="A6897" s="362"/>
      <c r="B6897" s="611">
        <v>44551</v>
      </c>
      <c r="C6897" s="362" t="s">
        <v>141</v>
      </c>
      <c r="D6897" s="562">
        <v>91032926</v>
      </c>
      <c r="E6897" s="562">
        <v>437350</v>
      </c>
      <c r="F6897" s="562"/>
      <c r="G6897" s="562">
        <f t="shared" si="402"/>
        <v>91470276</v>
      </c>
      <c r="H6897" s="362"/>
      <c r="I6897" s="362"/>
      <c r="J6897" s="362"/>
    </row>
    <row r="6898" spans="1:10" x14ac:dyDescent="0.25">
      <c r="A6898" s="362"/>
      <c r="B6898" s="611">
        <v>44551</v>
      </c>
      <c r="C6898" s="362" t="s">
        <v>89</v>
      </c>
      <c r="D6898" s="562">
        <v>112023097</v>
      </c>
      <c r="E6898" s="562">
        <v>11937203</v>
      </c>
      <c r="F6898" s="562"/>
      <c r="G6898" s="562">
        <f t="shared" si="402"/>
        <v>123960300</v>
      </c>
      <c r="H6898" s="362"/>
      <c r="I6898" s="362"/>
      <c r="J6898" s="362"/>
    </row>
    <row r="6899" spans="1:10" x14ac:dyDescent="0.25">
      <c r="A6899" s="362"/>
      <c r="B6899" s="611">
        <v>44551</v>
      </c>
      <c r="C6899" s="362" t="s">
        <v>81</v>
      </c>
      <c r="D6899" s="562">
        <v>55475042</v>
      </c>
      <c r="E6899" s="562">
        <v>13632245</v>
      </c>
      <c r="F6899" s="562"/>
      <c r="G6899" s="562">
        <f t="shared" si="402"/>
        <v>69107287</v>
      </c>
      <c r="H6899" s="362"/>
      <c r="I6899" s="362"/>
      <c r="J6899" s="362"/>
    </row>
    <row r="6900" spans="1:10" x14ac:dyDescent="0.25">
      <c r="A6900" s="362"/>
      <c r="B6900" s="611">
        <v>44551</v>
      </c>
      <c r="C6900" s="362" t="s">
        <v>84</v>
      </c>
      <c r="D6900" s="562">
        <v>374159619</v>
      </c>
      <c r="E6900" s="562">
        <v>25193925</v>
      </c>
      <c r="F6900" s="562"/>
      <c r="G6900" s="562">
        <f t="shared" si="402"/>
        <v>399353544</v>
      </c>
      <c r="H6900" s="362"/>
      <c r="I6900" s="362"/>
      <c r="J6900" s="362"/>
    </row>
    <row r="6901" spans="1:10" x14ac:dyDescent="0.25">
      <c r="A6901" s="362"/>
      <c r="B6901" s="611">
        <v>44551</v>
      </c>
      <c r="C6901" s="362" t="s">
        <v>4751</v>
      </c>
      <c r="D6901" s="562">
        <v>232046400</v>
      </c>
      <c r="E6901" s="562">
        <v>10205200</v>
      </c>
      <c r="F6901" s="562"/>
      <c r="G6901" s="562">
        <f t="shared" si="402"/>
        <v>242251600</v>
      </c>
      <c r="H6901" s="362"/>
      <c r="I6901" s="362"/>
      <c r="J6901" s="362"/>
    </row>
    <row r="6902" spans="1:10" x14ac:dyDescent="0.25">
      <c r="A6902" s="362"/>
      <c r="B6902" s="611">
        <v>44551</v>
      </c>
      <c r="C6902" s="362" t="s">
        <v>166</v>
      </c>
      <c r="D6902" s="562">
        <v>116412611</v>
      </c>
      <c r="E6902" s="562"/>
      <c r="F6902" s="562"/>
      <c r="G6902" s="562">
        <f t="shared" si="402"/>
        <v>116412611</v>
      </c>
      <c r="H6902" s="362"/>
      <c r="I6902" s="362"/>
      <c r="J6902" s="362"/>
    </row>
    <row r="6903" spans="1:10" x14ac:dyDescent="0.25">
      <c r="A6903" s="362"/>
      <c r="B6903" s="611">
        <v>44551</v>
      </c>
      <c r="C6903" s="362" t="s">
        <v>3435</v>
      </c>
      <c r="D6903" s="562">
        <v>63671494</v>
      </c>
      <c r="E6903" s="562"/>
      <c r="F6903" s="562"/>
      <c r="G6903" s="562">
        <f t="shared" si="402"/>
        <v>63671494</v>
      </c>
      <c r="H6903" s="362"/>
      <c r="I6903" s="362"/>
      <c r="J6903" s="362"/>
    </row>
    <row r="6904" spans="1:10" x14ac:dyDescent="0.25">
      <c r="A6904" s="362"/>
      <c r="B6904" s="611">
        <v>44551</v>
      </c>
      <c r="C6904" s="370" t="s">
        <v>85</v>
      </c>
      <c r="D6904" s="562">
        <v>39250600</v>
      </c>
      <c r="E6904" s="562">
        <v>8662000</v>
      </c>
      <c r="F6904" s="562"/>
      <c r="G6904" s="562">
        <f t="shared" si="402"/>
        <v>47912600</v>
      </c>
      <c r="H6904" s="362"/>
      <c r="I6904" s="362"/>
      <c r="J6904" s="362"/>
    </row>
    <row r="6905" spans="1:10" x14ac:dyDescent="0.25">
      <c r="A6905" s="532"/>
      <c r="B6905" s="532"/>
      <c r="C6905" s="532"/>
      <c r="D6905" s="564">
        <f>SUM(D6890:D6904)</f>
        <v>1997051258</v>
      </c>
      <c r="E6905" s="564">
        <f t="shared" ref="E6905:G6905" si="405">SUM(E6890:E6904)</f>
        <v>644182933</v>
      </c>
      <c r="F6905" s="564">
        <f t="shared" si="405"/>
        <v>0</v>
      </c>
      <c r="G6905" s="564">
        <f t="shared" si="405"/>
        <v>2641234191</v>
      </c>
      <c r="H6905" s="532"/>
      <c r="I6905" s="532"/>
      <c r="J6905" s="532"/>
    </row>
    <row r="6906" spans="1:10" x14ac:dyDescent="0.25">
      <c r="A6906" s="362"/>
      <c r="B6906" s="611">
        <v>44552</v>
      </c>
      <c r="C6906" s="362" t="s">
        <v>86</v>
      </c>
      <c r="D6906" s="562">
        <v>63306650</v>
      </c>
      <c r="E6906" s="562">
        <v>16859903</v>
      </c>
      <c r="F6906" s="562">
        <v>80166600</v>
      </c>
      <c r="G6906" s="562">
        <f t="shared" si="402"/>
        <v>-47</v>
      </c>
      <c r="H6906" s="362"/>
      <c r="I6906" s="362"/>
      <c r="J6906" s="362"/>
    </row>
    <row r="6907" spans="1:10" x14ac:dyDescent="0.25">
      <c r="A6907" s="362"/>
      <c r="B6907" s="611">
        <v>44552</v>
      </c>
      <c r="C6907" s="362" t="s">
        <v>87</v>
      </c>
      <c r="D6907" s="562">
        <v>114928360</v>
      </c>
      <c r="E6907" s="562">
        <v>37011106</v>
      </c>
      <c r="F6907" s="562">
        <v>151939600</v>
      </c>
      <c r="G6907" s="562">
        <f t="shared" si="402"/>
        <v>-134</v>
      </c>
      <c r="H6907" s="362"/>
      <c r="I6907" s="362"/>
      <c r="J6907" s="362"/>
    </row>
    <row r="6908" spans="1:10" x14ac:dyDescent="0.25">
      <c r="A6908" s="362"/>
      <c r="B6908" s="611">
        <v>44552</v>
      </c>
      <c r="C6908" s="362" t="s">
        <v>88</v>
      </c>
      <c r="D6908" s="562">
        <v>180768995</v>
      </c>
      <c r="E6908" s="562">
        <v>208820315</v>
      </c>
      <c r="F6908" s="562">
        <v>389589400</v>
      </c>
      <c r="G6908" s="562">
        <f t="shared" si="402"/>
        <v>-90</v>
      </c>
      <c r="H6908" s="362"/>
      <c r="I6908" s="362"/>
      <c r="J6908" s="362"/>
    </row>
    <row r="6909" spans="1:10" x14ac:dyDescent="0.25">
      <c r="A6909" s="362"/>
      <c r="B6909" s="611">
        <v>44552</v>
      </c>
      <c r="C6909" s="362" t="s">
        <v>82</v>
      </c>
      <c r="D6909" s="562">
        <v>81414301</v>
      </c>
      <c r="E6909" s="562">
        <v>6172199</v>
      </c>
      <c r="F6909" s="562">
        <v>87586500</v>
      </c>
      <c r="G6909" s="562">
        <f t="shared" si="402"/>
        <v>0</v>
      </c>
      <c r="H6909" s="362"/>
      <c r="I6909" s="362"/>
      <c r="J6909" s="362"/>
    </row>
    <row r="6910" spans="1:10" x14ac:dyDescent="0.25">
      <c r="A6910" s="362"/>
      <c r="B6910" s="611">
        <v>44552</v>
      </c>
      <c r="C6910" s="362" t="s">
        <v>80</v>
      </c>
      <c r="D6910" s="562">
        <v>290658681</v>
      </c>
      <c r="E6910" s="562">
        <v>1112923</v>
      </c>
      <c r="F6910" s="562">
        <v>291768800</v>
      </c>
      <c r="G6910" s="562">
        <f t="shared" si="402"/>
        <v>2804</v>
      </c>
      <c r="H6910" s="362"/>
      <c r="I6910" s="362"/>
      <c r="J6910" s="362"/>
    </row>
    <row r="6911" spans="1:10" x14ac:dyDescent="0.25">
      <c r="A6911" s="362"/>
      <c r="B6911" s="611">
        <v>44552</v>
      </c>
      <c r="C6911" s="362" t="s">
        <v>83</v>
      </c>
      <c r="D6911" s="562">
        <v>271788635</v>
      </c>
      <c r="E6911" s="562">
        <v>20795653</v>
      </c>
      <c r="F6911" s="562">
        <v>292584300</v>
      </c>
      <c r="G6911" s="562">
        <f t="shared" si="402"/>
        <v>-12</v>
      </c>
      <c r="H6911" s="362"/>
      <c r="I6911" s="362"/>
      <c r="J6911" s="362"/>
    </row>
    <row r="6912" spans="1:10" x14ac:dyDescent="0.25">
      <c r="A6912" s="362"/>
      <c r="B6912" s="611">
        <v>44552</v>
      </c>
      <c r="C6912" s="362" t="s">
        <v>78</v>
      </c>
      <c r="D6912" s="562">
        <v>99997237</v>
      </c>
      <c r="E6912" s="562">
        <v>9089263</v>
      </c>
      <c r="F6912" s="562">
        <v>109086500</v>
      </c>
      <c r="G6912" s="562">
        <f t="shared" si="402"/>
        <v>0</v>
      </c>
      <c r="H6912" s="362"/>
      <c r="I6912" s="362"/>
      <c r="J6912" s="362"/>
    </row>
    <row r="6913" spans="1:10" x14ac:dyDescent="0.25">
      <c r="A6913" s="362"/>
      <c r="B6913" s="611">
        <v>44552</v>
      </c>
      <c r="C6913" s="362" t="s">
        <v>141</v>
      </c>
      <c r="D6913" s="562">
        <v>161818546</v>
      </c>
      <c r="E6913" s="562">
        <v>453900</v>
      </c>
      <c r="F6913" s="562">
        <v>162272500</v>
      </c>
      <c r="G6913" s="562">
        <f t="shared" si="402"/>
        <v>-54</v>
      </c>
      <c r="H6913" s="362"/>
      <c r="I6913" s="362"/>
      <c r="J6913" s="362"/>
    </row>
    <row r="6914" spans="1:10" x14ac:dyDescent="0.25">
      <c r="A6914" s="362"/>
      <c r="B6914" s="611">
        <v>44552</v>
      </c>
      <c r="C6914" s="362" t="s">
        <v>89</v>
      </c>
      <c r="D6914" s="562">
        <v>141437013</v>
      </c>
      <c r="E6914" s="562">
        <v>33517087</v>
      </c>
      <c r="F6914" s="562">
        <v>174954100</v>
      </c>
      <c r="G6914" s="562">
        <f t="shared" si="402"/>
        <v>0</v>
      </c>
      <c r="H6914" s="362"/>
      <c r="I6914" s="362"/>
      <c r="J6914" s="362"/>
    </row>
    <row r="6915" spans="1:10" x14ac:dyDescent="0.25">
      <c r="A6915" s="362"/>
      <c r="B6915" s="611">
        <v>44552</v>
      </c>
      <c r="C6915" s="362" t="s">
        <v>81</v>
      </c>
      <c r="D6915" s="562">
        <v>55946216</v>
      </c>
      <c r="E6915" s="562">
        <v>21332767</v>
      </c>
      <c r="F6915" s="562">
        <v>77279000</v>
      </c>
      <c r="G6915" s="562">
        <f t="shared" si="402"/>
        <v>-17</v>
      </c>
      <c r="H6915" s="362"/>
      <c r="I6915" s="362"/>
      <c r="J6915" s="362"/>
    </row>
    <row r="6916" spans="1:10" x14ac:dyDescent="0.25">
      <c r="A6916" s="362"/>
      <c r="B6916" s="611">
        <v>44552</v>
      </c>
      <c r="C6916" s="362" t="s">
        <v>84</v>
      </c>
      <c r="D6916" s="562">
        <v>333619029</v>
      </c>
      <c r="E6916" s="562">
        <v>10555236</v>
      </c>
      <c r="F6916" s="562">
        <v>344173600</v>
      </c>
      <c r="G6916" s="562">
        <f t="shared" si="402"/>
        <v>665</v>
      </c>
      <c r="H6916" s="362"/>
      <c r="I6916" s="362"/>
      <c r="J6916" s="362"/>
    </row>
    <row r="6917" spans="1:10" x14ac:dyDescent="0.25">
      <c r="A6917" s="362"/>
      <c r="B6917" s="611">
        <v>44552</v>
      </c>
      <c r="C6917" s="362" t="s">
        <v>4751</v>
      </c>
      <c r="D6917" s="562">
        <v>150527721</v>
      </c>
      <c r="E6917" s="562">
        <v>20315079</v>
      </c>
      <c r="F6917" s="562">
        <v>170842800</v>
      </c>
      <c r="G6917" s="562">
        <f t="shared" si="402"/>
        <v>0</v>
      </c>
      <c r="H6917" s="362"/>
      <c r="I6917" s="362"/>
      <c r="J6917" s="362"/>
    </row>
    <row r="6918" spans="1:10" x14ac:dyDescent="0.25">
      <c r="A6918" s="362"/>
      <c r="B6918" s="611">
        <v>44552</v>
      </c>
      <c r="C6918" s="362" t="s">
        <v>166</v>
      </c>
      <c r="D6918" s="562">
        <v>59236491</v>
      </c>
      <c r="E6918" s="562"/>
      <c r="F6918" s="562">
        <v>59236400</v>
      </c>
      <c r="G6918" s="562">
        <f t="shared" si="402"/>
        <v>91</v>
      </c>
      <c r="H6918" s="362"/>
      <c r="I6918" s="362"/>
      <c r="J6918" s="362"/>
    </row>
    <row r="6919" spans="1:10" x14ac:dyDescent="0.25">
      <c r="A6919" s="362"/>
      <c r="B6919" s="611">
        <v>44552</v>
      </c>
      <c r="C6919" s="362" t="s">
        <v>3435</v>
      </c>
      <c r="D6919" s="562">
        <v>37483862</v>
      </c>
      <c r="E6919" s="562"/>
      <c r="F6919" s="562">
        <v>37483900</v>
      </c>
      <c r="G6919" s="562">
        <f t="shared" si="402"/>
        <v>-38</v>
      </c>
      <c r="H6919" s="362"/>
      <c r="I6919" s="362"/>
      <c r="J6919" s="362"/>
    </row>
    <row r="6920" spans="1:10" x14ac:dyDescent="0.25">
      <c r="A6920" s="362"/>
      <c r="B6920" s="611">
        <v>44552</v>
      </c>
      <c r="C6920" s="370" t="s">
        <v>85</v>
      </c>
      <c r="D6920" s="562">
        <v>55163900</v>
      </c>
      <c r="E6920" s="562"/>
      <c r="F6920" s="562">
        <v>55163900</v>
      </c>
      <c r="G6920" s="562">
        <f t="shared" si="402"/>
        <v>0</v>
      </c>
      <c r="H6920" s="362"/>
      <c r="I6920" s="362"/>
      <c r="J6920" s="362"/>
    </row>
    <row r="6921" spans="1:10" x14ac:dyDescent="0.25">
      <c r="A6921" s="532"/>
      <c r="B6921" s="532"/>
      <c r="C6921" s="532"/>
      <c r="D6921" s="564">
        <f>SUM(D6906:D6920)</f>
        <v>2098095637</v>
      </c>
      <c r="E6921" s="564">
        <f t="shared" ref="E6921:G6921" si="406">SUM(E6906:E6920)</f>
        <v>386035431</v>
      </c>
      <c r="F6921" s="564">
        <f t="shared" si="406"/>
        <v>2484127900</v>
      </c>
      <c r="G6921" s="564">
        <f t="shared" si="406"/>
        <v>3168</v>
      </c>
      <c r="H6921" s="532"/>
      <c r="I6921" s="532"/>
      <c r="J6921" s="532"/>
    </row>
    <row r="6922" spans="1:10" x14ac:dyDescent="0.25">
      <c r="A6922" s="362"/>
      <c r="B6922" s="611">
        <v>44553</v>
      </c>
      <c r="C6922" s="362" t="s">
        <v>86</v>
      </c>
      <c r="D6922" s="562">
        <v>132532273</v>
      </c>
      <c r="E6922" s="562">
        <v>33976290</v>
      </c>
      <c r="F6922" s="562"/>
      <c r="G6922" s="562">
        <f t="shared" si="402"/>
        <v>166508563</v>
      </c>
      <c r="H6922" s="362"/>
      <c r="I6922" s="362"/>
      <c r="J6922" s="362"/>
    </row>
    <row r="6923" spans="1:10" x14ac:dyDescent="0.25">
      <c r="A6923" s="362"/>
      <c r="B6923" s="611">
        <v>44553</v>
      </c>
      <c r="C6923" s="362" t="s">
        <v>87</v>
      </c>
      <c r="D6923" s="562">
        <v>59762689</v>
      </c>
      <c r="E6923" s="562">
        <v>64357991</v>
      </c>
      <c r="F6923" s="562"/>
      <c r="G6923" s="562">
        <f t="shared" si="402"/>
        <v>124120680</v>
      </c>
      <c r="H6923" s="362"/>
      <c r="I6923" s="362"/>
      <c r="J6923" s="362"/>
    </row>
    <row r="6924" spans="1:10" x14ac:dyDescent="0.25">
      <c r="A6924" s="362"/>
      <c r="B6924" s="611">
        <v>44553</v>
      </c>
      <c r="C6924" s="362" t="s">
        <v>88</v>
      </c>
      <c r="D6924" s="562">
        <v>178407674</v>
      </c>
      <c r="E6924" s="562">
        <v>16616805</v>
      </c>
      <c r="F6924" s="562"/>
      <c r="G6924" s="562">
        <f t="shared" ref="G6924:G6936" si="407">D6924+E6924-F6924</f>
        <v>195024479</v>
      </c>
      <c r="H6924" s="362"/>
      <c r="I6924" s="362"/>
      <c r="J6924" s="362"/>
    </row>
    <row r="6925" spans="1:10" x14ac:dyDescent="0.25">
      <c r="A6925" s="362"/>
      <c r="B6925" s="611">
        <v>44553</v>
      </c>
      <c r="C6925" s="362" t="s">
        <v>82</v>
      </c>
      <c r="D6925" s="562">
        <v>131152372</v>
      </c>
      <c r="E6925" s="562">
        <v>2508190</v>
      </c>
      <c r="F6925" s="562"/>
      <c r="G6925" s="562">
        <f t="shared" si="407"/>
        <v>133660562</v>
      </c>
      <c r="H6925" s="362"/>
      <c r="I6925" s="362"/>
      <c r="J6925" s="362"/>
    </row>
    <row r="6926" spans="1:10" x14ac:dyDescent="0.25">
      <c r="A6926" s="362"/>
      <c r="B6926" s="611">
        <v>44553</v>
      </c>
      <c r="C6926" s="362" t="s">
        <v>80</v>
      </c>
      <c r="D6926" s="562">
        <v>398110816</v>
      </c>
      <c r="E6926" s="562"/>
      <c r="F6926" s="562"/>
      <c r="G6926" s="562">
        <f t="shared" si="407"/>
        <v>398110816</v>
      </c>
      <c r="H6926" s="362"/>
      <c r="I6926" s="362"/>
      <c r="J6926" s="362"/>
    </row>
    <row r="6927" spans="1:10" x14ac:dyDescent="0.25">
      <c r="A6927" s="362"/>
      <c r="B6927" s="611">
        <v>44553</v>
      </c>
      <c r="C6927" s="362" t="s">
        <v>83</v>
      </c>
      <c r="D6927" s="562">
        <v>161876890</v>
      </c>
      <c r="E6927" s="562">
        <v>125660705</v>
      </c>
      <c r="F6927" s="562"/>
      <c r="G6927" s="562">
        <f t="shared" si="407"/>
        <v>287537595</v>
      </c>
      <c r="H6927" s="362"/>
      <c r="I6927" s="362"/>
      <c r="J6927" s="362"/>
    </row>
    <row r="6928" spans="1:10" x14ac:dyDescent="0.25">
      <c r="A6928" s="362"/>
      <c r="B6928" s="611">
        <v>44553</v>
      </c>
      <c r="C6928" s="362" t="s">
        <v>78</v>
      </c>
      <c r="D6928" s="562">
        <v>117575321</v>
      </c>
      <c r="E6928" s="562">
        <v>84479</v>
      </c>
      <c r="F6928" s="562"/>
      <c r="G6928" s="562">
        <f t="shared" si="407"/>
        <v>117659800</v>
      </c>
      <c r="H6928" s="362"/>
      <c r="I6928" s="362"/>
      <c r="J6928" s="362"/>
    </row>
    <row r="6929" spans="1:10" x14ac:dyDescent="0.25">
      <c r="A6929" s="362"/>
      <c r="B6929" s="611">
        <v>44553</v>
      </c>
      <c r="C6929" s="362" t="s">
        <v>141</v>
      </c>
      <c r="D6929" s="562">
        <v>101528779</v>
      </c>
      <c r="E6929" s="562">
        <v>831250</v>
      </c>
      <c r="F6929" s="562"/>
      <c r="G6929" s="562">
        <f t="shared" si="407"/>
        <v>102360029</v>
      </c>
      <c r="H6929" s="362"/>
      <c r="I6929" s="362"/>
      <c r="J6929" s="362"/>
    </row>
    <row r="6930" spans="1:10" x14ac:dyDescent="0.25">
      <c r="A6930" s="362"/>
      <c r="B6930" s="611">
        <v>44553</v>
      </c>
      <c r="C6930" s="362" t="s">
        <v>89</v>
      </c>
      <c r="D6930" s="562">
        <v>125405892</v>
      </c>
      <c r="E6930" s="562">
        <v>7985008</v>
      </c>
      <c r="F6930" s="562"/>
      <c r="G6930" s="562">
        <f t="shared" si="407"/>
        <v>133390900</v>
      </c>
      <c r="H6930" s="362"/>
      <c r="I6930" s="362"/>
      <c r="J6930" s="362"/>
    </row>
    <row r="6931" spans="1:10" x14ac:dyDescent="0.25">
      <c r="A6931" s="362"/>
      <c r="B6931" s="611">
        <v>44553</v>
      </c>
      <c r="C6931" s="362" t="s">
        <v>81</v>
      </c>
      <c r="D6931" s="562">
        <v>141085371</v>
      </c>
      <c r="E6931" s="562">
        <v>18601321</v>
      </c>
      <c r="F6931" s="562"/>
      <c r="G6931" s="562">
        <f t="shared" si="407"/>
        <v>159686692</v>
      </c>
      <c r="H6931" s="362"/>
      <c r="I6931" s="362"/>
      <c r="J6931" s="362"/>
    </row>
    <row r="6932" spans="1:10" x14ac:dyDescent="0.25">
      <c r="A6932" s="362"/>
      <c r="B6932" s="611">
        <v>44553</v>
      </c>
      <c r="C6932" s="362" t="s">
        <v>84</v>
      </c>
      <c r="D6932" s="562">
        <v>265635498</v>
      </c>
      <c r="E6932" s="562">
        <v>17626807</v>
      </c>
      <c r="F6932" s="562"/>
      <c r="G6932" s="562">
        <f t="shared" si="407"/>
        <v>283262305</v>
      </c>
      <c r="H6932" s="362"/>
      <c r="I6932" s="362"/>
      <c r="J6932" s="362"/>
    </row>
    <row r="6933" spans="1:10" x14ac:dyDescent="0.25">
      <c r="A6933" s="362"/>
      <c r="B6933" s="611">
        <v>44553</v>
      </c>
      <c r="C6933" s="362" t="s">
        <v>4751</v>
      </c>
      <c r="D6933" s="562">
        <v>198651424</v>
      </c>
      <c r="E6933" s="562">
        <v>11095176</v>
      </c>
      <c r="F6933" s="562"/>
      <c r="G6933" s="562">
        <f t="shared" si="407"/>
        <v>209746600</v>
      </c>
      <c r="H6933" s="362"/>
      <c r="I6933" s="362"/>
      <c r="J6933" s="362"/>
    </row>
    <row r="6934" spans="1:10" x14ac:dyDescent="0.25">
      <c r="A6934" s="362"/>
      <c r="B6934" s="611">
        <v>44553</v>
      </c>
      <c r="C6934" s="362" t="s">
        <v>166</v>
      </c>
      <c r="D6934" s="562">
        <v>94979502</v>
      </c>
      <c r="E6934" s="562"/>
      <c r="F6934" s="562"/>
      <c r="G6934" s="562">
        <f t="shared" si="407"/>
        <v>94979502</v>
      </c>
      <c r="H6934" s="362"/>
      <c r="I6934" s="362"/>
      <c r="J6934" s="362"/>
    </row>
    <row r="6935" spans="1:10" x14ac:dyDescent="0.25">
      <c r="A6935" s="362"/>
      <c r="B6935" s="611">
        <v>44553</v>
      </c>
      <c r="C6935" s="362" t="s">
        <v>3435</v>
      </c>
      <c r="D6935" s="562">
        <v>52922685</v>
      </c>
      <c r="E6935" s="562"/>
      <c r="F6935" s="562"/>
      <c r="G6935" s="562">
        <f t="shared" si="407"/>
        <v>52922685</v>
      </c>
      <c r="H6935" s="362"/>
      <c r="I6935" s="362"/>
      <c r="J6935" s="362"/>
    </row>
    <row r="6936" spans="1:10" x14ac:dyDescent="0.25">
      <c r="A6936" s="362"/>
      <c r="B6936" s="611">
        <v>44553</v>
      </c>
      <c r="C6936" s="370" t="s">
        <v>85</v>
      </c>
      <c r="D6936" s="562">
        <v>55163900</v>
      </c>
      <c r="E6936" s="562"/>
      <c r="F6936" s="562"/>
      <c r="G6936" s="562">
        <f t="shared" si="407"/>
        <v>55163900</v>
      </c>
      <c r="H6936" s="362"/>
      <c r="I6936" s="362"/>
      <c r="J6936" s="362"/>
    </row>
    <row r="6937" spans="1:10" x14ac:dyDescent="0.25">
      <c r="A6937" s="532"/>
      <c r="B6937" s="532"/>
      <c r="C6937" s="532"/>
      <c r="D6937" s="564">
        <f>SUM(D6922:D6936)</f>
        <v>2214791086</v>
      </c>
      <c r="E6937" s="564">
        <f t="shared" ref="E6937:G6937" si="408">SUM(E6922:E6936)</f>
        <v>299344022</v>
      </c>
      <c r="F6937" s="564">
        <f t="shared" si="408"/>
        <v>0</v>
      </c>
      <c r="G6937" s="564">
        <f t="shared" si="408"/>
        <v>2514135108</v>
      </c>
      <c r="H6937" s="532"/>
      <c r="I6937" s="532"/>
      <c r="J6937" s="532"/>
    </row>
    <row r="6938" spans="1:10" x14ac:dyDescent="0.25">
      <c r="A6938" s="362"/>
      <c r="B6938" s="611">
        <v>44554</v>
      </c>
      <c r="C6938" s="362" t="s">
        <v>86</v>
      </c>
      <c r="D6938" s="562">
        <v>44248912</v>
      </c>
      <c r="E6938" s="562">
        <v>120575400</v>
      </c>
      <c r="F6938" s="562"/>
      <c r="G6938" s="562"/>
      <c r="H6938" s="362"/>
      <c r="I6938" s="362"/>
      <c r="J6938" s="362"/>
    </row>
    <row r="6939" spans="1:10" x14ac:dyDescent="0.25">
      <c r="A6939" s="362"/>
      <c r="B6939" s="611">
        <v>44554</v>
      </c>
      <c r="C6939" s="362" t="s">
        <v>87</v>
      </c>
      <c r="D6939" s="562"/>
      <c r="E6939" s="562"/>
      <c r="F6939" s="562"/>
      <c r="G6939" s="562"/>
      <c r="H6939" s="362"/>
      <c r="I6939" s="362"/>
      <c r="J6939" s="362"/>
    </row>
    <row r="6940" spans="1:10" x14ac:dyDescent="0.25">
      <c r="A6940" s="362"/>
      <c r="B6940" s="611">
        <v>44554</v>
      </c>
      <c r="C6940" s="362" t="s">
        <v>88</v>
      </c>
      <c r="D6940" s="562"/>
      <c r="E6940" s="562"/>
      <c r="F6940" s="562"/>
      <c r="G6940" s="562"/>
      <c r="H6940" s="362"/>
      <c r="I6940" s="362"/>
      <c r="J6940" s="362"/>
    </row>
    <row r="6941" spans="1:10" x14ac:dyDescent="0.25">
      <c r="A6941" s="362"/>
      <c r="B6941" s="611">
        <v>44554</v>
      </c>
      <c r="C6941" s="362" t="s">
        <v>82</v>
      </c>
      <c r="D6941" s="562"/>
      <c r="E6941" s="562"/>
      <c r="F6941" s="562"/>
      <c r="G6941" s="562"/>
      <c r="H6941" s="362"/>
      <c r="I6941" s="362"/>
      <c r="J6941" s="362"/>
    </row>
    <row r="6942" spans="1:10" x14ac:dyDescent="0.25">
      <c r="A6942" s="362"/>
      <c r="B6942" s="611">
        <v>44554</v>
      </c>
      <c r="C6942" s="362" t="s">
        <v>80</v>
      </c>
      <c r="D6942" s="562"/>
      <c r="E6942" s="562"/>
      <c r="F6942" s="562"/>
      <c r="G6942" s="562"/>
      <c r="H6942" s="362"/>
      <c r="I6942" s="362"/>
      <c r="J6942" s="362"/>
    </row>
    <row r="6943" spans="1:10" x14ac:dyDescent="0.25">
      <c r="A6943" s="362"/>
      <c r="B6943" s="611">
        <v>44554</v>
      </c>
      <c r="C6943" s="362" t="s">
        <v>83</v>
      </c>
      <c r="D6943" s="562"/>
      <c r="E6943" s="562"/>
      <c r="F6943" s="562"/>
      <c r="G6943" s="562"/>
      <c r="H6943" s="362"/>
      <c r="I6943" s="362"/>
      <c r="J6943" s="362"/>
    </row>
    <row r="6944" spans="1:10" x14ac:dyDescent="0.25">
      <c r="A6944" s="362"/>
      <c r="B6944" s="611">
        <v>44554</v>
      </c>
      <c r="C6944" s="362" t="s">
        <v>78</v>
      </c>
      <c r="D6944" s="562"/>
      <c r="E6944" s="562"/>
      <c r="F6944" s="562"/>
      <c r="G6944" s="562"/>
      <c r="H6944" s="362"/>
      <c r="I6944" s="362"/>
      <c r="J6944" s="362"/>
    </row>
    <row r="6945" spans="1:10" x14ac:dyDescent="0.25">
      <c r="A6945" s="362"/>
      <c r="B6945" s="611">
        <v>44554</v>
      </c>
      <c r="C6945" s="362" t="s">
        <v>141</v>
      </c>
      <c r="D6945" s="562"/>
      <c r="E6945" s="562"/>
      <c r="F6945" s="562"/>
      <c r="G6945" s="562"/>
      <c r="H6945" s="362"/>
      <c r="I6945" s="362"/>
      <c r="J6945" s="362"/>
    </row>
    <row r="6946" spans="1:10" x14ac:dyDescent="0.25">
      <c r="A6946" s="362"/>
      <c r="B6946" s="611">
        <v>44554</v>
      </c>
      <c r="C6946" s="362" t="s">
        <v>89</v>
      </c>
      <c r="D6946" s="562">
        <v>120713619</v>
      </c>
      <c r="E6946" s="562">
        <v>140573981</v>
      </c>
      <c r="F6946" s="562"/>
      <c r="G6946" s="562"/>
      <c r="H6946" s="362"/>
      <c r="I6946" s="362"/>
      <c r="J6946" s="362"/>
    </row>
    <row r="6947" spans="1:10" x14ac:dyDescent="0.25">
      <c r="A6947" s="362"/>
      <c r="B6947" s="611">
        <v>44554</v>
      </c>
      <c r="C6947" s="362" t="s">
        <v>81</v>
      </c>
      <c r="D6947" s="562"/>
      <c r="E6947" s="562"/>
      <c r="F6947" s="562"/>
      <c r="G6947" s="562"/>
      <c r="H6947" s="362"/>
      <c r="I6947" s="362"/>
      <c r="J6947" s="362"/>
    </row>
    <row r="6948" spans="1:10" x14ac:dyDescent="0.25">
      <c r="A6948" s="362"/>
      <c r="B6948" s="611">
        <v>44554</v>
      </c>
      <c r="C6948" s="362" t="s">
        <v>84</v>
      </c>
      <c r="D6948" s="562"/>
      <c r="E6948" s="562"/>
      <c r="F6948" s="562"/>
      <c r="G6948" s="562"/>
      <c r="H6948" s="362"/>
      <c r="I6948" s="362"/>
      <c r="J6948" s="362"/>
    </row>
    <row r="6949" spans="1:10" x14ac:dyDescent="0.25">
      <c r="A6949" s="362"/>
      <c r="B6949" s="611">
        <v>44554</v>
      </c>
      <c r="C6949" s="362" t="s">
        <v>4751</v>
      </c>
      <c r="D6949" s="562"/>
      <c r="E6949" s="562"/>
      <c r="F6949" s="562"/>
      <c r="G6949" s="562"/>
      <c r="H6949" s="362"/>
      <c r="I6949" s="362"/>
      <c r="J6949" s="362"/>
    </row>
    <row r="6950" spans="1:10" x14ac:dyDescent="0.25">
      <c r="A6950" s="362"/>
      <c r="B6950" s="611">
        <v>44554</v>
      </c>
      <c r="C6950" s="362" t="s">
        <v>166</v>
      </c>
      <c r="D6950" s="562"/>
      <c r="E6950" s="562"/>
      <c r="F6950" s="562"/>
      <c r="G6950" s="562"/>
      <c r="H6950" s="362"/>
      <c r="I6950" s="362"/>
      <c r="J6950" s="362"/>
    </row>
    <row r="6951" spans="1:10" x14ac:dyDescent="0.25">
      <c r="A6951" s="362"/>
      <c r="B6951" s="611">
        <v>44554</v>
      </c>
      <c r="C6951" s="362" t="s">
        <v>3435</v>
      </c>
      <c r="D6951" s="562">
        <v>279693026</v>
      </c>
      <c r="E6951" s="562"/>
      <c r="F6951" s="562"/>
      <c r="G6951" s="562"/>
      <c r="H6951" s="362"/>
      <c r="I6951" s="362"/>
      <c r="J6951" s="362"/>
    </row>
    <row r="6952" spans="1:10" x14ac:dyDescent="0.25">
      <c r="A6952" s="362"/>
      <c r="B6952" s="611">
        <v>44554</v>
      </c>
      <c r="C6952" s="370" t="s">
        <v>85</v>
      </c>
      <c r="D6952" s="562"/>
      <c r="E6952" s="562"/>
      <c r="F6952" s="562"/>
      <c r="G6952" s="562"/>
      <c r="H6952" s="362"/>
      <c r="I6952" s="362"/>
      <c r="J6952" s="362"/>
    </row>
    <row r="6953" spans="1:10" x14ac:dyDescent="0.25">
      <c r="A6953" s="532"/>
      <c r="B6953" s="532"/>
      <c r="C6953" s="532"/>
      <c r="D6953" s="564"/>
      <c r="E6953" s="564"/>
      <c r="F6953" s="564"/>
      <c r="G6953" s="564"/>
      <c r="H6953" s="532"/>
      <c r="I6953" s="532"/>
      <c r="J6953" s="532"/>
    </row>
    <row r="6954" spans="1:10" x14ac:dyDescent="0.25">
      <c r="A6954" s="362"/>
      <c r="B6954" s="611">
        <v>44555</v>
      </c>
      <c r="C6954" s="362" t="s">
        <v>86</v>
      </c>
      <c r="D6954" s="562">
        <v>47783222</v>
      </c>
      <c r="E6954" s="562">
        <v>299169329</v>
      </c>
      <c r="F6954" s="562"/>
      <c r="G6954" s="562">
        <f t="shared" ref="G6954:G6983" si="409">D6954+E6954-F6954</f>
        <v>346952551</v>
      </c>
      <c r="H6954" s="362"/>
      <c r="I6954" s="362"/>
      <c r="J6954" s="362"/>
    </row>
    <row r="6955" spans="1:10" x14ac:dyDescent="0.25">
      <c r="A6955" s="362"/>
      <c r="B6955" s="611">
        <v>44555</v>
      </c>
      <c r="C6955" s="362" t="s">
        <v>87</v>
      </c>
      <c r="D6955" s="562">
        <v>82938437</v>
      </c>
      <c r="E6955" s="562">
        <v>85892025</v>
      </c>
      <c r="F6955" s="562"/>
      <c r="G6955" s="562">
        <f t="shared" si="409"/>
        <v>168830462</v>
      </c>
      <c r="H6955" s="362"/>
      <c r="I6955" s="362"/>
      <c r="J6955" s="362"/>
    </row>
    <row r="6956" spans="1:10" x14ac:dyDescent="0.25">
      <c r="A6956" s="362"/>
      <c r="B6956" s="611">
        <v>44555</v>
      </c>
      <c r="C6956" s="362" t="s">
        <v>88</v>
      </c>
      <c r="D6956" s="562">
        <v>180528224</v>
      </c>
      <c r="E6956" s="562">
        <v>97115304</v>
      </c>
      <c r="F6956" s="562"/>
      <c r="G6956" s="562">
        <f t="shared" si="409"/>
        <v>277643528</v>
      </c>
      <c r="H6956" s="362"/>
      <c r="I6956" s="362"/>
      <c r="J6956" s="362"/>
    </row>
    <row r="6957" spans="1:10" x14ac:dyDescent="0.25">
      <c r="A6957" s="362"/>
      <c r="B6957" s="611">
        <v>44555</v>
      </c>
      <c r="C6957" s="362" t="s">
        <v>82</v>
      </c>
      <c r="D6957" s="562">
        <v>79973745</v>
      </c>
      <c r="E6957" s="562">
        <v>17211760</v>
      </c>
      <c r="F6957" s="562"/>
      <c r="G6957" s="562">
        <f t="shared" si="409"/>
        <v>97185505</v>
      </c>
      <c r="H6957" s="362"/>
      <c r="I6957" s="362"/>
      <c r="J6957" s="362"/>
    </row>
    <row r="6958" spans="1:10" x14ac:dyDescent="0.25">
      <c r="A6958" s="362"/>
      <c r="B6958" s="611">
        <v>44555</v>
      </c>
      <c r="C6958" s="362" t="s">
        <v>80</v>
      </c>
      <c r="D6958" s="562">
        <v>197870400</v>
      </c>
      <c r="E6958" s="562"/>
      <c r="F6958" s="562"/>
      <c r="G6958" s="562">
        <f t="shared" si="409"/>
        <v>197870400</v>
      </c>
      <c r="H6958" s="362"/>
      <c r="I6958" s="362"/>
      <c r="J6958" s="362"/>
    </row>
    <row r="6959" spans="1:10" x14ac:dyDescent="0.25">
      <c r="A6959" s="362"/>
      <c r="B6959" s="611">
        <v>44555</v>
      </c>
      <c r="C6959" s="362" t="s">
        <v>83</v>
      </c>
      <c r="D6959" s="562">
        <v>118112153</v>
      </c>
      <c r="E6959" s="562">
        <v>103086511</v>
      </c>
      <c r="F6959" s="562"/>
      <c r="G6959" s="562">
        <f t="shared" si="409"/>
        <v>221198664</v>
      </c>
      <c r="H6959" s="362"/>
      <c r="I6959" s="362"/>
      <c r="J6959" s="362"/>
    </row>
    <row r="6960" spans="1:10" x14ac:dyDescent="0.25">
      <c r="A6960" s="362"/>
      <c r="B6960" s="611">
        <v>44555</v>
      </c>
      <c r="C6960" s="362" t="s">
        <v>78</v>
      </c>
      <c r="D6960" s="562">
        <v>173110368</v>
      </c>
      <c r="E6960" s="562">
        <v>12893432</v>
      </c>
      <c r="F6960" s="562"/>
      <c r="G6960" s="562">
        <f t="shared" si="409"/>
        <v>186003800</v>
      </c>
      <c r="H6960" s="362"/>
      <c r="I6960" s="362"/>
      <c r="J6960" s="362"/>
    </row>
    <row r="6961" spans="1:10" x14ac:dyDescent="0.25">
      <c r="A6961" s="362"/>
      <c r="B6961" s="611">
        <v>44555</v>
      </c>
      <c r="C6961" s="362" t="s">
        <v>141</v>
      </c>
      <c r="D6961" s="562">
        <v>55037153</v>
      </c>
      <c r="E6961" s="562">
        <v>369285</v>
      </c>
      <c r="F6961" s="562"/>
      <c r="G6961" s="562">
        <f t="shared" si="409"/>
        <v>55406438</v>
      </c>
      <c r="H6961" s="362"/>
      <c r="I6961" s="362"/>
      <c r="J6961" s="362"/>
    </row>
    <row r="6962" spans="1:10" x14ac:dyDescent="0.25">
      <c r="A6962" s="362"/>
      <c r="B6962" s="611">
        <v>44555</v>
      </c>
      <c r="C6962" s="362" t="s">
        <v>89</v>
      </c>
      <c r="D6962" s="562">
        <v>71302329</v>
      </c>
      <c r="E6962" s="562">
        <v>15886271</v>
      </c>
      <c r="F6962" s="562"/>
      <c r="G6962" s="562">
        <f t="shared" si="409"/>
        <v>87188600</v>
      </c>
      <c r="H6962" s="362"/>
      <c r="I6962" s="362"/>
      <c r="J6962" s="362"/>
    </row>
    <row r="6963" spans="1:10" x14ac:dyDescent="0.25">
      <c r="A6963" s="362"/>
      <c r="B6963" s="611">
        <v>44555</v>
      </c>
      <c r="C6963" s="362" t="s">
        <v>81</v>
      </c>
      <c r="D6963" s="562">
        <v>104928964</v>
      </c>
      <c r="E6963" s="562">
        <v>17556417</v>
      </c>
      <c r="F6963" s="562"/>
      <c r="G6963" s="562">
        <f t="shared" si="409"/>
        <v>122485381</v>
      </c>
      <c r="H6963" s="362"/>
      <c r="I6963" s="362"/>
      <c r="J6963" s="362"/>
    </row>
    <row r="6964" spans="1:10" x14ac:dyDescent="0.25">
      <c r="A6964" s="362"/>
      <c r="B6964" s="611">
        <v>44555</v>
      </c>
      <c r="C6964" s="362" t="s">
        <v>84</v>
      </c>
      <c r="D6964" s="562">
        <v>92964891</v>
      </c>
      <c r="E6964" s="562">
        <v>10592956</v>
      </c>
      <c r="F6964" s="562"/>
      <c r="G6964" s="562">
        <f t="shared" si="409"/>
        <v>103557847</v>
      </c>
      <c r="H6964" s="362"/>
      <c r="I6964" s="362"/>
      <c r="J6964" s="362"/>
    </row>
    <row r="6965" spans="1:10" x14ac:dyDescent="0.25">
      <c r="A6965" s="362"/>
      <c r="B6965" s="611">
        <v>44555</v>
      </c>
      <c r="C6965" s="362" t="s">
        <v>4751</v>
      </c>
      <c r="D6965" s="562">
        <v>203861409</v>
      </c>
      <c r="E6965" s="562">
        <v>8283791</v>
      </c>
      <c r="F6965" s="562"/>
      <c r="G6965" s="562">
        <f t="shared" si="409"/>
        <v>212145200</v>
      </c>
      <c r="H6965" s="362"/>
      <c r="I6965" s="362"/>
      <c r="J6965" s="362"/>
    </row>
    <row r="6966" spans="1:10" x14ac:dyDescent="0.25">
      <c r="A6966" s="362"/>
      <c r="B6966" s="611">
        <v>44555</v>
      </c>
      <c r="C6966" s="362" t="s">
        <v>166</v>
      </c>
      <c r="D6966" s="562"/>
      <c r="E6966" s="562"/>
      <c r="F6966" s="562"/>
      <c r="G6966" s="562">
        <f t="shared" si="409"/>
        <v>0</v>
      </c>
      <c r="H6966" s="362"/>
      <c r="I6966" s="362"/>
      <c r="J6966" s="362"/>
    </row>
    <row r="6967" spans="1:10" x14ac:dyDescent="0.25">
      <c r="A6967" s="362"/>
      <c r="B6967" s="611">
        <v>44555</v>
      </c>
      <c r="C6967" s="362" t="s">
        <v>3435</v>
      </c>
      <c r="D6967" s="562"/>
      <c r="E6967" s="562"/>
      <c r="F6967" s="562"/>
      <c r="G6967" s="562">
        <f t="shared" si="409"/>
        <v>0</v>
      </c>
      <c r="H6967" s="362"/>
      <c r="I6967" s="362"/>
      <c r="J6967" s="362"/>
    </row>
    <row r="6968" spans="1:10" x14ac:dyDescent="0.25">
      <c r="A6968" s="362"/>
      <c r="B6968" s="611">
        <v>44555</v>
      </c>
      <c r="C6968" s="370" t="s">
        <v>85</v>
      </c>
      <c r="D6968" s="362">
        <v>35876800</v>
      </c>
      <c r="E6968" s="362"/>
      <c r="F6968" s="362"/>
      <c r="G6968" s="562">
        <f t="shared" si="409"/>
        <v>35876800</v>
      </c>
      <c r="H6968" s="362"/>
      <c r="I6968" s="362"/>
      <c r="J6968" s="362"/>
    </row>
    <row r="6969" spans="1:10" x14ac:dyDescent="0.25">
      <c r="A6969" s="532"/>
      <c r="B6969" s="532"/>
      <c r="C6969" s="532"/>
      <c r="D6969" s="632">
        <f>SUM(D6954:D6968)</f>
        <v>1444288095</v>
      </c>
      <c r="E6969" s="632">
        <f t="shared" ref="E6969:G6969" si="410">SUM(E6954:E6968)</f>
        <v>668057081</v>
      </c>
      <c r="F6969" s="632">
        <f t="shared" si="410"/>
        <v>0</v>
      </c>
      <c r="G6969" s="632">
        <f t="shared" si="410"/>
        <v>2112345176</v>
      </c>
      <c r="H6969" s="532"/>
      <c r="I6969" s="532"/>
      <c r="J6969" s="532"/>
    </row>
    <row r="6970" spans="1:10" x14ac:dyDescent="0.25">
      <c r="A6970" s="362"/>
      <c r="B6970" s="611">
        <v>44557</v>
      </c>
      <c r="C6970" s="362" t="s">
        <v>86</v>
      </c>
      <c r="D6970" s="562">
        <v>33503322</v>
      </c>
      <c r="E6970" s="562">
        <v>123668249</v>
      </c>
      <c r="F6970" s="562"/>
      <c r="G6970" s="562">
        <f t="shared" si="409"/>
        <v>157171571</v>
      </c>
      <c r="H6970" s="362"/>
      <c r="I6970" s="362"/>
      <c r="J6970" s="362"/>
    </row>
    <row r="6971" spans="1:10" x14ac:dyDescent="0.25">
      <c r="A6971" s="362"/>
      <c r="B6971" s="611">
        <v>44557</v>
      </c>
      <c r="C6971" s="362" t="s">
        <v>87</v>
      </c>
      <c r="D6971" s="562">
        <v>80325810</v>
      </c>
      <c r="E6971" s="562">
        <v>76618406</v>
      </c>
      <c r="F6971" s="562"/>
      <c r="G6971" s="562">
        <f t="shared" si="409"/>
        <v>156944216</v>
      </c>
      <c r="H6971" s="362"/>
      <c r="I6971" s="362"/>
      <c r="J6971" s="362"/>
    </row>
    <row r="6972" spans="1:10" x14ac:dyDescent="0.25">
      <c r="A6972" s="362"/>
      <c r="B6972" s="611">
        <v>44557</v>
      </c>
      <c r="C6972" s="362" t="s">
        <v>88</v>
      </c>
      <c r="D6972" s="562">
        <v>139272360</v>
      </c>
      <c r="E6972" s="562">
        <v>46750840</v>
      </c>
      <c r="F6972" s="562"/>
      <c r="G6972" s="562">
        <f t="shared" si="409"/>
        <v>186023200</v>
      </c>
      <c r="H6972" s="362"/>
      <c r="I6972" s="362"/>
      <c r="J6972" s="362"/>
    </row>
    <row r="6973" spans="1:10" x14ac:dyDescent="0.25">
      <c r="A6973" s="362"/>
      <c r="B6973" s="611">
        <v>44557</v>
      </c>
      <c r="C6973" s="362" t="s">
        <v>82</v>
      </c>
      <c r="D6973" s="562">
        <v>50174507</v>
      </c>
      <c r="E6973" s="562">
        <v>1134810</v>
      </c>
      <c r="F6973" s="562"/>
      <c r="G6973" s="562">
        <f t="shared" si="409"/>
        <v>51309317</v>
      </c>
      <c r="H6973" s="362"/>
      <c r="I6973" s="362"/>
      <c r="J6973" s="362"/>
    </row>
    <row r="6974" spans="1:10" x14ac:dyDescent="0.25">
      <c r="A6974" s="362"/>
      <c r="B6974" s="611">
        <v>44557</v>
      </c>
      <c r="C6974" s="362" t="s">
        <v>80</v>
      </c>
      <c r="D6974" s="562">
        <v>277911520</v>
      </c>
      <c r="E6974" s="562">
        <v>201480</v>
      </c>
      <c r="F6974" s="562"/>
      <c r="G6974" s="562">
        <f t="shared" si="409"/>
        <v>278113000</v>
      </c>
      <c r="H6974" s="362"/>
      <c r="I6974" s="362"/>
      <c r="J6974" s="362"/>
    </row>
    <row r="6975" spans="1:10" x14ac:dyDescent="0.25">
      <c r="A6975" s="362"/>
      <c r="B6975" s="611">
        <v>44557</v>
      </c>
      <c r="C6975" s="362" t="s">
        <v>83</v>
      </c>
      <c r="D6975" s="562">
        <v>255766989</v>
      </c>
      <c r="E6975" s="562">
        <v>147264139</v>
      </c>
      <c r="F6975" s="562"/>
      <c r="G6975" s="562">
        <f t="shared" si="409"/>
        <v>403031128</v>
      </c>
      <c r="H6975" s="362"/>
      <c r="I6975" s="362"/>
      <c r="J6975" s="362"/>
    </row>
    <row r="6976" spans="1:10" x14ac:dyDescent="0.25">
      <c r="A6976" s="362"/>
      <c r="B6976" s="611">
        <v>44557</v>
      </c>
      <c r="C6976" s="362" t="s">
        <v>78</v>
      </c>
      <c r="D6976" s="562">
        <v>194451123</v>
      </c>
      <c r="E6976" s="562">
        <v>617877</v>
      </c>
      <c r="F6976" s="562"/>
      <c r="G6976" s="562">
        <f t="shared" si="409"/>
        <v>195069000</v>
      </c>
      <c r="H6976" s="362"/>
      <c r="I6976" s="362"/>
      <c r="J6976" s="362"/>
    </row>
    <row r="6977" spans="1:10" x14ac:dyDescent="0.25">
      <c r="A6977" s="362"/>
      <c r="B6977" s="611">
        <v>44557</v>
      </c>
      <c r="C6977" s="362" t="s">
        <v>141</v>
      </c>
      <c r="D6977" s="562">
        <v>58560508</v>
      </c>
      <c r="E6977" s="562">
        <v>617300</v>
      </c>
      <c r="F6977" s="562"/>
      <c r="G6977" s="562">
        <f t="shared" si="409"/>
        <v>59177808</v>
      </c>
      <c r="H6977" s="362"/>
      <c r="I6977" s="362"/>
      <c r="J6977" s="362"/>
    </row>
    <row r="6978" spans="1:10" x14ac:dyDescent="0.25">
      <c r="A6978" s="362"/>
      <c r="B6978" s="611">
        <v>44557</v>
      </c>
      <c r="C6978" s="362" t="s">
        <v>89</v>
      </c>
      <c r="D6978" s="562">
        <v>96870597</v>
      </c>
      <c r="E6978" s="562">
        <v>13830703</v>
      </c>
      <c r="F6978" s="562"/>
      <c r="G6978" s="562">
        <f t="shared" si="409"/>
        <v>110701300</v>
      </c>
      <c r="H6978" s="362"/>
      <c r="I6978" s="362"/>
      <c r="J6978" s="362"/>
    </row>
    <row r="6979" spans="1:10" x14ac:dyDescent="0.25">
      <c r="A6979" s="362"/>
      <c r="B6979" s="611">
        <v>44557</v>
      </c>
      <c r="C6979" s="362" t="s">
        <v>81</v>
      </c>
      <c r="D6979" s="562">
        <v>198976445</v>
      </c>
      <c r="E6979" s="562">
        <v>25161242</v>
      </c>
      <c r="F6979" s="562"/>
      <c r="G6979" s="562">
        <f t="shared" si="409"/>
        <v>224137687</v>
      </c>
      <c r="H6979" s="362"/>
      <c r="I6979" s="362"/>
      <c r="J6979" s="362"/>
    </row>
    <row r="6980" spans="1:10" x14ac:dyDescent="0.25">
      <c r="A6980" s="362"/>
      <c r="B6980" s="611">
        <v>44557</v>
      </c>
      <c r="C6980" s="362" t="s">
        <v>84</v>
      </c>
      <c r="D6980" s="562">
        <v>437872041</v>
      </c>
      <c r="E6980" s="562">
        <v>10450719</v>
      </c>
      <c r="F6980" s="562"/>
      <c r="G6980" s="562">
        <f t="shared" si="409"/>
        <v>448322760</v>
      </c>
      <c r="H6980" s="362"/>
      <c r="I6980" s="362"/>
      <c r="J6980" s="362"/>
    </row>
    <row r="6981" spans="1:10" x14ac:dyDescent="0.25">
      <c r="A6981" s="362"/>
      <c r="B6981" s="611">
        <v>44557</v>
      </c>
      <c r="C6981" s="362" t="s">
        <v>4751</v>
      </c>
      <c r="D6981" s="562">
        <v>163666517</v>
      </c>
      <c r="E6981" s="562">
        <v>11666983</v>
      </c>
      <c r="F6981" s="562"/>
      <c r="G6981" s="562">
        <f t="shared" si="409"/>
        <v>175333500</v>
      </c>
      <c r="H6981" s="362"/>
      <c r="I6981" s="362"/>
      <c r="J6981" s="362"/>
    </row>
    <row r="6982" spans="1:10" x14ac:dyDescent="0.25">
      <c r="A6982" s="362"/>
      <c r="B6982" s="611">
        <v>44557</v>
      </c>
      <c r="C6982" s="362" t="s">
        <v>166</v>
      </c>
      <c r="D6982" s="562">
        <v>72402090</v>
      </c>
      <c r="E6982" s="562"/>
      <c r="F6982" s="562"/>
      <c r="G6982" s="562">
        <f t="shared" si="409"/>
        <v>72402090</v>
      </c>
      <c r="H6982" s="362"/>
      <c r="I6982" s="362"/>
      <c r="J6982" s="362"/>
    </row>
    <row r="6983" spans="1:10" x14ac:dyDescent="0.25">
      <c r="A6983" s="362"/>
      <c r="B6983" s="611">
        <v>44557</v>
      </c>
      <c r="C6983" s="362" t="s">
        <v>3435</v>
      </c>
      <c r="D6983" s="562">
        <v>43770957</v>
      </c>
      <c r="E6983" s="562"/>
      <c r="F6983" s="562"/>
      <c r="G6983" s="562">
        <f t="shared" si="409"/>
        <v>43770957</v>
      </c>
      <c r="H6983" s="362"/>
      <c r="I6983" s="362"/>
      <c r="J6983" s="362"/>
    </row>
    <row r="6984" spans="1:10" x14ac:dyDescent="0.25">
      <c r="A6984" s="362"/>
      <c r="B6984" s="611">
        <v>44557</v>
      </c>
      <c r="C6984" s="370" t="s">
        <v>85</v>
      </c>
      <c r="D6984" s="562">
        <v>51140800</v>
      </c>
      <c r="E6984" s="562"/>
      <c r="F6984" s="562"/>
      <c r="G6984" s="562">
        <f>D6984+E6984-F6984</f>
        <v>51140800</v>
      </c>
      <c r="H6984" s="362"/>
      <c r="I6984" s="362"/>
      <c r="J6984" s="362"/>
    </row>
    <row r="6985" spans="1:10" x14ac:dyDescent="0.25">
      <c r="A6985" s="532"/>
      <c r="B6985" s="532"/>
      <c r="C6985" s="532"/>
      <c r="D6985" s="564">
        <f>SUM(D6970:D6984)</f>
        <v>2154665586</v>
      </c>
      <c r="E6985" s="564">
        <f t="shared" ref="E6985:G6985" si="411">SUM(E6970:E6984)</f>
        <v>457982748</v>
      </c>
      <c r="F6985" s="564">
        <f t="shared" si="411"/>
        <v>0</v>
      </c>
      <c r="G6985" s="564">
        <f t="shared" si="411"/>
        <v>2612648334</v>
      </c>
      <c r="H6985" s="532"/>
      <c r="I6985" s="532"/>
      <c r="J6985" s="532"/>
    </row>
    <row r="6986" spans="1:10" x14ac:dyDescent="0.25">
      <c r="A6986" s="362"/>
      <c r="B6986" s="611">
        <v>44558</v>
      </c>
      <c r="C6986" s="362" t="s">
        <v>86</v>
      </c>
      <c r="D6986" s="562">
        <v>92675836</v>
      </c>
      <c r="E6986" s="562">
        <v>161787389</v>
      </c>
      <c r="F6986" s="562"/>
      <c r="G6986" s="562">
        <f>D6986+E6986-F6986</f>
        <v>254463225</v>
      </c>
      <c r="H6986" s="362"/>
      <c r="I6986" s="362"/>
      <c r="J6986" s="362"/>
    </row>
    <row r="6987" spans="1:10" x14ac:dyDescent="0.25">
      <c r="A6987" s="362"/>
      <c r="B6987" s="611">
        <v>44558</v>
      </c>
      <c r="C6987" s="362" t="s">
        <v>87</v>
      </c>
      <c r="D6987" s="562">
        <v>102719557</v>
      </c>
      <c r="E6987" s="562">
        <v>108723549</v>
      </c>
      <c r="F6987" s="562"/>
      <c r="G6987" s="562">
        <f t="shared" ref="G6987:G7051" si="412">D6987+E6987-F6987</f>
        <v>211443106</v>
      </c>
      <c r="H6987" s="362"/>
      <c r="I6987" s="362"/>
      <c r="J6987" s="362"/>
    </row>
    <row r="6988" spans="1:10" x14ac:dyDescent="0.25">
      <c r="A6988" s="362"/>
      <c r="B6988" s="611">
        <v>44558</v>
      </c>
      <c r="C6988" s="362" t="s">
        <v>88</v>
      </c>
      <c r="D6988" s="562">
        <v>206970686</v>
      </c>
      <c r="E6988" s="562">
        <v>5578873</v>
      </c>
      <c r="F6988" s="562"/>
      <c r="G6988" s="562">
        <f t="shared" si="412"/>
        <v>212549559</v>
      </c>
      <c r="H6988" s="362"/>
      <c r="I6988" s="362"/>
      <c r="J6988" s="362"/>
    </row>
    <row r="6989" spans="1:10" x14ac:dyDescent="0.25">
      <c r="A6989" s="362"/>
      <c r="B6989" s="611">
        <v>44558</v>
      </c>
      <c r="C6989" s="362" t="s">
        <v>82</v>
      </c>
      <c r="D6989" s="562">
        <v>87884779</v>
      </c>
      <c r="E6989" s="562">
        <v>1646736</v>
      </c>
      <c r="F6989" s="562"/>
      <c r="G6989" s="562">
        <f t="shared" si="412"/>
        <v>89531515</v>
      </c>
      <c r="H6989" s="362"/>
      <c r="I6989" s="362"/>
      <c r="J6989" s="362"/>
    </row>
    <row r="6990" spans="1:10" x14ac:dyDescent="0.25">
      <c r="A6990" s="362"/>
      <c r="B6990" s="611">
        <v>44558</v>
      </c>
      <c r="C6990" s="362" t="s">
        <v>80</v>
      </c>
      <c r="D6990" s="562">
        <v>392651970</v>
      </c>
      <c r="E6990" s="562">
        <v>22169530</v>
      </c>
      <c r="F6990" s="562"/>
      <c r="G6990" s="562">
        <f t="shared" si="412"/>
        <v>414821500</v>
      </c>
      <c r="H6990" s="362"/>
      <c r="I6990" s="362"/>
      <c r="J6990" s="362"/>
    </row>
    <row r="6991" spans="1:10" x14ac:dyDescent="0.25">
      <c r="A6991" s="362"/>
      <c r="B6991" s="611">
        <v>44558</v>
      </c>
      <c r="C6991" s="362" t="s">
        <v>83</v>
      </c>
      <c r="D6991" s="562">
        <v>234809810</v>
      </c>
      <c r="E6991" s="562">
        <v>107479486</v>
      </c>
      <c r="F6991" s="562"/>
      <c r="G6991" s="562">
        <f t="shared" si="412"/>
        <v>342289296</v>
      </c>
      <c r="H6991" s="362"/>
      <c r="I6991" s="362"/>
      <c r="J6991" s="362"/>
    </row>
    <row r="6992" spans="1:10" x14ac:dyDescent="0.25">
      <c r="A6992" s="362"/>
      <c r="B6992" s="611">
        <v>44558</v>
      </c>
      <c r="C6992" s="362" t="s">
        <v>78</v>
      </c>
      <c r="D6992" s="562">
        <v>167092784</v>
      </c>
      <c r="E6992" s="562">
        <v>5167616</v>
      </c>
      <c r="F6992" s="562"/>
      <c r="G6992" s="562">
        <f t="shared" si="412"/>
        <v>172260400</v>
      </c>
      <c r="H6992" s="362"/>
      <c r="I6992" s="362"/>
      <c r="J6992" s="362"/>
    </row>
    <row r="6993" spans="1:10" x14ac:dyDescent="0.25">
      <c r="A6993" s="362"/>
      <c r="B6993" s="611">
        <v>44558</v>
      </c>
      <c r="C6993" s="362" t="s">
        <v>141</v>
      </c>
      <c r="D6993" s="562">
        <v>135474212</v>
      </c>
      <c r="E6993" s="562">
        <v>541700</v>
      </c>
      <c r="F6993" s="562"/>
      <c r="G6993" s="562">
        <f t="shared" si="412"/>
        <v>136015912</v>
      </c>
      <c r="H6993" s="362"/>
      <c r="I6993" s="362"/>
      <c r="J6993" s="362"/>
    </row>
    <row r="6994" spans="1:10" x14ac:dyDescent="0.25">
      <c r="A6994" s="362"/>
      <c r="B6994" s="611">
        <v>44558</v>
      </c>
      <c r="C6994" s="362" t="s">
        <v>89</v>
      </c>
      <c r="D6994" s="562">
        <v>152325681</v>
      </c>
      <c r="E6994" s="562">
        <v>30777719</v>
      </c>
      <c r="F6994" s="562"/>
      <c r="G6994" s="562">
        <f t="shared" si="412"/>
        <v>183103400</v>
      </c>
      <c r="H6994" s="362"/>
      <c r="I6994" s="362"/>
      <c r="J6994" s="362"/>
    </row>
    <row r="6995" spans="1:10" x14ac:dyDescent="0.25">
      <c r="A6995" s="362"/>
      <c r="B6995" s="611">
        <v>44558</v>
      </c>
      <c r="C6995" s="362" t="s">
        <v>81</v>
      </c>
      <c r="D6995" s="562">
        <v>96131715</v>
      </c>
      <c r="E6995" s="562">
        <v>13525367</v>
      </c>
      <c r="F6995" s="562"/>
      <c r="G6995" s="562">
        <f t="shared" si="412"/>
        <v>109657082</v>
      </c>
      <c r="H6995" s="362"/>
      <c r="I6995" s="362"/>
      <c r="J6995" s="362"/>
    </row>
    <row r="6996" spans="1:10" x14ac:dyDescent="0.25">
      <c r="A6996" s="362"/>
      <c r="B6996" s="611">
        <v>44558</v>
      </c>
      <c r="C6996" s="362" t="s">
        <v>84</v>
      </c>
      <c r="D6996" s="562">
        <v>216116611</v>
      </c>
      <c r="E6996" s="562">
        <v>21554661</v>
      </c>
      <c r="F6996" s="562"/>
      <c r="G6996" s="562">
        <f t="shared" si="412"/>
        <v>237671272</v>
      </c>
      <c r="H6996" s="362"/>
      <c r="I6996" s="362"/>
      <c r="J6996" s="362"/>
    </row>
    <row r="6997" spans="1:10" x14ac:dyDescent="0.25">
      <c r="A6997" s="362"/>
      <c r="B6997" s="611">
        <v>44558</v>
      </c>
      <c r="C6997" s="362" t="s">
        <v>4751</v>
      </c>
      <c r="D6997" s="562">
        <v>241598724</v>
      </c>
      <c r="E6997" s="562">
        <v>14731676</v>
      </c>
      <c r="F6997" s="562"/>
      <c r="G6997" s="562">
        <f t="shared" si="412"/>
        <v>256330400</v>
      </c>
      <c r="H6997" s="362"/>
      <c r="I6997" s="362"/>
      <c r="J6997" s="362"/>
    </row>
    <row r="6998" spans="1:10" x14ac:dyDescent="0.25">
      <c r="A6998" s="362"/>
      <c r="B6998" s="611">
        <v>44558</v>
      </c>
      <c r="C6998" s="362" t="s">
        <v>166</v>
      </c>
      <c r="D6998" s="562">
        <v>95868274</v>
      </c>
      <c r="E6998" s="562">
        <v>80052414</v>
      </c>
      <c r="F6998" s="562"/>
      <c r="G6998" s="562">
        <f t="shared" si="412"/>
        <v>175920688</v>
      </c>
      <c r="H6998" s="362"/>
      <c r="I6998" s="362"/>
      <c r="J6998" s="362"/>
    </row>
    <row r="6999" spans="1:10" x14ac:dyDescent="0.25">
      <c r="A6999" s="362"/>
      <c r="B6999" s="611">
        <v>44558</v>
      </c>
      <c r="C6999" s="362" t="s">
        <v>3435</v>
      </c>
      <c r="D6999" s="562">
        <v>62290685</v>
      </c>
      <c r="E6999" s="562"/>
      <c r="F6999" s="562"/>
      <c r="G6999" s="562">
        <f t="shared" si="412"/>
        <v>62290685</v>
      </c>
      <c r="H6999" s="362"/>
      <c r="I6999" s="362"/>
      <c r="J6999" s="362"/>
    </row>
    <row r="7000" spans="1:10" x14ac:dyDescent="0.25">
      <c r="A7000" s="362"/>
      <c r="B7000" s="611">
        <v>44558</v>
      </c>
      <c r="C7000" s="370" t="s">
        <v>85</v>
      </c>
      <c r="D7000" s="562">
        <v>43539200</v>
      </c>
      <c r="E7000" s="562"/>
      <c r="F7000" s="562"/>
      <c r="G7000" s="562">
        <f t="shared" si="412"/>
        <v>43539200</v>
      </c>
      <c r="H7000" s="362"/>
      <c r="I7000" s="362"/>
      <c r="J7000" s="362"/>
    </row>
    <row r="7001" spans="1:10" x14ac:dyDescent="0.25">
      <c r="A7001" s="532"/>
      <c r="B7001" s="532"/>
      <c r="C7001" s="532"/>
      <c r="D7001" s="564">
        <f>SUM(D6986:D7000)</f>
        <v>2328150524</v>
      </c>
      <c r="E7001" s="564">
        <f t="shared" ref="E7001:G7001" si="413">SUM(E6986:E7000)</f>
        <v>573736716</v>
      </c>
      <c r="F7001" s="564">
        <f t="shared" si="413"/>
        <v>0</v>
      </c>
      <c r="G7001" s="564">
        <f t="shared" si="413"/>
        <v>2901887240</v>
      </c>
      <c r="H7001" s="532"/>
      <c r="I7001" s="532"/>
      <c r="J7001" s="532"/>
    </row>
    <row r="7002" spans="1:10" x14ac:dyDescent="0.25">
      <c r="A7002" s="362"/>
      <c r="B7002" s="611">
        <v>44559</v>
      </c>
      <c r="C7002" s="362" t="s">
        <v>86</v>
      </c>
      <c r="D7002" s="562">
        <v>65081652</v>
      </c>
      <c r="E7002" s="562">
        <v>105140120</v>
      </c>
      <c r="F7002" s="562">
        <v>170221800</v>
      </c>
      <c r="G7002" s="562">
        <f t="shared" si="412"/>
        <v>-28</v>
      </c>
      <c r="H7002" s="362"/>
      <c r="I7002" s="362"/>
      <c r="J7002" s="362"/>
    </row>
    <row r="7003" spans="1:10" x14ac:dyDescent="0.25">
      <c r="A7003" s="362"/>
      <c r="B7003" s="611">
        <v>44559</v>
      </c>
      <c r="C7003" s="362" t="s">
        <v>87</v>
      </c>
      <c r="D7003" s="562">
        <v>62361158</v>
      </c>
      <c r="E7003" s="562">
        <v>193642354</v>
      </c>
      <c r="F7003" s="562">
        <v>256003500</v>
      </c>
      <c r="G7003" s="562">
        <f t="shared" si="412"/>
        <v>12</v>
      </c>
      <c r="H7003" s="362"/>
      <c r="I7003" s="362"/>
      <c r="J7003" s="362"/>
    </row>
    <row r="7004" spans="1:10" x14ac:dyDescent="0.25">
      <c r="A7004" s="362"/>
      <c r="B7004" s="611">
        <v>44559</v>
      </c>
      <c r="C7004" s="362" t="s">
        <v>88</v>
      </c>
      <c r="D7004" s="562">
        <v>157423634</v>
      </c>
      <c r="E7004" s="562">
        <v>9866987</v>
      </c>
      <c r="F7004" s="562">
        <v>167290700</v>
      </c>
      <c r="G7004" s="562">
        <f t="shared" si="412"/>
        <v>-79</v>
      </c>
      <c r="H7004" s="362"/>
      <c r="I7004" s="362"/>
      <c r="J7004" s="362"/>
    </row>
    <row r="7005" spans="1:10" x14ac:dyDescent="0.25">
      <c r="A7005" s="362"/>
      <c r="B7005" s="611">
        <v>44559</v>
      </c>
      <c r="C7005" s="362" t="s">
        <v>82</v>
      </c>
      <c r="D7005" s="562">
        <v>146793083</v>
      </c>
      <c r="E7005" s="562">
        <v>24973489</v>
      </c>
      <c r="F7005" s="562">
        <v>171766600</v>
      </c>
      <c r="G7005" s="562">
        <f t="shared" si="412"/>
        <v>-28</v>
      </c>
      <c r="H7005" s="362"/>
      <c r="I7005" s="362"/>
      <c r="J7005" s="362"/>
    </row>
    <row r="7006" spans="1:10" x14ac:dyDescent="0.25">
      <c r="A7006" s="362"/>
      <c r="B7006" s="611">
        <v>44559</v>
      </c>
      <c r="C7006" s="362" t="s">
        <v>80</v>
      </c>
      <c r="D7006" s="562">
        <v>436403821</v>
      </c>
      <c r="E7006" s="562">
        <v>151194205</v>
      </c>
      <c r="F7006" s="562">
        <v>587597400</v>
      </c>
      <c r="G7006" s="562">
        <f t="shared" si="412"/>
        <v>626</v>
      </c>
      <c r="H7006" s="362"/>
      <c r="I7006" s="362"/>
      <c r="J7006" s="362"/>
    </row>
    <row r="7007" spans="1:10" x14ac:dyDescent="0.25">
      <c r="A7007" s="362"/>
      <c r="B7007" s="611">
        <v>44559</v>
      </c>
      <c r="C7007" s="362" t="s">
        <v>83</v>
      </c>
      <c r="D7007" s="562">
        <v>153132537</v>
      </c>
      <c r="E7007" s="562">
        <v>346199818</v>
      </c>
      <c r="F7007" s="562">
        <v>499332300</v>
      </c>
      <c r="G7007" s="562">
        <f t="shared" si="412"/>
        <v>55</v>
      </c>
      <c r="H7007" s="362"/>
      <c r="I7007" s="362"/>
      <c r="J7007" s="362"/>
    </row>
    <row r="7008" spans="1:10" x14ac:dyDescent="0.25">
      <c r="A7008" s="362"/>
      <c r="B7008" s="611">
        <v>44559</v>
      </c>
      <c r="C7008" s="362" t="s">
        <v>78</v>
      </c>
      <c r="D7008" s="562">
        <v>134650426</v>
      </c>
      <c r="E7008" s="562">
        <v>5801174</v>
      </c>
      <c r="F7008" s="562">
        <v>140451600</v>
      </c>
      <c r="G7008" s="562">
        <f t="shared" si="412"/>
        <v>0</v>
      </c>
      <c r="H7008" s="362"/>
      <c r="I7008" s="362"/>
      <c r="J7008" s="362"/>
    </row>
    <row r="7009" spans="1:10" x14ac:dyDescent="0.25">
      <c r="A7009" s="362"/>
      <c r="B7009" s="611">
        <v>44559</v>
      </c>
      <c r="C7009" s="362" t="s">
        <v>141</v>
      </c>
      <c r="D7009" s="562">
        <v>120716508</v>
      </c>
      <c r="E7009" s="562">
        <v>817420</v>
      </c>
      <c r="F7009" s="562">
        <v>121534000</v>
      </c>
      <c r="G7009" s="562">
        <f t="shared" si="412"/>
        <v>-72</v>
      </c>
      <c r="H7009" s="362"/>
      <c r="I7009" s="362"/>
      <c r="J7009" s="362"/>
    </row>
    <row r="7010" spans="1:10" x14ac:dyDescent="0.25">
      <c r="A7010" s="362"/>
      <c r="B7010" s="611">
        <v>44559</v>
      </c>
      <c r="C7010" s="362" t="s">
        <v>89</v>
      </c>
      <c r="D7010" s="562">
        <v>124084473</v>
      </c>
      <c r="E7010" s="562">
        <v>131083327</v>
      </c>
      <c r="F7010" s="562">
        <v>255167700</v>
      </c>
      <c r="G7010" s="562">
        <f t="shared" si="412"/>
        <v>100</v>
      </c>
      <c r="H7010" s="362"/>
      <c r="I7010" s="362"/>
      <c r="J7010" s="362"/>
    </row>
    <row r="7011" spans="1:10" x14ac:dyDescent="0.25">
      <c r="A7011" s="362"/>
      <c r="B7011" s="611">
        <v>44559</v>
      </c>
      <c r="C7011" s="362" t="s">
        <v>81</v>
      </c>
      <c r="D7011" s="562">
        <v>129663376</v>
      </c>
      <c r="E7011" s="562">
        <v>147776260</v>
      </c>
      <c r="F7011" s="562">
        <v>277437700</v>
      </c>
      <c r="G7011" s="562">
        <f t="shared" si="412"/>
        <v>1936</v>
      </c>
      <c r="H7011" s="362"/>
      <c r="I7011" s="362"/>
      <c r="J7011" s="362"/>
    </row>
    <row r="7012" spans="1:10" x14ac:dyDescent="0.25">
      <c r="A7012" s="362"/>
      <c r="B7012" s="611">
        <v>44559</v>
      </c>
      <c r="C7012" s="362" t="s">
        <v>84</v>
      </c>
      <c r="D7012" s="562">
        <v>249829888</v>
      </c>
      <c r="E7012" s="562">
        <v>30657329</v>
      </c>
      <c r="F7012" s="562">
        <v>280487200</v>
      </c>
      <c r="G7012" s="562">
        <f t="shared" si="412"/>
        <v>17</v>
      </c>
      <c r="H7012" s="362"/>
      <c r="I7012" s="362"/>
      <c r="J7012" s="362"/>
    </row>
    <row r="7013" spans="1:10" x14ac:dyDescent="0.25">
      <c r="A7013" s="362"/>
      <c r="B7013" s="611">
        <v>44559</v>
      </c>
      <c r="C7013" s="362" t="s">
        <v>4751</v>
      </c>
      <c r="D7013" s="562">
        <v>197394957</v>
      </c>
      <c r="E7013" s="562">
        <v>18812643</v>
      </c>
      <c r="F7013" s="562">
        <v>216207600</v>
      </c>
      <c r="G7013" s="562">
        <f t="shared" si="412"/>
        <v>0</v>
      </c>
      <c r="H7013" s="362"/>
      <c r="I7013" s="362"/>
      <c r="J7013" s="362"/>
    </row>
    <row r="7014" spans="1:10" x14ac:dyDescent="0.25">
      <c r="A7014" s="362"/>
      <c r="B7014" s="611">
        <v>44559</v>
      </c>
      <c r="C7014" s="362" t="s">
        <v>166</v>
      </c>
      <c r="D7014" s="562">
        <v>63220806</v>
      </c>
      <c r="E7014" s="562"/>
      <c r="F7014" s="562"/>
      <c r="G7014" s="562">
        <f t="shared" si="412"/>
        <v>63220806</v>
      </c>
      <c r="H7014" s="362"/>
      <c r="I7014" s="362"/>
      <c r="J7014" s="362"/>
    </row>
    <row r="7015" spans="1:10" x14ac:dyDescent="0.25">
      <c r="A7015" s="362"/>
      <c r="B7015" s="611">
        <v>44559</v>
      </c>
      <c r="C7015" s="362" t="s">
        <v>3435</v>
      </c>
      <c r="D7015" s="562">
        <v>29571861</v>
      </c>
      <c r="E7015" s="562"/>
      <c r="F7015" s="562">
        <v>29571900</v>
      </c>
      <c r="G7015" s="562">
        <f t="shared" si="412"/>
        <v>-39</v>
      </c>
      <c r="H7015" s="362"/>
      <c r="I7015" s="362"/>
      <c r="J7015" s="362"/>
    </row>
    <row r="7016" spans="1:10" x14ac:dyDescent="0.25">
      <c r="A7016" s="362"/>
      <c r="B7016" s="611">
        <v>44559</v>
      </c>
      <c r="C7016" s="370" t="s">
        <v>85</v>
      </c>
      <c r="D7016" s="562">
        <v>58189700</v>
      </c>
      <c r="E7016" s="562"/>
      <c r="F7016" s="562">
        <v>58189700</v>
      </c>
      <c r="G7016" s="562">
        <f t="shared" si="412"/>
        <v>0</v>
      </c>
      <c r="H7016" s="362"/>
      <c r="I7016" s="362"/>
      <c r="J7016" s="362"/>
    </row>
    <row r="7017" spans="1:10" x14ac:dyDescent="0.25">
      <c r="A7017" s="532"/>
      <c r="B7017" s="532"/>
      <c r="C7017" s="532"/>
      <c r="D7017" s="564">
        <f>SUM(D7002:D7016)</f>
        <v>2128517880</v>
      </c>
      <c r="E7017" s="564">
        <f t="shared" ref="E7017:G7017" si="414">SUM(E7002:E7016)</f>
        <v>1165965126</v>
      </c>
      <c r="F7017" s="564">
        <f t="shared" si="414"/>
        <v>3231259700</v>
      </c>
      <c r="G7017" s="564">
        <f t="shared" si="414"/>
        <v>63223306</v>
      </c>
      <c r="H7017" s="532"/>
      <c r="I7017" s="532"/>
      <c r="J7017" s="532"/>
    </row>
    <row r="7018" spans="1:10" x14ac:dyDescent="0.25">
      <c r="A7018" s="362"/>
      <c r="B7018" s="611">
        <v>44560</v>
      </c>
      <c r="C7018" s="362" t="s">
        <v>86</v>
      </c>
      <c r="D7018" s="562">
        <v>83871622</v>
      </c>
      <c r="E7018" s="562">
        <v>140504965</v>
      </c>
      <c r="F7018" s="562"/>
      <c r="G7018" s="562">
        <f t="shared" si="412"/>
        <v>224376587</v>
      </c>
      <c r="H7018" s="362"/>
      <c r="I7018" s="362"/>
      <c r="J7018" s="362"/>
    </row>
    <row r="7019" spans="1:10" x14ac:dyDescent="0.25">
      <c r="A7019" s="362"/>
      <c r="B7019" s="611">
        <v>44560</v>
      </c>
      <c r="C7019" s="362" t="s">
        <v>87</v>
      </c>
      <c r="D7019" s="562">
        <v>83433558</v>
      </c>
      <c r="E7019" s="562">
        <v>259624265</v>
      </c>
      <c r="F7019" s="562"/>
      <c r="G7019" s="562">
        <f t="shared" si="412"/>
        <v>343057823</v>
      </c>
      <c r="H7019" s="362"/>
      <c r="I7019" s="362"/>
      <c r="J7019" s="362"/>
    </row>
    <row r="7020" spans="1:10" x14ac:dyDescent="0.25">
      <c r="A7020" s="362"/>
      <c r="B7020" s="611">
        <v>44560</v>
      </c>
      <c r="C7020" s="362" t="s">
        <v>88</v>
      </c>
      <c r="D7020" s="562">
        <v>229273577</v>
      </c>
      <c r="E7020" s="562">
        <v>208856269</v>
      </c>
      <c r="F7020" s="562"/>
      <c r="G7020" s="562">
        <f t="shared" si="412"/>
        <v>438129846</v>
      </c>
      <c r="H7020" s="362"/>
      <c r="I7020" s="362"/>
      <c r="J7020" s="362"/>
    </row>
    <row r="7021" spans="1:10" x14ac:dyDescent="0.25">
      <c r="A7021" s="362"/>
      <c r="B7021" s="611">
        <v>44560</v>
      </c>
      <c r="C7021" s="362" t="s">
        <v>82</v>
      </c>
      <c r="D7021" s="562">
        <v>133451790</v>
      </c>
      <c r="E7021" s="562"/>
      <c r="F7021" s="562"/>
      <c r="G7021" s="562">
        <f t="shared" si="412"/>
        <v>133451790</v>
      </c>
      <c r="H7021" s="362"/>
      <c r="I7021" s="362"/>
      <c r="J7021" s="362"/>
    </row>
    <row r="7022" spans="1:10" x14ac:dyDescent="0.25">
      <c r="A7022" s="362"/>
      <c r="B7022" s="611">
        <v>44560</v>
      </c>
      <c r="C7022" s="362" t="s">
        <v>80</v>
      </c>
      <c r="D7022" s="562">
        <v>222693289</v>
      </c>
      <c r="E7022" s="562">
        <v>382442179</v>
      </c>
      <c r="F7022" s="562"/>
      <c r="G7022" s="562">
        <f t="shared" si="412"/>
        <v>605135468</v>
      </c>
      <c r="H7022" s="362"/>
      <c r="I7022" s="362"/>
      <c r="J7022" s="362"/>
    </row>
    <row r="7023" spans="1:10" x14ac:dyDescent="0.25">
      <c r="A7023" s="362"/>
      <c r="B7023" s="611">
        <v>44560</v>
      </c>
      <c r="C7023" s="362" t="s">
        <v>83</v>
      </c>
      <c r="D7023" s="562">
        <v>136323432</v>
      </c>
      <c r="E7023" s="562">
        <v>5092568</v>
      </c>
      <c r="F7023" s="562"/>
      <c r="G7023" s="562">
        <f t="shared" si="412"/>
        <v>141416000</v>
      </c>
      <c r="H7023" s="362"/>
      <c r="I7023" s="362"/>
      <c r="J7023" s="362"/>
    </row>
    <row r="7024" spans="1:10" x14ac:dyDescent="0.25">
      <c r="A7024" s="362"/>
      <c r="B7024" s="611">
        <v>44560</v>
      </c>
      <c r="C7024" s="362" t="s">
        <v>78</v>
      </c>
      <c r="D7024" s="562">
        <v>143220547</v>
      </c>
      <c r="E7024" s="562">
        <v>722853</v>
      </c>
      <c r="F7024" s="562"/>
      <c r="G7024" s="562">
        <f t="shared" si="412"/>
        <v>143943400</v>
      </c>
      <c r="H7024" s="362"/>
      <c r="I7024" s="362"/>
      <c r="J7024" s="362"/>
    </row>
    <row r="7025" spans="1:10" x14ac:dyDescent="0.25">
      <c r="A7025" s="362"/>
      <c r="B7025" s="611">
        <v>44560</v>
      </c>
      <c r="C7025" s="362" t="s">
        <v>141</v>
      </c>
      <c r="D7025" s="562">
        <v>177122000</v>
      </c>
      <c r="E7025" s="562"/>
      <c r="F7025" s="562"/>
      <c r="G7025" s="562">
        <f t="shared" si="412"/>
        <v>177122000</v>
      </c>
      <c r="H7025" s="362"/>
      <c r="I7025" s="362"/>
      <c r="J7025" s="362"/>
    </row>
    <row r="7026" spans="1:10" x14ac:dyDescent="0.25">
      <c r="A7026" s="362"/>
      <c r="B7026" s="611">
        <v>44560</v>
      </c>
      <c r="C7026" s="362" t="s">
        <v>89</v>
      </c>
      <c r="D7026" s="562">
        <v>229332120</v>
      </c>
      <c r="E7026" s="562">
        <v>47624280</v>
      </c>
      <c r="F7026" s="562"/>
      <c r="G7026" s="562">
        <f t="shared" si="412"/>
        <v>276956400</v>
      </c>
      <c r="H7026" s="362"/>
      <c r="I7026" s="362"/>
      <c r="J7026" s="362"/>
    </row>
    <row r="7027" spans="1:10" x14ac:dyDescent="0.25">
      <c r="A7027" s="362"/>
      <c r="B7027" s="611">
        <v>44560</v>
      </c>
      <c r="C7027" s="362" t="s">
        <v>81</v>
      </c>
      <c r="D7027" s="562">
        <v>106710087</v>
      </c>
      <c r="E7027" s="562">
        <v>5211516</v>
      </c>
      <c r="F7027" s="562"/>
      <c r="G7027" s="562">
        <f t="shared" si="412"/>
        <v>111921603</v>
      </c>
      <c r="H7027" s="362"/>
      <c r="I7027" s="362"/>
      <c r="J7027" s="362"/>
    </row>
    <row r="7028" spans="1:10" x14ac:dyDescent="0.25">
      <c r="A7028" s="362"/>
      <c r="B7028" s="611">
        <v>44560</v>
      </c>
      <c r="C7028" s="362" t="s">
        <v>84</v>
      </c>
      <c r="D7028" s="562">
        <v>230117463</v>
      </c>
      <c r="E7028" s="562">
        <v>6015875</v>
      </c>
      <c r="F7028" s="562"/>
      <c r="G7028" s="562">
        <f t="shared" si="412"/>
        <v>236133338</v>
      </c>
      <c r="H7028" s="362"/>
      <c r="I7028" s="362"/>
      <c r="J7028" s="362"/>
    </row>
    <row r="7029" spans="1:10" x14ac:dyDescent="0.25">
      <c r="A7029" s="362"/>
      <c r="B7029" s="611">
        <v>44560</v>
      </c>
      <c r="C7029" s="362" t="s">
        <v>4751</v>
      </c>
      <c r="D7029" s="562">
        <v>376843019</v>
      </c>
      <c r="E7029" s="562">
        <v>19058481</v>
      </c>
      <c r="F7029" s="562"/>
      <c r="G7029" s="562">
        <f t="shared" si="412"/>
        <v>395901500</v>
      </c>
      <c r="H7029" s="362"/>
      <c r="I7029" s="362"/>
      <c r="J7029" s="362"/>
    </row>
    <row r="7030" spans="1:10" x14ac:dyDescent="0.25">
      <c r="A7030" s="362"/>
      <c r="B7030" s="611">
        <v>44560</v>
      </c>
      <c r="C7030" s="362" t="s">
        <v>166</v>
      </c>
      <c r="D7030" s="562">
        <v>65959810</v>
      </c>
      <c r="E7030" s="562"/>
      <c r="F7030" s="562"/>
      <c r="G7030" s="562">
        <f t="shared" si="412"/>
        <v>65959810</v>
      </c>
      <c r="H7030" s="362"/>
      <c r="I7030" s="362"/>
      <c r="J7030" s="362"/>
    </row>
    <row r="7031" spans="1:10" x14ac:dyDescent="0.25">
      <c r="A7031" s="362"/>
      <c r="B7031" s="611">
        <v>44560</v>
      </c>
      <c r="C7031" s="362" t="s">
        <v>3435</v>
      </c>
      <c r="D7031" s="562"/>
      <c r="E7031" s="562"/>
      <c r="F7031" s="562"/>
      <c r="G7031" s="562">
        <f t="shared" si="412"/>
        <v>0</v>
      </c>
      <c r="H7031" s="362"/>
      <c r="I7031" s="362"/>
      <c r="J7031" s="362"/>
    </row>
    <row r="7032" spans="1:10" x14ac:dyDescent="0.25">
      <c r="A7032" s="362"/>
      <c r="B7032" s="611">
        <v>44560</v>
      </c>
      <c r="C7032" s="370" t="s">
        <v>85</v>
      </c>
      <c r="D7032" s="562">
        <v>39199900</v>
      </c>
      <c r="E7032" s="562"/>
      <c r="F7032" s="562"/>
      <c r="G7032" s="562">
        <f t="shared" si="412"/>
        <v>39199900</v>
      </c>
      <c r="H7032" s="362"/>
      <c r="I7032" s="362"/>
      <c r="J7032" s="362"/>
    </row>
    <row r="7033" spans="1:10" x14ac:dyDescent="0.25">
      <c r="A7033" s="532"/>
      <c r="B7033" s="532"/>
      <c r="C7033" s="532"/>
      <c r="D7033" s="564">
        <f>SUM(D7018:D7032)</f>
        <v>2257552214</v>
      </c>
      <c r="E7033" s="564">
        <f t="shared" ref="E7033:G7033" si="415">SUM(E7018:E7032)</f>
        <v>1075153251</v>
      </c>
      <c r="F7033" s="564">
        <f t="shared" si="415"/>
        <v>0</v>
      </c>
      <c r="G7033" s="564">
        <f t="shared" si="415"/>
        <v>3332705465</v>
      </c>
      <c r="H7033" s="532"/>
      <c r="I7033" s="532"/>
      <c r="J7033" s="532"/>
    </row>
    <row r="7034" spans="1:10" x14ac:dyDescent="0.25">
      <c r="A7034" s="362"/>
      <c r="B7034" s="611">
        <v>44561</v>
      </c>
      <c r="C7034" s="362" t="s">
        <v>86</v>
      </c>
      <c r="D7034" s="562">
        <v>66230325</v>
      </c>
      <c r="E7034" s="562">
        <v>36269267</v>
      </c>
      <c r="F7034" s="562"/>
      <c r="G7034" s="562">
        <f t="shared" si="412"/>
        <v>102499592</v>
      </c>
      <c r="H7034" s="362"/>
      <c r="I7034" s="362"/>
      <c r="J7034" s="362"/>
    </row>
    <row r="7035" spans="1:10" x14ac:dyDescent="0.25">
      <c r="A7035" s="362"/>
      <c r="B7035" s="611">
        <v>44561</v>
      </c>
      <c r="C7035" s="362" t="s">
        <v>87</v>
      </c>
      <c r="D7035" s="562"/>
      <c r="E7035" s="562"/>
      <c r="F7035" s="562"/>
      <c r="G7035" s="562">
        <f t="shared" si="412"/>
        <v>0</v>
      </c>
      <c r="H7035" s="362"/>
      <c r="I7035" s="362"/>
      <c r="J7035" s="362"/>
    </row>
    <row r="7036" spans="1:10" x14ac:dyDescent="0.25">
      <c r="A7036" s="362"/>
      <c r="B7036" s="611">
        <v>44561</v>
      </c>
      <c r="C7036" s="362" t="s">
        <v>88</v>
      </c>
      <c r="D7036" s="562"/>
      <c r="E7036" s="562"/>
      <c r="F7036" s="562"/>
      <c r="G7036" s="562">
        <f t="shared" si="412"/>
        <v>0</v>
      </c>
      <c r="H7036" s="362"/>
      <c r="I7036" s="362"/>
      <c r="J7036" s="362"/>
    </row>
    <row r="7037" spans="1:10" x14ac:dyDescent="0.25">
      <c r="A7037" s="362"/>
      <c r="B7037" s="611">
        <v>44561</v>
      </c>
      <c r="C7037" s="362" t="s">
        <v>82</v>
      </c>
      <c r="D7037" s="562">
        <v>17581299</v>
      </c>
      <c r="E7037" s="562"/>
      <c r="F7037" s="562"/>
      <c r="G7037" s="562">
        <f t="shared" si="412"/>
        <v>17581299</v>
      </c>
      <c r="H7037" s="362"/>
      <c r="I7037" s="362"/>
      <c r="J7037" s="362"/>
    </row>
    <row r="7038" spans="1:10" x14ac:dyDescent="0.25">
      <c r="A7038" s="362"/>
      <c r="B7038" s="611">
        <v>44561</v>
      </c>
      <c r="C7038" s="362" t="s">
        <v>80</v>
      </c>
      <c r="D7038" s="562">
        <v>41411700</v>
      </c>
      <c r="E7038" s="562">
        <v>189680000</v>
      </c>
      <c r="F7038" s="562"/>
      <c r="G7038" s="562">
        <f t="shared" si="412"/>
        <v>231091700</v>
      </c>
      <c r="H7038" s="362"/>
      <c r="I7038" s="362"/>
      <c r="J7038" s="362"/>
    </row>
    <row r="7039" spans="1:10" x14ac:dyDescent="0.25">
      <c r="A7039" s="362"/>
      <c r="B7039" s="611">
        <v>44561</v>
      </c>
      <c r="C7039" s="362" t="s">
        <v>83</v>
      </c>
      <c r="D7039" s="562">
        <v>250052032</v>
      </c>
      <c r="E7039" s="562">
        <v>5092568</v>
      </c>
      <c r="F7039" s="562"/>
      <c r="G7039" s="562">
        <f t="shared" si="412"/>
        <v>255144600</v>
      </c>
      <c r="H7039" s="362"/>
      <c r="I7039" s="362"/>
      <c r="J7039" s="362"/>
    </row>
    <row r="7040" spans="1:10" x14ac:dyDescent="0.25">
      <c r="A7040" s="362"/>
      <c r="B7040" s="611">
        <v>44561</v>
      </c>
      <c r="C7040" s="362" t="s">
        <v>78</v>
      </c>
      <c r="D7040" s="562">
        <v>115289000</v>
      </c>
      <c r="E7040" s="562"/>
      <c r="F7040" s="562"/>
      <c r="G7040" s="562">
        <f t="shared" si="412"/>
        <v>115289000</v>
      </c>
      <c r="H7040" s="362"/>
      <c r="I7040" s="362"/>
      <c r="J7040" s="362"/>
    </row>
    <row r="7041" spans="1:10" x14ac:dyDescent="0.25">
      <c r="A7041" s="362"/>
      <c r="B7041" s="611">
        <v>44561</v>
      </c>
      <c r="C7041" s="362" t="s">
        <v>141</v>
      </c>
      <c r="D7041" s="562">
        <v>11545359</v>
      </c>
      <c r="E7041" s="562"/>
      <c r="F7041" s="562"/>
      <c r="G7041" s="562">
        <f t="shared" si="412"/>
        <v>11545359</v>
      </c>
      <c r="H7041" s="362"/>
      <c r="I7041" s="362"/>
      <c r="J7041" s="362"/>
    </row>
    <row r="7042" spans="1:10" x14ac:dyDescent="0.25">
      <c r="A7042" s="362"/>
      <c r="B7042" s="611">
        <v>44561</v>
      </c>
      <c r="C7042" s="362" t="s">
        <v>89</v>
      </c>
      <c r="D7042" s="562"/>
      <c r="E7042" s="562">
        <v>21971400</v>
      </c>
      <c r="F7042" s="562"/>
      <c r="G7042" s="562">
        <f t="shared" si="412"/>
        <v>21971400</v>
      </c>
      <c r="H7042" s="362"/>
      <c r="I7042" s="362"/>
      <c r="J7042" s="362"/>
    </row>
    <row r="7043" spans="1:10" x14ac:dyDescent="0.25">
      <c r="A7043" s="362"/>
      <c r="B7043" s="611">
        <v>44561</v>
      </c>
      <c r="C7043" s="362" t="s">
        <v>81</v>
      </c>
      <c r="D7043" s="562">
        <v>98643941</v>
      </c>
      <c r="E7043" s="562">
        <v>7343708</v>
      </c>
      <c r="F7043" s="562"/>
      <c r="G7043" s="562">
        <f t="shared" si="412"/>
        <v>105987649</v>
      </c>
      <c r="H7043" s="362"/>
      <c r="I7043" s="362"/>
      <c r="J7043" s="362"/>
    </row>
    <row r="7044" spans="1:10" x14ac:dyDescent="0.25">
      <c r="A7044" s="362"/>
      <c r="B7044" s="611">
        <v>44561</v>
      </c>
      <c r="C7044" s="362" t="s">
        <v>84</v>
      </c>
      <c r="D7044" s="562">
        <v>170773228</v>
      </c>
      <c r="E7044" s="562">
        <v>1525638</v>
      </c>
      <c r="F7044" s="562"/>
      <c r="G7044" s="562">
        <f t="shared" si="412"/>
        <v>172298866</v>
      </c>
      <c r="H7044" s="362"/>
      <c r="I7044" s="362"/>
      <c r="J7044" s="362"/>
    </row>
    <row r="7045" spans="1:10" x14ac:dyDescent="0.25">
      <c r="A7045" s="362"/>
      <c r="B7045" s="611">
        <v>44561</v>
      </c>
      <c r="C7045" s="362" t="s">
        <v>4751</v>
      </c>
      <c r="D7045" s="562">
        <v>118678954</v>
      </c>
      <c r="E7045" s="562">
        <v>612946</v>
      </c>
      <c r="F7045" s="562"/>
      <c r="G7045" s="562">
        <f t="shared" si="412"/>
        <v>119291900</v>
      </c>
      <c r="H7045" s="362"/>
      <c r="I7045" s="362"/>
      <c r="J7045" s="362"/>
    </row>
    <row r="7046" spans="1:10" x14ac:dyDescent="0.25">
      <c r="A7046" s="362"/>
      <c r="B7046" s="611">
        <v>44561</v>
      </c>
      <c r="C7046" s="362" t="s">
        <v>166</v>
      </c>
      <c r="D7046" s="562"/>
      <c r="E7046" s="562"/>
      <c r="F7046" s="562"/>
      <c r="G7046" s="562">
        <f t="shared" si="412"/>
        <v>0</v>
      </c>
      <c r="H7046" s="362"/>
      <c r="I7046" s="362"/>
      <c r="J7046" s="362"/>
    </row>
    <row r="7047" spans="1:10" x14ac:dyDescent="0.25">
      <c r="A7047" s="362"/>
      <c r="B7047" s="611">
        <v>44561</v>
      </c>
      <c r="C7047" s="362" t="s">
        <v>3435</v>
      </c>
      <c r="D7047" s="562"/>
      <c r="E7047" s="562"/>
      <c r="F7047" s="562"/>
      <c r="G7047" s="562">
        <f t="shared" si="412"/>
        <v>0</v>
      </c>
      <c r="H7047" s="362"/>
      <c r="I7047" s="362"/>
      <c r="J7047" s="362"/>
    </row>
    <row r="7048" spans="1:10" x14ac:dyDescent="0.25">
      <c r="A7048" s="362"/>
      <c r="B7048" s="611">
        <v>44561</v>
      </c>
      <c r="C7048" s="370" t="s">
        <v>85</v>
      </c>
      <c r="D7048" s="562">
        <v>31496200</v>
      </c>
      <c r="E7048" s="562">
        <v>7251600</v>
      </c>
      <c r="F7048" s="562"/>
      <c r="G7048" s="562">
        <f t="shared" si="412"/>
        <v>38747800</v>
      </c>
      <c r="H7048" s="362"/>
      <c r="I7048" s="362"/>
      <c r="J7048" s="362"/>
    </row>
    <row r="7049" spans="1:10" x14ac:dyDescent="0.25">
      <c r="A7049" s="532"/>
      <c r="B7049" s="532"/>
      <c r="C7049" s="532"/>
      <c r="D7049" s="564">
        <f>SUM(D7034:D7048)</f>
        <v>921702038</v>
      </c>
      <c r="E7049" s="564">
        <f t="shared" ref="E7049:G7049" si="416">SUM(E7034:E7048)</f>
        <v>269747127</v>
      </c>
      <c r="F7049" s="564">
        <f t="shared" si="416"/>
        <v>0</v>
      </c>
      <c r="G7049" s="564">
        <f t="shared" si="416"/>
        <v>1191449165</v>
      </c>
      <c r="H7049" s="532"/>
      <c r="I7049" s="532"/>
      <c r="J7049" s="532"/>
    </row>
    <row r="7050" spans="1:10" x14ac:dyDescent="0.25">
      <c r="A7050" s="362"/>
      <c r="B7050" s="611">
        <v>44564</v>
      </c>
      <c r="C7050" s="362" t="s">
        <v>86</v>
      </c>
      <c r="D7050" s="562">
        <v>73122866</v>
      </c>
      <c r="E7050" s="562">
        <v>42181903</v>
      </c>
      <c r="F7050" s="562"/>
      <c r="G7050" s="562">
        <f t="shared" si="412"/>
        <v>115304769</v>
      </c>
      <c r="H7050" s="362"/>
      <c r="I7050" s="362"/>
      <c r="J7050" s="362"/>
    </row>
    <row r="7051" spans="1:10" x14ac:dyDescent="0.25">
      <c r="A7051" s="362"/>
      <c r="B7051" s="611">
        <v>44564</v>
      </c>
      <c r="C7051" s="362" t="s">
        <v>87</v>
      </c>
      <c r="D7051" s="562">
        <v>117598473</v>
      </c>
      <c r="E7051" s="562">
        <v>1523850</v>
      </c>
      <c r="F7051" s="562"/>
      <c r="G7051" s="562">
        <f t="shared" si="412"/>
        <v>119122323</v>
      </c>
      <c r="H7051" s="362"/>
      <c r="I7051" s="362"/>
      <c r="J7051" s="362"/>
    </row>
    <row r="7052" spans="1:10" x14ac:dyDescent="0.25">
      <c r="A7052" s="362"/>
      <c r="B7052" s="611">
        <v>44564</v>
      </c>
      <c r="C7052" s="362" t="s">
        <v>88</v>
      </c>
      <c r="D7052" s="562">
        <v>106673560</v>
      </c>
      <c r="E7052" s="562">
        <v>79001690</v>
      </c>
      <c r="F7052" s="562"/>
      <c r="G7052" s="562">
        <f t="shared" ref="G7052:G7115" si="417">D7052+E7052-F7052</f>
        <v>185675250</v>
      </c>
      <c r="H7052" s="362"/>
      <c r="I7052" s="362"/>
      <c r="J7052" s="362"/>
    </row>
    <row r="7053" spans="1:10" x14ac:dyDescent="0.25">
      <c r="A7053" s="362"/>
      <c r="B7053" s="611">
        <v>44564</v>
      </c>
      <c r="C7053" s="362" t="s">
        <v>82</v>
      </c>
      <c r="D7053" s="562">
        <v>51377762</v>
      </c>
      <c r="E7053" s="562">
        <v>1240580</v>
      </c>
      <c r="F7053" s="562"/>
      <c r="G7053" s="562">
        <f t="shared" si="417"/>
        <v>52618342</v>
      </c>
      <c r="H7053" s="362"/>
      <c r="I7053" s="362"/>
      <c r="J7053" s="362"/>
    </row>
    <row r="7054" spans="1:10" x14ac:dyDescent="0.25">
      <c r="A7054" s="362"/>
      <c r="B7054" s="611">
        <v>44564</v>
      </c>
      <c r="C7054" s="362" t="s">
        <v>80</v>
      </c>
      <c r="D7054" s="562">
        <v>244775173</v>
      </c>
      <c r="E7054" s="562"/>
      <c r="F7054" s="562"/>
      <c r="G7054" s="562">
        <f t="shared" si="417"/>
        <v>244775173</v>
      </c>
      <c r="H7054" s="362"/>
      <c r="I7054" s="362"/>
      <c r="J7054" s="362"/>
    </row>
    <row r="7055" spans="1:10" x14ac:dyDescent="0.25">
      <c r="A7055" s="362"/>
      <c r="B7055" s="611">
        <v>44564</v>
      </c>
      <c r="C7055" s="362" t="s">
        <v>83</v>
      </c>
      <c r="D7055" s="562">
        <v>191065849</v>
      </c>
      <c r="E7055" s="562">
        <v>5972321</v>
      </c>
      <c r="F7055" s="562"/>
      <c r="G7055" s="562">
        <f t="shared" si="417"/>
        <v>197038170</v>
      </c>
      <c r="H7055" s="362"/>
      <c r="I7055" s="362"/>
      <c r="J7055" s="362"/>
    </row>
    <row r="7056" spans="1:10" x14ac:dyDescent="0.25">
      <c r="A7056" s="362"/>
      <c r="B7056" s="611">
        <v>44564</v>
      </c>
      <c r="C7056" s="362" t="s">
        <v>78</v>
      </c>
      <c r="D7056" s="562">
        <v>147550117</v>
      </c>
      <c r="E7056" s="562">
        <v>3285683</v>
      </c>
      <c r="F7056" s="562"/>
      <c r="G7056" s="562">
        <f t="shared" si="417"/>
        <v>150835800</v>
      </c>
      <c r="H7056" s="362"/>
      <c r="I7056" s="362"/>
      <c r="J7056" s="362"/>
    </row>
    <row r="7057" spans="1:10" x14ac:dyDescent="0.25">
      <c r="A7057" s="362"/>
      <c r="B7057" s="611">
        <v>44564</v>
      </c>
      <c r="C7057" s="362" t="s">
        <v>141</v>
      </c>
      <c r="D7057" s="562">
        <v>109702493</v>
      </c>
      <c r="E7057" s="562"/>
      <c r="F7057" s="562"/>
      <c r="G7057" s="562">
        <f t="shared" si="417"/>
        <v>109702493</v>
      </c>
      <c r="H7057" s="362"/>
      <c r="I7057" s="362"/>
      <c r="J7057" s="362"/>
    </row>
    <row r="7058" spans="1:10" x14ac:dyDescent="0.25">
      <c r="A7058" s="362"/>
      <c r="B7058" s="611">
        <v>44564</v>
      </c>
      <c r="C7058" s="362" t="s">
        <v>89</v>
      </c>
      <c r="D7058" s="562">
        <v>140341128</v>
      </c>
      <c r="E7058" s="562">
        <v>20793572</v>
      </c>
      <c r="F7058" s="562"/>
      <c r="G7058" s="562">
        <f t="shared" si="417"/>
        <v>161134700</v>
      </c>
      <c r="H7058" s="362"/>
      <c r="I7058" s="362"/>
      <c r="J7058" s="362"/>
    </row>
    <row r="7059" spans="1:10" x14ac:dyDescent="0.25">
      <c r="A7059" s="362"/>
      <c r="B7059" s="611">
        <v>44564</v>
      </c>
      <c r="C7059" s="362" t="s">
        <v>81</v>
      </c>
      <c r="D7059" s="562">
        <v>76810320</v>
      </c>
      <c r="E7059" s="562">
        <v>28748794</v>
      </c>
      <c r="F7059" s="562"/>
      <c r="G7059" s="562">
        <f t="shared" si="417"/>
        <v>105559114</v>
      </c>
      <c r="H7059" s="362"/>
      <c r="I7059" s="362"/>
      <c r="J7059" s="362"/>
    </row>
    <row r="7060" spans="1:10" x14ac:dyDescent="0.25">
      <c r="A7060" s="362"/>
      <c r="B7060" s="611">
        <v>44564</v>
      </c>
      <c r="C7060" s="362" t="s">
        <v>84</v>
      </c>
      <c r="D7060" s="562">
        <v>247222562</v>
      </c>
      <c r="E7060" s="562">
        <v>9611976</v>
      </c>
      <c r="F7060" s="562"/>
      <c r="G7060" s="562">
        <f t="shared" si="417"/>
        <v>256834538</v>
      </c>
      <c r="H7060" s="362"/>
      <c r="I7060" s="362"/>
      <c r="J7060" s="362"/>
    </row>
    <row r="7061" spans="1:10" x14ac:dyDescent="0.25">
      <c r="A7061" s="362"/>
      <c r="B7061" s="611">
        <v>44564</v>
      </c>
      <c r="C7061" s="362" t="s">
        <v>4751</v>
      </c>
      <c r="D7061" s="562">
        <v>215582919</v>
      </c>
      <c r="E7061" s="562">
        <v>15119281</v>
      </c>
      <c r="F7061" s="562"/>
      <c r="G7061" s="562">
        <f t="shared" si="417"/>
        <v>230702200</v>
      </c>
      <c r="H7061" s="362"/>
      <c r="I7061" s="362"/>
      <c r="J7061" s="362"/>
    </row>
    <row r="7062" spans="1:10" x14ac:dyDescent="0.25">
      <c r="A7062" s="362"/>
      <c r="B7062" s="611">
        <v>44564</v>
      </c>
      <c r="C7062" s="362" t="s">
        <v>166</v>
      </c>
      <c r="D7062" s="562">
        <v>114880110</v>
      </c>
      <c r="E7062" s="562"/>
      <c r="F7062" s="562"/>
      <c r="G7062" s="562">
        <f t="shared" si="417"/>
        <v>114880110</v>
      </c>
      <c r="H7062" s="362"/>
      <c r="I7062" s="362"/>
      <c r="J7062" s="362"/>
    </row>
    <row r="7063" spans="1:10" x14ac:dyDescent="0.25">
      <c r="A7063" s="362"/>
      <c r="B7063" s="611">
        <v>44564</v>
      </c>
      <c r="C7063" s="362" t="s">
        <v>3435</v>
      </c>
      <c r="D7063" s="562">
        <v>25085128</v>
      </c>
      <c r="E7063" s="562"/>
      <c r="F7063" s="562"/>
      <c r="G7063" s="562">
        <f t="shared" si="417"/>
        <v>25085128</v>
      </c>
      <c r="H7063" s="362"/>
      <c r="I7063" s="362"/>
      <c r="J7063" s="362"/>
    </row>
    <row r="7064" spans="1:10" x14ac:dyDescent="0.25">
      <c r="A7064" s="362"/>
      <c r="B7064" s="611">
        <v>44564</v>
      </c>
      <c r="C7064" s="370" t="s">
        <v>85</v>
      </c>
      <c r="D7064" s="562">
        <v>50990400</v>
      </c>
      <c r="E7064" s="562">
        <v>9655965</v>
      </c>
      <c r="F7064" s="562"/>
      <c r="G7064" s="562">
        <f t="shared" si="417"/>
        <v>60646365</v>
      </c>
      <c r="H7064" s="362"/>
      <c r="I7064" s="362"/>
      <c r="J7064" s="362"/>
    </row>
    <row r="7065" spans="1:10" x14ac:dyDescent="0.25">
      <c r="A7065" s="532"/>
      <c r="B7065" s="532"/>
      <c r="C7065" s="532"/>
      <c r="D7065" s="564">
        <f>SUM(D7050:D7064)</f>
        <v>1912778860</v>
      </c>
      <c r="E7065" s="564">
        <f t="shared" ref="E7065:G7065" si="418">SUM(E7050:E7064)</f>
        <v>217135615</v>
      </c>
      <c r="F7065" s="564">
        <f t="shared" si="418"/>
        <v>0</v>
      </c>
      <c r="G7065" s="564">
        <f t="shared" si="418"/>
        <v>2129914475</v>
      </c>
      <c r="H7065" s="532"/>
      <c r="I7065" s="532"/>
      <c r="J7065" s="532"/>
    </row>
    <row r="7066" spans="1:10" x14ac:dyDescent="0.25">
      <c r="A7066" s="362"/>
      <c r="B7066" s="611">
        <v>44565</v>
      </c>
      <c r="C7066" s="362" t="s">
        <v>86</v>
      </c>
      <c r="D7066" s="562">
        <v>55059148</v>
      </c>
      <c r="E7066" s="562">
        <v>15793100</v>
      </c>
      <c r="F7066" s="562"/>
      <c r="G7066" s="562">
        <f t="shared" si="417"/>
        <v>70852248</v>
      </c>
      <c r="H7066" s="362"/>
      <c r="I7066" s="362"/>
      <c r="J7066" s="362"/>
    </row>
    <row r="7067" spans="1:10" x14ac:dyDescent="0.25">
      <c r="A7067" s="362"/>
      <c r="B7067" s="611">
        <v>44565</v>
      </c>
      <c r="C7067" s="362" t="s">
        <v>87</v>
      </c>
      <c r="D7067" s="562">
        <v>95892942</v>
      </c>
      <c r="E7067" s="562">
        <v>76903235</v>
      </c>
      <c r="F7067" s="562"/>
      <c r="G7067" s="562">
        <f t="shared" si="417"/>
        <v>172796177</v>
      </c>
      <c r="H7067" s="362"/>
      <c r="I7067" s="362"/>
      <c r="J7067" s="362"/>
    </row>
    <row r="7068" spans="1:10" x14ac:dyDescent="0.25">
      <c r="A7068" s="362"/>
      <c r="B7068" s="611">
        <v>44565</v>
      </c>
      <c r="C7068" s="362" t="s">
        <v>88</v>
      </c>
      <c r="D7068" s="562">
        <v>142665227</v>
      </c>
      <c r="E7068" s="562">
        <v>64050138</v>
      </c>
      <c r="F7068" s="562"/>
      <c r="G7068" s="562">
        <f t="shared" si="417"/>
        <v>206715365</v>
      </c>
      <c r="H7068" s="362"/>
      <c r="I7068" s="362"/>
      <c r="J7068" s="362"/>
    </row>
    <row r="7069" spans="1:10" x14ac:dyDescent="0.25">
      <c r="A7069" s="362"/>
      <c r="B7069" s="611">
        <v>44565</v>
      </c>
      <c r="C7069" s="362" t="s">
        <v>82</v>
      </c>
      <c r="D7069" s="562">
        <v>66142523</v>
      </c>
      <c r="E7069" s="562">
        <v>697840</v>
      </c>
      <c r="F7069" s="562"/>
      <c r="G7069" s="562">
        <f t="shared" si="417"/>
        <v>66840363</v>
      </c>
      <c r="H7069" s="362"/>
      <c r="I7069" s="362"/>
      <c r="J7069" s="362"/>
    </row>
    <row r="7070" spans="1:10" x14ac:dyDescent="0.25">
      <c r="A7070" s="362"/>
      <c r="B7070" s="611">
        <v>44565</v>
      </c>
      <c r="C7070" s="362" t="s">
        <v>80</v>
      </c>
      <c r="D7070" s="562">
        <v>346548064</v>
      </c>
      <c r="E7070" s="562"/>
      <c r="F7070" s="562"/>
      <c r="G7070" s="562">
        <f t="shared" si="417"/>
        <v>346548064</v>
      </c>
      <c r="H7070" s="362"/>
      <c r="I7070" s="362"/>
      <c r="J7070" s="362"/>
    </row>
    <row r="7071" spans="1:10" x14ac:dyDescent="0.25">
      <c r="A7071" s="362"/>
      <c r="B7071" s="611">
        <v>44565</v>
      </c>
      <c r="C7071" s="362" t="s">
        <v>83</v>
      </c>
      <c r="D7071" s="562">
        <v>132183791</v>
      </c>
      <c r="E7071" s="562">
        <v>49360592</v>
      </c>
      <c r="F7071" s="562"/>
      <c r="G7071" s="562">
        <f t="shared" si="417"/>
        <v>181544383</v>
      </c>
      <c r="H7071" s="362"/>
      <c r="I7071" s="362"/>
      <c r="J7071" s="362"/>
    </row>
    <row r="7072" spans="1:10" x14ac:dyDescent="0.25">
      <c r="A7072" s="362"/>
      <c r="B7072" s="611">
        <v>44565</v>
      </c>
      <c r="C7072" s="362" t="s">
        <v>78</v>
      </c>
      <c r="D7072" s="562">
        <v>189317479</v>
      </c>
      <c r="E7072" s="562">
        <v>1347221</v>
      </c>
      <c r="F7072" s="562"/>
      <c r="G7072" s="562">
        <f t="shared" si="417"/>
        <v>190664700</v>
      </c>
      <c r="H7072" s="362"/>
      <c r="I7072" s="362"/>
      <c r="J7072" s="362"/>
    </row>
    <row r="7073" spans="1:10" x14ac:dyDescent="0.25">
      <c r="A7073" s="362"/>
      <c r="B7073" s="611">
        <v>44565</v>
      </c>
      <c r="C7073" s="362" t="s">
        <v>141</v>
      </c>
      <c r="D7073" s="562">
        <v>60020832</v>
      </c>
      <c r="E7073" s="562"/>
      <c r="F7073" s="562"/>
      <c r="G7073" s="562">
        <f t="shared" si="417"/>
        <v>60020832</v>
      </c>
      <c r="H7073" s="362"/>
      <c r="I7073" s="362"/>
      <c r="J7073" s="362"/>
    </row>
    <row r="7074" spans="1:10" x14ac:dyDescent="0.25">
      <c r="A7074" s="362"/>
      <c r="B7074" s="611">
        <v>44565</v>
      </c>
      <c r="C7074" s="362" t="s">
        <v>89</v>
      </c>
      <c r="D7074" s="562">
        <v>97763795</v>
      </c>
      <c r="E7074" s="562">
        <v>34008205</v>
      </c>
      <c r="F7074" s="562"/>
      <c r="G7074" s="562">
        <f t="shared" si="417"/>
        <v>131772000</v>
      </c>
      <c r="H7074" s="362"/>
      <c r="I7074" s="362"/>
      <c r="J7074" s="362"/>
    </row>
    <row r="7075" spans="1:10" x14ac:dyDescent="0.25">
      <c r="A7075" s="362"/>
      <c r="B7075" s="611">
        <v>44565</v>
      </c>
      <c r="C7075" s="362" t="s">
        <v>81</v>
      </c>
      <c r="D7075" s="562">
        <v>100033142</v>
      </c>
      <c r="E7075" s="562">
        <v>10610840</v>
      </c>
      <c r="F7075" s="562"/>
      <c r="G7075" s="562">
        <f t="shared" si="417"/>
        <v>110643982</v>
      </c>
      <c r="H7075" s="362"/>
      <c r="I7075" s="362"/>
      <c r="J7075" s="362"/>
    </row>
    <row r="7076" spans="1:10" x14ac:dyDescent="0.25">
      <c r="A7076" s="362"/>
      <c r="B7076" s="611">
        <v>44565</v>
      </c>
      <c r="C7076" s="362" t="s">
        <v>84</v>
      </c>
      <c r="D7076" s="562">
        <v>400389940</v>
      </c>
      <c r="E7076" s="562">
        <v>17868560</v>
      </c>
      <c r="F7076" s="562"/>
      <c r="G7076" s="562">
        <f t="shared" si="417"/>
        <v>418258500</v>
      </c>
      <c r="H7076" s="362"/>
      <c r="I7076" s="362"/>
      <c r="J7076" s="362"/>
    </row>
    <row r="7077" spans="1:10" x14ac:dyDescent="0.25">
      <c r="A7077" s="362"/>
      <c r="B7077" s="611">
        <v>44565</v>
      </c>
      <c r="C7077" s="362" t="s">
        <v>4751</v>
      </c>
      <c r="D7077" s="562">
        <v>195790780</v>
      </c>
      <c r="E7077" s="562">
        <v>9600220</v>
      </c>
      <c r="F7077" s="562"/>
      <c r="G7077" s="562">
        <f t="shared" si="417"/>
        <v>205391000</v>
      </c>
      <c r="H7077" s="362"/>
      <c r="I7077" s="362"/>
      <c r="J7077" s="362"/>
    </row>
    <row r="7078" spans="1:10" x14ac:dyDescent="0.25">
      <c r="A7078" s="362"/>
      <c r="B7078" s="611">
        <v>44565</v>
      </c>
      <c r="C7078" s="362" t="s">
        <v>166</v>
      </c>
      <c r="D7078" s="562">
        <v>137372662</v>
      </c>
      <c r="E7078" s="562"/>
      <c r="F7078" s="562"/>
      <c r="G7078" s="562">
        <f t="shared" si="417"/>
        <v>137372662</v>
      </c>
      <c r="H7078" s="362"/>
      <c r="I7078" s="362"/>
      <c r="J7078" s="362"/>
    </row>
    <row r="7079" spans="1:10" x14ac:dyDescent="0.25">
      <c r="A7079" s="362"/>
      <c r="B7079" s="611">
        <v>44565</v>
      </c>
      <c r="C7079" s="362" t="s">
        <v>3435</v>
      </c>
      <c r="D7079" s="562">
        <v>60758324</v>
      </c>
      <c r="E7079" s="562"/>
      <c r="F7079" s="562"/>
      <c r="G7079" s="562">
        <f t="shared" si="417"/>
        <v>60758324</v>
      </c>
      <c r="H7079" s="362"/>
      <c r="I7079" s="362"/>
      <c r="J7079" s="362"/>
    </row>
    <row r="7080" spans="1:10" x14ac:dyDescent="0.25">
      <c r="A7080" s="362"/>
      <c r="B7080" s="611">
        <v>44565</v>
      </c>
      <c r="C7080" s="370" t="s">
        <v>85</v>
      </c>
      <c r="D7080" s="562">
        <v>35007300</v>
      </c>
      <c r="E7080" s="562"/>
      <c r="F7080" s="562"/>
      <c r="G7080" s="562">
        <f t="shared" si="417"/>
        <v>35007300</v>
      </c>
      <c r="H7080" s="362"/>
      <c r="I7080" s="362"/>
      <c r="J7080" s="362"/>
    </row>
    <row r="7081" spans="1:10" x14ac:dyDescent="0.25">
      <c r="A7081" s="532"/>
      <c r="B7081" s="532"/>
      <c r="C7081" s="532"/>
      <c r="D7081" s="564">
        <f>SUM(D7066:D7080)</f>
        <v>2114945949</v>
      </c>
      <c r="E7081" s="564">
        <f t="shared" ref="E7081:G7081" si="419">SUM(E7066:E7080)</f>
        <v>280239951</v>
      </c>
      <c r="F7081" s="564">
        <f t="shared" si="419"/>
        <v>0</v>
      </c>
      <c r="G7081" s="564">
        <f t="shared" si="419"/>
        <v>2395185900</v>
      </c>
      <c r="H7081" s="532"/>
      <c r="I7081" s="532"/>
      <c r="J7081" s="532"/>
    </row>
    <row r="7082" spans="1:10" x14ac:dyDescent="0.25">
      <c r="A7082" s="362"/>
      <c r="B7082" s="611">
        <v>44566</v>
      </c>
      <c r="C7082" s="362" t="s">
        <v>86</v>
      </c>
      <c r="D7082" s="562">
        <v>73383627</v>
      </c>
      <c r="E7082" s="562">
        <v>11583358</v>
      </c>
      <c r="F7082" s="562"/>
      <c r="G7082" s="562">
        <f t="shared" si="417"/>
        <v>84966985</v>
      </c>
      <c r="H7082" s="362"/>
      <c r="I7082" s="362"/>
      <c r="J7082" s="362"/>
    </row>
    <row r="7083" spans="1:10" x14ac:dyDescent="0.25">
      <c r="A7083" s="362"/>
      <c r="B7083" s="611">
        <v>44566</v>
      </c>
      <c r="C7083" s="362" t="s">
        <v>87</v>
      </c>
      <c r="D7083" s="562">
        <v>159745682</v>
      </c>
      <c r="E7083" s="562">
        <v>137581088</v>
      </c>
      <c r="F7083" s="562"/>
      <c r="G7083" s="562">
        <f t="shared" si="417"/>
        <v>297326770</v>
      </c>
      <c r="H7083" s="362"/>
      <c r="I7083" s="362"/>
      <c r="J7083" s="362"/>
    </row>
    <row r="7084" spans="1:10" x14ac:dyDescent="0.25">
      <c r="A7084" s="362"/>
      <c r="B7084" s="611">
        <v>44566</v>
      </c>
      <c r="C7084" s="362" t="s">
        <v>88</v>
      </c>
      <c r="D7084" s="562">
        <v>234403866</v>
      </c>
      <c r="E7084" s="562">
        <v>27534861</v>
      </c>
      <c r="F7084" s="562"/>
      <c r="G7084" s="562">
        <f t="shared" si="417"/>
        <v>261938727</v>
      </c>
      <c r="H7084" s="362"/>
      <c r="I7084" s="362"/>
      <c r="J7084" s="362"/>
    </row>
    <row r="7085" spans="1:10" x14ac:dyDescent="0.25">
      <c r="A7085" s="362"/>
      <c r="B7085" s="611">
        <v>44566</v>
      </c>
      <c r="C7085" s="362" t="s">
        <v>82</v>
      </c>
      <c r="D7085" s="562">
        <v>98238431</v>
      </c>
      <c r="E7085" s="562">
        <v>1902065</v>
      </c>
      <c r="F7085" s="562"/>
      <c r="G7085" s="562">
        <f t="shared" si="417"/>
        <v>100140496</v>
      </c>
      <c r="H7085" s="362"/>
      <c r="I7085" s="362"/>
      <c r="J7085" s="362"/>
    </row>
    <row r="7086" spans="1:10" x14ac:dyDescent="0.25">
      <c r="A7086" s="362"/>
      <c r="B7086" s="611">
        <v>44566</v>
      </c>
      <c r="C7086" s="362" t="s">
        <v>80</v>
      </c>
      <c r="D7086" s="562">
        <v>455065623</v>
      </c>
      <c r="E7086" s="562"/>
      <c r="F7086" s="562"/>
      <c r="G7086" s="562">
        <f t="shared" si="417"/>
        <v>455065623</v>
      </c>
      <c r="H7086" s="362"/>
      <c r="I7086" s="362"/>
      <c r="J7086" s="362"/>
    </row>
    <row r="7087" spans="1:10" x14ac:dyDescent="0.25">
      <c r="A7087" s="362"/>
      <c r="B7087" s="611">
        <v>44566</v>
      </c>
      <c r="C7087" s="362" t="s">
        <v>83</v>
      </c>
      <c r="D7087" s="562">
        <v>197387359</v>
      </c>
      <c r="E7087" s="562">
        <v>14775227</v>
      </c>
      <c r="F7087" s="562"/>
      <c r="G7087" s="562">
        <f t="shared" si="417"/>
        <v>212162586</v>
      </c>
      <c r="H7087" s="362"/>
      <c r="I7087" s="362"/>
      <c r="J7087" s="362"/>
    </row>
    <row r="7088" spans="1:10" x14ac:dyDescent="0.25">
      <c r="A7088" s="362"/>
      <c r="B7088" s="611">
        <v>44566</v>
      </c>
      <c r="C7088" s="362" t="s">
        <v>78</v>
      </c>
      <c r="D7088" s="562">
        <v>101639382</v>
      </c>
      <c r="E7088" s="562">
        <v>7400518</v>
      </c>
      <c r="F7088" s="562"/>
      <c r="G7088" s="562">
        <f t="shared" si="417"/>
        <v>109039900</v>
      </c>
      <c r="H7088" s="362"/>
      <c r="I7088" s="362"/>
      <c r="J7088" s="362"/>
    </row>
    <row r="7089" spans="1:10" x14ac:dyDescent="0.25">
      <c r="A7089" s="362"/>
      <c r="B7089" s="611">
        <v>44566</v>
      </c>
      <c r="C7089" s="362" t="s">
        <v>141</v>
      </c>
      <c r="D7089" s="562">
        <v>137357095</v>
      </c>
      <c r="E7089" s="562">
        <v>123094</v>
      </c>
      <c r="F7089" s="562"/>
      <c r="G7089" s="562">
        <f t="shared" si="417"/>
        <v>137480189</v>
      </c>
      <c r="H7089" s="362"/>
      <c r="I7089" s="362"/>
      <c r="J7089" s="362"/>
    </row>
    <row r="7090" spans="1:10" x14ac:dyDescent="0.25">
      <c r="A7090" s="362"/>
      <c r="B7090" s="611">
        <v>44566</v>
      </c>
      <c r="C7090" s="362" t="s">
        <v>89</v>
      </c>
      <c r="D7090" s="562">
        <v>133585752</v>
      </c>
      <c r="E7090" s="562">
        <v>42083648</v>
      </c>
      <c r="F7090" s="562"/>
      <c r="G7090" s="562">
        <f t="shared" si="417"/>
        <v>175669400</v>
      </c>
      <c r="H7090" s="362"/>
      <c r="I7090" s="362"/>
      <c r="J7090" s="362"/>
    </row>
    <row r="7091" spans="1:10" x14ac:dyDescent="0.25">
      <c r="A7091" s="362"/>
      <c r="B7091" s="611">
        <v>44566</v>
      </c>
      <c r="C7091" s="362" t="s">
        <v>81</v>
      </c>
      <c r="D7091" s="562">
        <v>131563755</v>
      </c>
      <c r="E7091" s="562">
        <v>12985999</v>
      </c>
      <c r="F7091" s="562"/>
      <c r="G7091" s="562">
        <f t="shared" si="417"/>
        <v>144549754</v>
      </c>
      <c r="H7091" s="362"/>
      <c r="I7091" s="362"/>
      <c r="J7091" s="362"/>
    </row>
    <row r="7092" spans="1:10" x14ac:dyDescent="0.25">
      <c r="A7092" s="362"/>
      <c r="B7092" s="611">
        <v>44566</v>
      </c>
      <c r="C7092" s="362" t="s">
        <v>84</v>
      </c>
      <c r="D7092" s="562">
        <v>256782669</v>
      </c>
      <c r="E7092" s="562">
        <v>19015422</v>
      </c>
      <c r="F7092" s="562"/>
      <c r="G7092" s="562">
        <f t="shared" si="417"/>
        <v>275798091</v>
      </c>
      <c r="H7092" s="362"/>
      <c r="I7092" s="362"/>
      <c r="J7092" s="362"/>
    </row>
    <row r="7093" spans="1:10" x14ac:dyDescent="0.25">
      <c r="A7093" s="362"/>
      <c r="B7093" s="611">
        <v>44566</v>
      </c>
      <c r="C7093" s="362" t="s">
        <v>4751</v>
      </c>
      <c r="D7093" s="562">
        <v>177977598</v>
      </c>
      <c r="E7093" s="562">
        <v>7242702</v>
      </c>
      <c r="F7093" s="562"/>
      <c r="G7093" s="562">
        <f t="shared" si="417"/>
        <v>185220300</v>
      </c>
      <c r="H7093" s="362"/>
      <c r="I7093" s="362"/>
      <c r="J7093" s="362"/>
    </row>
    <row r="7094" spans="1:10" x14ac:dyDescent="0.25">
      <c r="A7094" s="362"/>
      <c r="B7094" s="611">
        <v>44566</v>
      </c>
      <c r="C7094" s="362" t="s">
        <v>166</v>
      </c>
      <c r="D7094" s="562">
        <v>53751682</v>
      </c>
      <c r="E7094" s="562"/>
      <c r="F7094" s="562"/>
      <c r="G7094" s="562">
        <f t="shared" si="417"/>
        <v>53751682</v>
      </c>
      <c r="H7094" s="362"/>
      <c r="I7094" s="362"/>
      <c r="J7094" s="362"/>
    </row>
    <row r="7095" spans="1:10" x14ac:dyDescent="0.25">
      <c r="A7095" s="362"/>
      <c r="B7095" s="611">
        <v>44566</v>
      </c>
      <c r="C7095" s="362" t="s">
        <v>3435</v>
      </c>
      <c r="D7095" s="562">
        <v>85048749</v>
      </c>
      <c r="E7095" s="562"/>
      <c r="F7095" s="562"/>
      <c r="G7095" s="562">
        <f t="shared" si="417"/>
        <v>85048749</v>
      </c>
      <c r="H7095" s="362"/>
      <c r="I7095" s="362"/>
      <c r="J7095" s="362"/>
    </row>
    <row r="7096" spans="1:10" x14ac:dyDescent="0.25">
      <c r="A7096" s="362"/>
      <c r="B7096" s="611">
        <v>44566</v>
      </c>
      <c r="C7096" s="370" t="s">
        <v>85</v>
      </c>
      <c r="D7096" s="562">
        <v>52214600</v>
      </c>
      <c r="E7096" s="562"/>
      <c r="F7096" s="562"/>
      <c r="G7096" s="562">
        <f t="shared" si="417"/>
        <v>52214600</v>
      </c>
      <c r="H7096" s="362"/>
      <c r="I7096" s="362"/>
      <c r="J7096" s="362"/>
    </row>
    <row r="7097" spans="1:10" x14ac:dyDescent="0.25">
      <c r="A7097" s="532"/>
      <c r="B7097" s="532"/>
      <c r="C7097" s="532"/>
      <c r="D7097" s="564">
        <f>SUM(D7082:D7096)</f>
        <v>2348145870</v>
      </c>
      <c r="E7097" s="564">
        <f t="shared" ref="E7097:G7097" si="420">SUM(E7082:E7096)</f>
        <v>282227982</v>
      </c>
      <c r="F7097" s="564">
        <f t="shared" si="420"/>
        <v>0</v>
      </c>
      <c r="G7097" s="564">
        <f t="shared" si="420"/>
        <v>2630373852</v>
      </c>
      <c r="H7097" s="532"/>
      <c r="I7097" s="532"/>
      <c r="J7097" s="532"/>
    </row>
    <row r="7098" spans="1:10" x14ac:dyDescent="0.25">
      <c r="A7098" s="362"/>
      <c r="B7098" s="611">
        <v>44567</v>
      </c>
      <c r="C7098" s="362" t="s">
        <v>86</v>
      </c>
      <c r="D7098" s="562">
        <v>124942419</v>
      </c>
      <c r="E7098" s="562">
        <v>44601100</v>
      </c>
      <c r="F7098" s="562">
        <v>169543600</v>
      </c>
      <c r="G7098" s="562">
        <f t="shared" si="417"/>
        <v>-81</v>
      </c>
      <c r="H7098" s="362"/>
      <c r="I7098" s="362"/>
      <c r="J7098" s="362"/>
    </row>
    <row r="7099" spans="1:10" x14ac:dyDescent="0.25">
      <c r="A7099" s="362"/>
      <c r="B7099" s="611">
        <v>44567</v>
      </c>
      <c r="C7099" s="362" t="s">
        <v>87</v>
      </c>
      <c r="D7099" s="562">
        <v>81948900</v>
      </c>
      <c r="E7099" s="562">
        <v>111483120</v>
      </c>
      <c r="F7099" s="562">
        <v>193432100</v>
      </c>
      <c r="G7099" s="562">
        <f t="shared" si="417"/>
        <v>-80</v>
      </c>
      <c r="H7099" s="362"/>
      <c r="I7099" s="362"/>
      <c r="J7099" s="362"/>
    </row>
    <row r="7100" spans="1:10" x14ac:dyDescent="0.25">
      <c r="A7100" s="362"/>
      <c r="B7100" s="611">
        <v>44567</v>
      </c>
      <c r="C7100" s="362" t="s">
        <v>88</v>
      </c>
      <c r="D7100" s="562">
        <v>204095206</v>
      </c>
      <c r="E7100" s="562">
        <v>82196237</v>
      </c>
      <c r="F7100" s="562">
        <v>286291000</v>
      </c>
      <c r="G7100" s="562">
        <f t="shared" si="417"/>
        <v>443</v>
      </c>
      <c r="H7100" s="362"/>
      <c r="I7100" s="362"/>
      <c r="J7100" s="362"/>
    </row>
    <row r="7101" spans="1:10" x14ac:dyDescent="0.25">
      <c r="A7101" s="362"/>
      <c r="B7101" s="611">
        <v>44567</v>
      </c>
      <c r="C7101" s="362" t="s">
        <v>82</v>
      </c>
      <c r="D7101" s="562">
        <v>93507056</v>
      </c>
      <c r="E7101" s="562">
        <v>3436232</v>
      </c>
      <c r="F7101" s="562">
        <v>96943400</v>
      </c>
      <c r="G7101" s="562">
        <f t="shared" si="417"/>
        <v>-112</v>
      </c>
      <c r="H7101" s="362"/>
      <c r="I7101" s="362"/>
      <c r="J7101" s="362"/>
    </row>
    <row r="7102" spans="1:10" x14ac:dyDescent="0.25">
      <c r="A7102" s="362"/>
      <c r="B7102" s="611">
        <v>44567</v>
      </c>
      <c r="C7102" s="362" t="s">
        <v>80</v>
      </c>
      <c r="D7102" s="562">
        <v>362777200</v>
      </c>
      <c r="E7102" s="562"/>
      <c r="F7102" s="562">
        <v>362777200</v>
      </c>
      <c r="G7102" s="562">
        <f t="shared" si="417"/>
        <v>0</v>
      </c>
      <c r="H7102" s="362"/>
      <c r="I7102" s="362"/>
      <c r="J7102" s="362"/>
    </row>
    <row r="7103" spans="1:10" x14ac:dyDescent="0.25">
      <c r="A7103" s="362"/>
      <c r="B7103" s="611">
        <v>44567</v>
      </c>
      <c r="C7103" s="362" t="s">
        <v>83</v>
      </c>
      <c r="D7103" s="562">
        <v>167603664</v>
      </c>
      <c r="E7103" s="562">
        <v>10485526</v>
      </c>
      <c r="F7103" s="562">
        <v>178089200</v>
      </c>
      <c r="G7103" s="562">
        <f t="shared" si="417"/>
        <v>-10</v>
      </c>
      <c r="H7103" s="362"/>
      <c r="I7103" s="362"/>
      <c r="J7103" s="362"/>
    </row>
    <row r="7104" spans="1:10" x14ac:dyDescent="0.25">
      <c r="A7104" s="362"/>
      <c r="B7104" s="611">
        <v>44567</v>
      </c>
      <c r="C7104" s="362" t="s">
        <v>78</v>
      </c>
      <c r="D7104" s="562">
        <v>119215791</v>
      </c>
      <c r="E7104" s="562">
        <v>1687909</v>
      </c>
      <c r="F7104" s="562">
        <v>120903700</v>
      </c>
      <c r="G7104" s="562">
        <f t="shared" si="417"/>
        <v>0</v>
      </c>
      <c r="H7104" s="362"/>
      <c r="I7104" s="362"/>
      <c r="J7104" s="362"/>
    </row>
    <row r="7105" spans="1:10" x14ac:dyDescent="0.25">
      <c r="A7105" s="362"/>
      <c r="B7105" s="611">
        <v>44567</v>
      </c>
      <c r="C7105" s="362" t="s">
        <v>141</v>
      </c>
      <c r="D7105" s="562">
        <v>75900895</v>
      </c>
      <c r="E7105" s="562"/>
      <c r="F7105" s="562">
        <v>75900900</v>
      </c>
      <c r="G7105" s="562">
        <f t="shared" si="417"/>
        <v>-5</v>
      </c>
      <c r="H7105" s="362"/>
      <c r="I7105" s="362"/>
      <c r="J7105" s="362"/>
    </row>
    <row r="7106" spans="1:10" x14ac:dyDescent="0.25">
      <c r="A7106" s="362"/>
      <c r="B7106" s="611">
        <v>44567</v>
      </c>
      <c r="C7106" s="362" t="s">
        <v>89</v>
      </c>
      <c r="D7106" s="562">
        <v>133816254</v>
      </c>
      <c r="E7106" s="562">
        <v>53098146</v>
      </c>
      <c r="F7106" s="562">
        <v>186914400</v>
      </c>
      <c r="G7106" s="562">
        <f t="shared" si="417"/>
        <v>0</v>
      </c>
      <c r="H7106" s="362"/>
      <c r="I7106" s="362"/>
      <c r="J7106" s="362"/>
    </row>
    <row r="7107" spans="1:10" x14ac:dyDescent="0.25">
      <c r="A7107" s="362"/>
      <c r="B7107" s="611">
        <v>44567</v>
      </c>
      <c r="C7107" s="362" t="s">
        <v>81</v>
      </c>
      <c r="D7107" s="562">
        <v>156151445</v>
      </c>
      <c r="E7107" s="562">
        <v>30291910</v>
      </c>
      <c r="F7107" s="562">
        <v>186443400</v>
      </c>
      <c r="G7107" s="562">
        <f t="shared" si="417"/>
        <v>-45</v>
      </c>
      <c r="H7107" s="362"/>
      <c r="I7107" s="362"/>
      <c r="J7107" s="362"/>
    </row>
    <row r="7108" spans="1:10" x14ac:dyDescent="0.25">
      <c r="A7108" s="362"/>
      <c r="B7108" s="611">
        <v>44567</v>
      </c>
      <c r="C7108" s="362" t="s">
        <v>84</v>
      </c>
      <c r="D7108" s="562">
        <v>163639422</v>
      </c>
      <c r="E7108" s="562">
        <v>18376626</v>
      </c>
      <c r="F7108" s="562">
        <v>182016100</v>
      </c>
      <c r="G7108" s="562">
        <f t="shared" si="417"/>
        <v>-52</v>
      </c>
      <c r="H7108" s="362"/>
      <c r="I7108" s="362"/>
      <c r="J7108" s="362"/>
    </row>
    <row r="7109" spans="1:10" x14ac:dyDescent="0.25">
      <c r="A7109" s="362"/>
      <c r="B7109" s="611">
        <v>44567</v>
      </c>
      <c r="C7109" s="362" t="s">
        <v>4751</v>
      </c>
      <c r="D7109" s="562">
        <v>190609479</v>
      </c>
      <c r="E7109" s="562">
        <v>26680321</v>
      </c>
      <c r="F7109" s="562">
        <v>217289800</v>
      </c>
      <c r="G7109" s="562">
        <f t="shared" si="417"/>
        <v>0</v>
      </c>
      <c r="H7109" s="362"/>
      <c r="I7109" s="362"/>
      <c r="J7109" s="362"/>
    </row>
    <row r="7110" spans="1:10" x14ac:dyDescent="0.25">
      <c r="A7110" s="362"/>
      <c r="B7110" s="611">
        <v>44567</v>
      </c>
      <c r="C7110" s="362" t="s">
        <v>166</v>
      </c>
      <c r="D7110" s="562">
        <v>141564108</v>
      </c>
      <c r="E7110" s="562"/>
      <c r="F7110" s="562">
        <v>141564200</v>
      </c>
      <c r="G7110" s="562">
        <f t="shared" si="417"/>
        <v>-92</v>
      </c>
      <c r="H7110" s="362"/>
      <c r="I7110" s="362"/>
      <c r="J7110" s="362"/>
    </row>
    <row r="7111" spans="1:10" x14ac:dyDescent="0.25">
      <c r="A7111" s="362"/>
      <c r="B7111" s="611">
        <v>44567</v>
      </c>
      <c r="C7111" s="362" t="s">
        <v>3435</v>
      </c>
      <c r="D7111" s="562">
        <v>111282842</v>
      </c>
      <c r="E7111" s="562"/>
      <c r="F7111" s="562">
        <v>111282900</v>
      </c>
      <c r="G7111" s="562">
        <f t="shared" si="417"/>
        <v>-58</v>
      </c>
      <c r="H7111" s="362"/>
      <c r="I7111" s="362"/>
      <c r="J7111" s="362"/>
    </row>
    <row r="7112" spans="1:10" x14ac:dyDescent="0.25">
      <c r="A7112" s="362"/>
      <c r="B7112" s="611">
        <v>44567</v>
      </c>
      <c r="C7112" s="370" t="s">
        <v>85</v>
      </c>
      <c r="D7112" s="562">
        <v>22262600</v>
      </c>
      <c r="E7112" s="562"/>
      <c r="F7112" s="562">
        <v>22262600</v>
      </c>
      <c r="G7112" s="562">
        <f t="shared" si="417"/>
        <v>0</v>
      </c>
      <c r="H7112" s="362"/>
      <c r="I7112" s="362"/>
      <c r="J7112" s="362"/>
    </row>
    <row r="7113" spans="1:10" x14ac:dyDescent="0.25">
      <c r="A7113" s="532"/>
      <c r="B7113" s="532"/>
      <c r="C7113" s="532"/>
      <c r="D7113" s="564">
        <f>SUM(D7098:D7112)</f>
        <v>2149317281</v>
      </c>
      <c r="E7113" s="564">
        <f t="shared" ref="E7113:G7113" si="421">SUM(E7098:E7112)</f>
        <v>382337127</v>
      </c>
      <c r="F7113" s="564">
        <f t="shared" si="421"/>
        <v>2531654500</v>
      </c>
      <c r="G7113" s="564">
        <f t="shared" si="421"/>
        <v>-92</v>
      </c>
      <c r="H7113" s="532"/>
      <c r="I7113" s="532"/>
      <c r="J7113" s="532"/>
    </row>
    <row r="7114" spans="1:10" x14ac:dyDescent="0.25">
      <c r="A7114" s="362"/>
      <c r="B7114" s="611">
        <v>44568</v>
      </c>
      <c r="C7114" s="362" t="s">
        <v>86</v>
      </c>
      <c r="D7114" s="562">
        <v>34267397</v>
      </c>
      <c r="E7114" s="562">
        <v>16158000</v>
      </c>
      <c r="F7114" s="562">
        <v>50425600</v>
      </c>
      <c r="G7114" s="562">
        <f t="shared" si="417"/>
        <v>-203</v>
      </c>
      <c r="H7114" s="362"/>
      <c r="I7114" s="362"/>
      <c r="J7114" s="362"/>
    </row>
    <row r="7115" spans="1:10" x14ac:dyDescent="0.25">
      <c r="A7115" s="362"/>
      <c r="B7115" s="611">
        <v>44568</v>
      </c>
      <c r="C7115" s="362" t="s">
        <v>87</v>
      </c>
      <c r="D7115" s="562">
        <v>102759807</v>
      </c>
      <c r="E7115" s="562">
        <v>117524953</v>
      </c>
      <c r="F7115" s="562">
        <v>220284800</v>
      </c>
      <c r="G7115" s="562">
        <f t="shared" si="417"/>
        <v>-40</v>
      </c>
      <c r="H7115" s="362"/>
      <c r="I7115" s="362"/>
      <c r="J7115" s="362"/>
    </row>
    <row r="7116" spans="1:10" x14ac:dyDescent="0.25">
      <c r="A7116" s="362"/>
      <c r="B7116" s="611">
        <v>44568</v>
      </c>
      <c r="C7116" s="362" t="s">
        <v>88</v>
      </c>
      <c r="D7116" s="562">
        <v>135613568</v>
      </c>
      <c r="E7116" s="562">
        <v>104074484</v>
      </c>
      <c r="F7116" s="562">
        <v>239688100</v>
      </c>
      <c r="G7116" s="562">
        <f t="shared" ref="G7116:G7179" si="422">D7116+E7116-F7116</f>
        <v>-48</v>
      </c>
      <c r="H7116" s="362"/>
      <c r="I7116" s="362"/>
      <c r="J7116" s="362"/>
    </row>
    <row r="7117" spans="1:10" x14ac:dyDescent="0.25">
      <c r="A7117" s="362"/>
      <c r="B7117" s="611">
        <v>44568</v>
      </c>
      <c r="C7117" s="362" t="s">
        <v>82</v>
      </c>
      <c r="D7117" s="562">
        <v>83073089</v>
      </c>
      <c r="E7117" s="562">
        <v>4550460</v>
      </c>
      <c r="F7117" s="562">
        <v>87624100</v>
      </c>
      <c r="G7117" s="562">
        <f t="shared" si="422"/>
        <v>-551</v>
      </c>
      <c r="H7117" s="362"/>
      <c r="I7117" s="362"/>
      <c r="J7117" s="362"/>
    </row>
    <row r="7118" spans="1:10" x14ac:dyDescent="0.25">
      <c r="A7118" s="362"/>
      <c r="B7118" s="611">
        <v>44568</v>
      </c>
      <c r="C7118" s="362" t="s">
        <v>80</v>
      </c>
      <c r="D7118" s="562">
        <v>352529164</v>
      </c>
      <c r="E7118" s="562"/>
      <c r="F7118" s="562">
        <v>352528300</v>
      </c>
      <c r="G7118" s="562">
        <f t="shared" si="422"/>
        <v>864</v>
      </c>
      <c r="H7118" s="362"/>
      <c r="I7118" s="362"/>
      <c r="J7118" s="362"/>
    </row>
    <row r="7119" spans="1:10" x14ac:dyDescent="0.25">
      <c r="A7119" s="362"/>
      <c r="B7119" s="611">
        <v>44568</v>
      </c>
      <c r="C7119" s="362" t="s">
        <v>83</v>
      </c>
      <c r="D7119" s="562">
        <v>147129957</v>
      </c>
      <c r="E7119" s="562">
        <v>16726343</v>
      </c>
      <c r="F7119" s="562">
        <v>163856300</v>
      </c>
      <c r="G7119" s="562">
        <f t="shared" si="422"/>
        <v>0</v>
      </c>
      <c r="H7119" s="362"/>
      <c r="I7119" s="362"/>
      <c r="J7119" s="362"/>
    </row>
    <row r="7120" spans="1:10" x14ac:dyDescent="0.25">
      <c r="A7120" s="362"/>
      <c r="B7120" s="611">
        <v>44568</v>
      </c>
      <c r="C7120" s="362" t="s">
        <v>78</v>
      </c>
      <c r="D7120" s="562">
        <v>174484275</v>
      </c>
      <c r="E7120" s="562">
        <v>586425</v>
      </c>
      <c r="F7120" s="562">
        <v>175070700</v>
      </c>
      <c r="G7120" s="562">
        <f t="shared" si="422"/>
        <v>0</v>
      </c>
      <c r="H7120" s="362"/>
      <c r="I7120" s="362"/>
      <c r="J7120" s="362"/>
    </row>
    <row r="7121" spans="1:10" x14ac:dyDescent="0.25">
      <c r="A7121" s="362"/>
      <c r="B7121" s="611">
        <v>44568</v>
      </c>
      <c r="C7121" s="362" t="s">
        <v>141</v>
      </c>
      <c r="D7121" s="562">
        <v>99924529</v>
      </c>
      <c r="E7121" s="562"/>
      <c r="F7121" s="562">
        <v>99924600</v>
      </c>
      <c r="G7121" s="562">
        <f t="shared" si="422"/>
        <v>-71</v>
      </c>
      <c r="H7121" s="362"/>
      <c r="I7121" s="362"/>
      <c r="J7121" s="362"/>
    </row>
    <row r="7122" spans="1:10" x14ac:dyDescent="0.25">
      <c r="A7122" s="362"/>
      <c r="B7122" s="611">
        <v>44568</v>
      </c>
      <c r="C7122" s="362" t="s">
        <v>89</v>
      </c>
      <c r="D7122" s="562">
        <v>147909695</v>
      </c>
      <c r="E7122" s="562">
        <v>34488905</v>
      </c>
      <c r="F7122" s="562">
        <v>182398500</v>
      </c>
      <c r="G7122" s="562">
        <f t="shared" si="422"/>
        <v>100</v>
      </c>
      <c r="H7122" s="362"/>
      <c r="I7122" s="362"/>
      <c r="J7122" s="362"/>
    </row>
    <row r="7123" spans="1:10" x14ac:dyDescent="0.25">
      <c r="A7123" s="362"/>
      <c r="B7123" s="611">
        <v>44568</v>
      </c>
      <c r="C7123" s="362" t="s">
        <v>81</v>
      </c>
      <c r="D7123" s="562">
        <v>175780784</v>
      </c>
      <c r="E7123" s="562">
        <v>16547042</v>
      </c>
      <c r="F7123" s="562">
        <v>192327900</v>
      </c>
      <c r="G7123" s="562">
        <f t="shared" si="422"/>
        <v>-74</v>
      </c>
      <c r="H7123" s="362"/>
      <c r="I7123" s="362"/>
      <c r="J7123" s="362"/>
    </row>
    <row r="7124" spans="1:10" x14ac:dyDescent="0.25">
      <c r="A7124" s="362"/>
      <c r="B7124" s="611">
        <v>44568</v>
      </c>
      <c r="C7124" s="362" t="s">
        <v>84</v>
      </c>
      <c r="D7124" s="562">
        <v>185349846</v>
      </c>
      <c r="E7124" s="562">
        <v>19881021</v>
      </c>
      <c r="F7124" s="562">
        <v>205231400</v>
      </c>
      <c r="G7124" s="562">
        <f t="shared" si="422"/>
        <v>-533</v>
      </c>
      <c r="H7124" s="362"/>
      <c r="I7124" s="362"/>
      <c r="J7124" s="362"/>
    </row>
    <row r="7125" spans="1:10" x14ac:dyDescent="0.25">
      <c r="A7125" s="362"/>
      <c r="B7125" s="611">
        <v>44568</v>
      </c>
      <c r="C7125" s="362" t="s">
        <v>4751</v>
      </c>
      <c r="D7125" s="562">
        <v>140741874</v>
      </c>
      <c r="E7125" s="562">
        <v>8443566</v>
      </c>
      <c r="F7125" s="562">
        <v>149185400</v>
      </c>
      <c r="G7125" s="562">
        <f t="shared" si="422"/>
        <v>40</v>
      </c>
      <c r="H7125" s="362"/>
      <c r="I7125" s="362"/>
      <c r="J7125" s="362"/>
    </row>
    <row r="7126" spans="1:10" x14ac:dyDescent="0.25">
      <c r="A7126" s="362"/>
      <c r="B7126" s="611">
        <v>44568</v>
      </c>
      <c r="C7126" s="362" t="s">
        <v>166</v>
      </c>
      <c r="D7126" s="562">
        <v>43073400</v>
      </c>
      <c r="E7126" s="562"/>
      <c r="F7126" s="562">
        <v>43073400</v>
      </c>
      <c r="G7126" s="562">
        <f t="shared" si="422"/>
        <v>0</v>
      </c>
      <c r="H7126" s="362"/>
      <c r="I7126" s="362"/>
      <c r="J7126" s="362"/>
    </row>
    <row r="7127" spans="1:10" x14ac:dyDescent="0.25">
      <c r="A7127" s="362"/>
      <c r="B7127" s="611">
        <v>44568</v>
      </c>
      <c r="C7127" s="362" t="s">
        <v>3435</v>
      </c>
      <c r="D7127" s="562">
        <v>76470856</v>
      </c>
      <c r="E7127" s="562"/>
      <c r="F7127" s="562">
        <v>76470900</v>
      </c>
      <c r="G7127" s="562">
        <f t="shared" si="422"/>
        <v>-44</v>
      </c>
      <c r="H7127" s="362"/>
      <c r="I7127" s="362"/>
      <c r="J7127" s="362"/>
    </row>
    <row r="7128" spans="1:10" x14ac:dyDescent="0.25">
      <c r="A7128" s="362"/>
      <c r="B7128" s="611">
        <v>44568</v>
      </c>
      <c r="C7128" s="370" t="s">
        <v>85</v>
      </c>
      <c r="D7128" s="562">
        <v>19592600</v>
      </c>
      <c r="E7128" s="562"/>
      <c r="F7128" s="562">
        <v>19592600</v>
      </c>
      <c r="G7128" s="562">
        <f t="shared" si="422"/>
        <v>0</v>
      </c>
      <c r="H7128" s="362"/>
      <c r="I7128" s="362"/>
      <c r="J7128" s="362"/>
    </row>
    <row r="7129" spans="1:10" x14ac:dyDescent="0.25">
      <c r="A7129" s="532"/>
      <c r="B7129" s="532"/>
      <c r="C7129" s="532"/>
      <c r="D7129" s="564">
        <f>SUM(D7114:D7128)</f>
        <v>1918700841</v>
      </c>
      <c r="E7129" s="564">
        <f t="shared" ref="E7129:G7129" si="423">SUM(E7114:E7128)</f>
        <v>338981199</v>
      </c>
      <c r="F7129" s="564">
        <f t="shared" si="423"/>
        <v>2257682600</v>
      </c>
      <c r="G7129" s="564">
        <f t="shared" si="423"/>
        <v>-560</v>
      </c>
      <c r="H7129" s="532"/>
      <c r="I7129" s="532"/>
      <c r="J7129" s="532"/>
    </row>
    <row r="7130" spans="1:10" x14ac:dyDescent="0.25">
      <c r="A7130" s="362"/>
      <c r="B7130" s="611">
        <v>44569</v>
      </c>
      <c r="C7130" s="362" t="s">
        <v>86</v>
      </c>
      <c r="D7130" s="562">
        <v>52939421</v>
      </c>
      <c r="E7130" s="562">
        <v>33442500</v>
      </c>
      <c r="F7130" s="562">
        <v>86382100</v>
      </c>
      <c r="G7130" s="562">
        <f t="shared" si="422"/>
        <v>-179</v>
      </c>
      <c r="H7130" s="362"/>
      <c r="I7130" s="362"/>
      <c r="J7130" s="362"/>
    </row>
    <row r="7131" spans="1:10" x14ac:dyDescent="0.25">
      <c r="A7131" s="362"/>
      <c r="B7131" s="611">
        <v>44569</v>
      </c>
      <c r="C7131" s="362" t="s">
        <v>87</v>
      </c>
      <c r="D7131" s="562">
        <v>73179330</v>
      </c>
      <c r="E7131" s="562">
        <v>99124808</v>
      </c>
      <c r="F7131" s="562">
        <f>130766900+41537400</f>
        <v>172304300</v>
      </c>
      <c r="G7131" s="562">
        <f t="shared" si="422"/>
        <v>-162</v>
      </c>
      <c r="H7131" s="362"/>
      <c r="I7131" s="362"/>
      <c r="J7131" s="362"/>
    </row>
    <row r="7132" spans="1:10" x14ac:dyDescent="0.25">
      <c r="A7132" s="362"/>
      <c r="B7132" s="611">
        <v>44569</v>
      </c>
      <c r="C7132" s="362" t="s">
        <v>88</v>
      </c>
      <c r="D7132" s="562">
        <v>558143248</v>
      </c>
      <c r="E7132" s="562">
        <v>8687572</v>
      </c>
      <c r="F7132" s="562">
        <v>566830900</v>
      </c>
      <c r="G7132" s="562">
        <f t="shared" si="422"/>
        <v>-80</v>
      </c>
      <c r="H7132" s="362"/>
      <c r="I7132" s="362"/>
      <c r="J7132" s="362"/>
    </row>
    <row r="7133" spans="1:10" x14ac:dyDescent="0.25">
      <c r="A7133" s="362"/>
      <c r="B7133" s="611">
        <v>44569</v>
      </c>
      <c r="C7133" s="362" t="s">
        <v>82</v>
      </c>
      <c r="D7133" s="562">
        <v>291175362</v>
      </c>
      <c r="E7133" s="562">
        <v>49157500</v>
      </c>
      <c r="F7133" s="562">
        <v>340332900</v>
      </c>
      <c r="G7133" s="562">
        <f t="shared" si="422"/>
        <v>-38</v>
      </c>
      <c r="H7133" s="362"/>
      <c r="I7133" s="362"/>
      <c r="J7133" s="362"/>
    </row>
    <row r="7134" spans="1:10" x14ac:dyDescent="0.25">
      <c r="A7134" s="362"/>
      <c r="B7134" s="611">
        <v>44569</v>
      </c>
      <c r="C7134" s="362" t="s">
        <v>80</v>
      </c>
      <c r="D7134" s="562">
        <v>326474834</v>
      </c>
      <c r="E7134" s="562">
        <v>46924237</v>
      </c>
      <c r="F7134" s="562">
        <v>373399200</v>
      </c>
      <c r="G7134" s="562">
        <f t="shared" si="422"/>
        <v>-129</v>
      </c>
      <c r="H7134" s="362"/>
      <c r="I7134" s="362"/>
      <c r="J7134" s="362"/>
    </row>
    <row r="7135" spans="1:10" x14ac:dyDescent="0.25">
      <c r="A7135" s="362"/>
      <c r="B7135" s="611">
        <v>44569</v>
      </c>
      <c r="C7135" s="362" t="s">
        <v>83</v>
      </c>
      <c r="D7135" s="562">
        <v>147418488</v>
      </c>
      <c r="E7135" s="562">
        <v>9276823</v>
      </c>
      <c r="F7135" s="562">
        <v>156695300</v>
      </c>
      <c r="G7135" s="562">
        <f t="shared" si="422"/>
        <v>11</v>
      </c>
      <c r="H7135" s="362"/>
      <c r="I7135" s="362"/>
      <c r="J7135" s="362"/>
    </row>
    <row r="7136" spans="1:10" x14ac:dyDescent="0.25">
      <c r="A7136" s="362"/>
      <c r="B7136" s="611">
        <v>44569</v>
      </c>
      <c r="C7136" s="362" t="s">
        <v>78</v>
      </c>
      <c r="D7136" s="562">
        <v>202387563</v>
      </c>
      <c r="E7136" s="562">
        <v>20868737</v>
      </c>
      <c r="F7136" s="562">
        <v>223256300</v>
      </c>
      <c r="G7136" s="562">
        <f t="shared" si="422"/>
        <v>0</v>
      </c>
      <c r="H7136" s="362"/>
      <c r="I7136" s="362"/>
      <c r="J7136" s="362"/>
    </row>
    <row r="7137" spans="1:10" x14ac:dyDescent="0.25">
      <c r="A7137" s="362"/>
      <c r="B7137" s="611">
        <v>44569</v>
      </c>
      <c r="C7137" s="362" t="s">
        <v>141</v>
      </c>
      <c r="D7137" s="562">
        <v>106937648</v>
      </c>
      <c r="E7137" s="562">
        <v>534228</v>
      </c>
      <c r="F7137" s="562">
        <v>107471900</v>
      </c>
      <c r="G7137" s="562">
        <f t="shared" si="422"/>
        <v>-24</v>
      </c>
      <c r="H7137" s="362"/>
      <c r="I7137" s="362"/>
      <c r="J7137" s="362"/>
    </row>
    <row r="7138" spans="1:10" x14ac:dyDescent="0.25">
      <c r="A7138" s="362"/>
      <c r="B7138" s="611">
        <v>44569</v>
      </c>
      <c r="C7138" s="362" t="s">
        <v>89</v>
      </c>
      <c r="D7138" s="562">
        <v>74057317</v>
      </c>
      <c r="E7138" s="562">
        <v>79375683</v>
      </c>
      <c r="F7138" s="562">
        <v>153433000</v>
      </c>
      <c r="G7138" s="562">
        <f t="shared" si="422"/>
        <v>0</v>
      </c>
      <c r="H7138" s="362"/>
      <c r="I7138" s="362"/>
      <c r="J7138" s="362"/>
    </row>
    <row r="7139" spans="1:10" x14ac:dyDescent="0.25">
      <c r="A7139" s="362"/>
      <c r="B7139" s="611">
        <v>44569</v>
      </c>
      <c r="C7139" s="362" t="s">
        <v>81</v>
      </c>
      <c r="D7139" s="562">
        <v>233526432</v>
      </c>
      <c r="E7139" s="562">
        <v>33125419</v>
      </c>
      <c r="F7139" s="562">
        <f>197351100+69300800</f>
        <v>266651900</v>
      </c>
      <c r="G7139" s="562">
        <f t="shared" si="422"/>
        <v>-49</v>
      </c>
      <c r="H7139" s="362"/>
      <c r="I7139" s="362"/>
      <c r="J7139" s="362"/>
    </row>
    <row r="7140" spans="1:10" x14ac:dyDescent="0.25">
      <c r="A7140" s="362"/>
      <c r="B7140" s="611">
        <v>44569</v>
      </c>
      <c r="C7140" s="362" t="s">
        <v>84</v>
      </c>
      <c r="D7140" s="562">
        <v>282815748</v>
      </c>
      <c r="E7140" s="562">
        <v>19068102</v>
      </c>
      <c r="F7140" s="562">
        <v>301883900</v>
      </c>
      <c r="G7140" s="562">
        <f t="shared" si="422"/>
        <v>-50</v>
      </c>
      <c r="H7140" s="362"/>
      <c r="I7140" s="362"/>
      <c r="J7140" s="362"/>
    </row>
    <row r="7141" spans="1:10" x14ac:dyDescent="0.25">
      <c r="A7141" s="362"/>
      <c r="B7141" s="611">
        <v>44569</v>
      </c>
      <c r="C7141" s="362" t="s">
        <v>4751</v>
      </c>
      <c r="D7141" s="562">
        <v>184048851</v>
      </c>
      <c r="E7141" s="562">
        <v>30354949</v>
      </c>
      <c r="F7141" s="562">
        <v>214403800</v>
      </c>
      <c r="G7141" s="562">
        <f t="shared" si="422"/>
        <v>0</v>
      </c>
      <c r="H7141" s="362"/>
      <c r="I7141" s="362"/>
      <c r="J7141" s="362"/>
    </row>
    <row r="7142" spans="1:10" x14ac:dyDescent="0.25">
      <c r="A7142" s="362"/>
      <c r="B7142" s="611">
        <v>44569</v>
      </c>
      <c r="C7142" s="362" t="s">
        <v>166</v>
      </c>
      <c r="D7142" s="562"/>
      <c r="E7142" s="562"/>
      <c r="F7142" s="562"/>
      <c r="G7142" s="562">
        <f t="shared" si="422"/>
        <v>0</v>
      </c>
      <c r="H7142" s="362"/>
      <c r="I7142" s="362"/>
      <c r="J7142" s="362"/>
    </row>
    <row r="7143" spans="1:10" x14ac:dyDescent="0.25">
      <c r="A7143" s="362"/>
      <c r="B7143" s="611">
        <v>44569</v>
      </c>
      <c r="C7143" s="362" t="s">
        <v>3435</v>
      </c>
      <c r="D7143" s="562"/>
      <c r="E7143" s="562"/>
      <c r="F7143" s="562"/>
      <c r="G7143" s="562">
        <f t="shared" si="422"/>
        <v>0</v>
      </c>
      <c r="H7143" s="362"/>
      <c r="I7143" s="362"/>
      <c r="J7143" s="362"/>
    </row>
    <row r="7144" spans="1:10" x14ac:dyDescent="0.25">
      <c r="A7144" s="362"/>
      <c r="B7144" s="611">
        <v>44569</v>
      </c>
      <c r="C7144" s="370" t="s">
        <v>85</v>
      </c>
      <c r="D7144" s="562">
        <v>31390500</v>
      </c>
      <c r="E7144" s="562"/>
      <c r="F7144" s="562">
        <v>31390500</v>
      </c>
      <c r="G7144" s="562">
        <f t="shared" si="422"/>
        <v>0</v>
      </c>
      <c r="H7144" s="362"/>
      <c r="I7144" s="362"/>
      <c r="J7144" s="362"/>
    </row>
    <row r="7145" spans="1:10" x14ac:dyDescent="0.25">
      <c r="A7145" s="532"/>
      <c r="B7145" s="532"/>
      <c r="C7145" s="532"/>
      <c r="D7145" s="564">
        <f>SUM(D7130:D7144)</f>
        <v>2564494742</v>
      </c>
      <c r="E7145" s="564">
        <f t="shared" ref="E7145:G7145" si="424">SUM(E7130:E7144)</f>
        <v>429940558</v>
      </c>
      <c r="F7145" s="564">
        <f t="shared" si="424"/>
        <v>2994436000</v>
      </c>
      <c r="G7145" s="564">
        <f t="shared" si="424"/>
        <v>-700</v>
      </c>
      <c r="H7145" s="532"/>
      <c r="I7145" s="532"/>
      <c r="J7145" s="532"/>
    </row>
    <row r="7146" spans="1:10" x14ac:dyDescent="0.25">
      <c r="A7146" s="362"/>
      <c r="B7146" s="611">
        <v>44571</v>
      </c>
      <c r="C7146" s="362" t="s">
        <v>86</v>
      </c>
      <c r="D7146" s="562">
        <v>31452440</v>
      </c>
      <c r="E7146" s="562">
        <v>128635141</v>
      </c>
      <c r="F7146" s="562">
        <v>160087800</v>
      </c>
      <c r="G7146" s="562">
        <f t="shared" si="422"/>
        <v>-219</v>
      </c>
      <c r="H7146" s="362"/>
      <c r="I7146" s="362"/>
      <c r="J7146" s="362"/>
    </row>
    <row r="7147" spans="1:10" x14ac:dyDescent="0.25">
      <c r="A7147" s="362"/>
      <c r="B7147" s="611">
        <v>44571</v>
      </c>
      <c r="C7147" s="362" t="s">
        <v>87</v>
      </c>
      <c r="D7147" s="562">
        <v>65272335</v>
      </c>
      <c r="E7147" s="562">
        <v>47982944</v>
      </c>
      <c r="F7147" s="562">
        <v>113255300</v>
      </c>
      <c r="G7147" s="562">
        <f t="shared" si="422"/>
        <v>-21</v>
      </c>
      <c r="H7147" s="362"/>
      <c r="I7147" s="362"/>
      <c r="J7147" s="362"/>
    </row>
    <row r="7148" spans="1:10" x14ac:dyDescent="0.25">
      <c r="A7148" s="362"/>
      <c r="B7148" s="611">
        <v>44571</v>
      </c>
      <c r="C7148" s="362" t="s">
        <v>88</v>
      </c>
      <c r="D7148" s="562">
        <v>139957426</v>
      </c>
      <c r="E7148" s="562">
        <v>13230403</v>
      </c>
      <c r="F7148" s="562">
        <v>153188500</v>
      </c>
      <c r="G7148" s="562">
        <f t="shared" si="422"/>
        <v>-671</v>
      </c>
      <c r="H7148" s="362"/>
      <c r="I7148" s="362"/>
      <c r="J7148" s="362"/>
    </row>
    <row r="7149" spans="1:10" x14ac:dyDescent="0.25">
      <c r="A7149" s="362"/>
      <c r="B7149" s="611">
        <v>44571</v>
      </c>
      <c r="C7149" s="362" t="s">
        <v>82</v>
      </c>
      <c r="D7149" s="562">
        <v>53394448</v>
      </c>
      <c r="E7149" s="562">
        <v>64094505</v>
      </c>
      <c r="F7149" s="562">
        <v>117489000</v>
      </c>
      <c r="G7149" s="562">
        <f t="shared" si="422"/>
        <v>-47</v>
      </c>
      <c r="H7149" s="362"/>
      <c r="I7149" s="362"/>
      <c r="J7149" s="362"/>
    </row>
    <row r="7150" spans="1:10" x14ac:dyDescent="0.25">
      <c r="A7150" s="362"/>
      <c r="B7150" s="611">
        <v>44571</v>
      </c>
      <c r="C7150" s="362" t="s">
        <v>80</v>
      </c>
      <c r="D7150" s="562">
        <v>209211671</v>
      </c>
      <c r="E7150" s="562">
        <v>22178240</v>
      </c>
      <c r="F7150" s="562">
        <v>231389500</v>
      </c>
      <c r="G7150" s="562">
        <f t="shared" si="422"/>
        <v>411</v>
      </c>
      <c r="H7150" s="362"/>
      <c r="I7150" s="362"/>
      <c r="J7150" s="362"/>
    </row>
    <row r="7151" spans="1:10" x14ac:dyDescent="0.25">
      <c r="A7151" s="362"/>
      <c r="B7151" s="611">
        <v>44571</v>
      </c>
      <c r="C7151" s="362" t="s">
        <v>83</v>
      </c>
      <c r="D7151" s="562">
        <v>193728240</v>
      </c>
      <c r="E7151" s="562">
        <v>93642222</v>
      </c>
      <c r="F7151" s="562">
        <v>287370500</v>
      </c>
      <c r="G7151" s="562">
        <f t="shared" si="422"/>
        <v>-38</v>
      </c>
      <c r="H7151" s="362"/>
      <c r="I7151" s="362"/>
      <c r="J7151" s="362"/>
    </row>
    <row r="7152" spans="1:10" x14ac:dyDescent="0.25">
      <c r="A7152" s="362"/>
      <c r="B7152" s="611">
        <v>44571</v>
      </c>
      <c r="C7152" s="362" t="s">
        <v>78</v>
      </c>
      <c r="D7152" s="562">
        <v>176939330</v>
      </c>
      <c r="E7152" s="562">
        <v>1485970</v>
      </c>
      <c r="F7152" s="562">
        <v>178425300</v>
      </c>
      <c r="G7152" s="562">
        <f t="shared" si="422"/>
        <v>0</v>
      </c>
      <c r="H7152" s="362"/>
      <c r="I7152" s="362"/>
      <c r="J7152" s="362"/>
    </row>
    <row r="7153" spans="1:10" x14ac:dyDescent="0.25">
      <c r="A7153" s="362"/>
      <c r="B7153" s="611">
        <v>44571</v>
      </c>
      <c r="C7153" s="362" t="s">
        <v>141</v>
      </c>
      <c r="D7153" s="562">
        <v>72993675</v>
      </c>
      <c r="E7153" s="562"/>
      <c r="F7153" s="562">
        <v>72993700</v>
      </c>
      <c r="G7153" s="562">
        <f t="shared" si="422"/>
        <v>-25</v>
      </c>
      <c r="H7153" s="362"/>
      <c r="I7153" s="362"/>
      <c r="J7153" s="362"/>
    </row>
    <row r="7154" spans="1:10" x14ac:dyDescent="0.25">
      <c r="A7154" s="362"/>
      <c r="B7154" s="611">
        <v>44571</v>
      </c>
      <c r="C7154" s="362" t="s">
        <v>89</v>
      </c>
      <c r="D7154" s="562">
        <v>111510729</v>
      </c>
      <c r="E7154" s="562">
        <v>45692271</v>
      </c>
      <c r="F7154" s="562">
        <v>157203100</v>
      </c>
      <c r="G7154" s="562">
        <f t="shared" si="422"/>
        <v>-100</v>
      </c>
      <c r="H7154" s="362"/>
      <c r="I7154" s="362"/>
      <c r="J7154" s="362"/>
    </row>
    <row r="7155" spans="1:10" x14ac:dyDescent="0.25">
      <c r="A7155" s="362"/>
      <c r="B7155" s="611">
        <v>44571</v>
      </c>
      <c r="C7155" s="362" t="s">
        <v>81</v>
      </c>
      <c r="D7155" s="562">
        <v>134680985</v>
      </c>
      <c r="E7155" s="562">
        <v>9253845</v>
      </c>
      <c r="F7155" s="562">
        <v>143934900</v>
      </c>
      <c r="G7155" s="562">
        <f t="shared" si="422"/>
        <v>-70</v>
      </c>
      <c r="H7155" s="362"/>
      <c r="I7155" s="362"/>
      <c r="J7155" s="362"/>
    </row>
    <row r="7156" spans="1:10" x14ac:dyDescent="0.25">
      <c r="A7156" s="362"/>
      <c r="B7156" s="611">
        <v>44571</v>
      </c>
      <c r="C7156" s="362" t="s">
        <v>84</v>
      </c>
      <c r="D7156" s="562">
        <v>237475623</v>
      </c>
      <c r="E7156" s="562">
        <v>17199093</v>
      </c>
      <c r="F7156" s="562">
        <v>254674700</v>
      </c>
      <c r="G7156" s="562">
        <f t="shared" si="422"/>
        <v>16</v>
      </c>
      <c r="H7156" s="362"/>
      <c r="I7156" s="362"/>
      <c r="J7156" s="362"/>
    </row>
    <row r="7157" spans="1:10" x14ac:dyDescent="0.25">
      <c r="A7157" s="362"/>
      <c r="B7157" s="611">
        <v>44571</v>
      </c>
      <c r="C7157" s="362" t="s">
        <v>4751</v>
      </c>
      <c r="D7157" s="562">
        <v>224096554</v>
      </c>
      <c r="E7157" s="562">
        <v>6779346</v>
      </c>
      <c r="F7157" s="562">
        <v>230875900</v>
      </c>
      <c r="G7157" s="562">
        <f t="shared" si="422"/>
        <v>0</v>
      </c>
      <c r="H7157" s="362"/>
      <c r="I7157" s="362"/>
      <c r="J7157" s="362"/>
    </row>
    <row r="7158" spans="1:10" x14ac:dyDescent="0.25">
      <c r="A7158" s="362"/>
      <c r="B7158" s="611">
        <v>44571</v>
      </c>
      <c r="C7158" s="362" t="s">
        <v>166</v>
      </c>
      <c r="D7158" s="562">
        <v>60241383</v>
      </c>
      <c r="E7158" s="562"/>
      <c r="F7158" s="562">
        <v>60241400</v>
      </c>
      <c r="G7158" s="562">
        <f t="shared" si="422"/>
        <v>-17</v>
      </c>
      <c r="H7158" s="362"/>
      <c r="I7158" s="362"/>
      <c r="J7158" s="362"/>
    </row>
    <row r="7159" spans="1:10" x14ac:dyDescent="0.25">
      <c r="A7159" s="362"/>
      <c r="B7159" s="611">
        <v>44571</v>
      </c>
      <c r="C7159" s="362" t="s">
        <v>3435</v>
      </c>
      <c r="D7159" s="562">
        <v>125262761</v>
      </c>
      <c r="E7159" s="562"/>
      <c r="F7159" s="562">
        <v>125262800</v>
      </c>
      <c r="G7159" s="562">
        <f t="shared" si="422"/>
        <v>-39</v>
      </c>
      <c r="H7159" s="362"/>
      <c r="I7159" s="362"/>
      <c r="J7159" s="362"/>
    </row>
    <row r="7160" spans="1:10" x14ac:dyDescent="0.25">
      <c r="A7160" s="362"/>
      <c r="B7160" s="611">
        <v>44571</v>
      </c>
      <c r="C7160" s="370" t="s">
        <v>85</v>
      </c>
      <c r="D7160" s="562">
        <v>70394700</v>
      </c>
      <c r="E7160" s="562"/>
      <c r="F7160" s="562">
        <v>70394700</v>
      </c>
      <c r="G7160" s="562">
        <f t="shared" si="422"/>
        <v>0</v>
      </c>
      <c r="H7160" s="362"/>
      <c r="I7160" s="362"/>
      <c r="J7160" s="362"/>
    </row>
    <row r="7161" spans="1:10" x14ac:dyDescent="0.25">
      <c r="A7161" s="532"/>
      <c r="B7161" s="532"/>
      <c r="C7161" s="532"/>
      <c r="D7161" s="564">
        <f>SUM(D7146:D7160)</f>
        <v>1906612300</v>
      </c>
      <c r="E7161" s="564">
        <f t="shared" ref="E7161:G7161" si="425">SUM(E7146:E7160)</f>
        <v>450173980</v>
      </c>
      <c r="F7161" s="564">
        <f t="shared" si="425"/>
        <v>2356787100</v>
      </c>
      <c r="G7161" s="564">
        <f t="shared" si="425"/>
        <v>-820</v>
      </c>
      <c r="H7161" s="532"/>
      <c r="I7161" s="532"/>
      <c r="J7161" s="532"/>
    </row>
    <row r="7162" spans="1:10" x14ac:dyDescent="0.25">
      <c r="A7162" s="362"/>
      <c r="B7162" s="611">
        <v>44572</v>
      </c>
      <c r="C7162" s="362" t="s">
        <v>86</v>
      </c>
      <c r="D7162" s="562">
        <v>82082759</v>
      </c>
      <c r="E7162" s="562">
        <v>33568000</v>
      </c>
      <c r="F7162" s="562"/>
      <c r="G7162" s="562">
        <f t="shared" si="422"/>
        <v>115650759</v>
      </c>
      <c r="H7162" s="362"/>
      <c r="I7162" s="362"/>
      <c r="J7162" s="362"/>
    </row>
    <row r="7163" spans="1:10" x14ac:dyDescent="0.25">
      <c r="A7163" s="362"/>
      <c r="B7163" s="611">
        <v>44572</v>
      </c>
      <c r="C7163" s="362" t="s">
        <v>87</v>
      </c>
      <c r="D7163" s="562">
        <v>46255614</v>
      </c>
      <c r="E7163" s="562">
        <v>21976534</v>
      </c>
      <c r="F7163" s="562"/>
      <c r="G7163" s="562">
        <f t="shared" si="422"/>
        <v>68232148</v>
      </c>
      <c r="H7163" s="362"/>
      <c r="I7163" s="362"/>
      <c r="J7163" s="362"/>
    </row>
    <row r="7164" spans="1:10" x14ac:dyDescent="0.25">
      <c r="A7164" s="362"/>
      <c r="B7164" s="611">
        <v>44572</v>
      </c>
      <c r="C7164" s="362" t="s">
        <v>88</v>
      </c>
      <c r="D7164" s="562">
        <v>197739331</v>
      </c>
      <c r="E7164" s="562">
        <v>25380131</v>
      </c>
      <c r="F7164" s="562"/>
      <c r="G7164" s="562">
        <f t="shared" si="422"/>
        <v>223119462</v>
      </c>
      <c r="H7164" s="362"/>
      <c r="I7164" s="362"/>
      <c r="J7164" s="362"/>
    </row>
    <row r="7165" spans="1:10" x14ac:dyDescent="0.25">
      <c r="A7165" s="362"/>
      <c r="B7165" s="611">
        <v>44572</v>
      </c>
      <c r="C7165" s="362" t="s">
        <v>82</v>
      </c>
      <c r="D7165" s="562">
        <v>57256027</v>
      </c>
      <c r="E7165" s="562">
        <v>3613081</v>
      </c>
      <c r="F7165" s="562"/>
      <c r="G7165" s="562">
        <f t="shared" si="422"/>
        <v>60869108</v>
      </c>
      <c r="H7165" s="362"/>
      <c r="I7165" s="362"/>
      <c r="J7165" s="362"/>
    </row>
    <row r="7166" spans="1:10" x14ac:dyDescent="0.25">
      <c r="A7166" s="362"/>
      <c r="B7166" s="611">
        <v>44572</v>
      </c>
      <c r="C7166" s="362" t="s">
        <v>80</v>
      </c>
      <c r="D7166" s="562">
        <v>401475200</v>
      </c>
      <c r="E7166" s="562">
        <v>46170000</v>
      </c>
      <c r="F7166" s="562"/>
      <c r="G7166" s="562">
        <f t="shared" si="422"/>
        <v>447645200</v>
      </c>
      <c r="H7166" s="362"/>
      <c r="I7166" s="362"/>
      <c r="J7166" s="362"/>
    </row>
    <row r="7167" spans="1:10" x14ac:dyDescent="0.25">
      <c r="A7167" s="362"/>
      <c r="B7167" s="611">
        <v>44572</v>
      </c>
      <c r="C7167" s="362" t="s">
        <v>83</v>
      </c>
      <c r="D7167" s="562">
        <v>139729961</v>
      </c>
      <c r="E7167" s="562">
        <v>90522039</v>
      </c>
      <c r="F7167" s="562"/>
      <c r="G7167" s="562">
        <f t="shared" si="422"/>
        <v>230252000</v>
      </c>
      <c r="H7167" s="362"/>
      <c r="I7167" s="362"/>
      <c r="J7167" s="362"/>
    </row>
    <row r="7168" spans="1:10" x14ac:dyDescent="0.25">
      <c r="A7168" s="362"/>
      <c r="B7168" s="611">
        <v>44572</v>
      </c>
      <c r="C7168" s="362" t="s">
        <v>78</v>
      </c>
      <c r="D7168" s="562">
        <v>151939231</v>
      </c>
      <c r="E7168" s="562">
        <v>1933269</v>
      </c>
      <c r="F7168" s="562"/>
      <c r="G7168" s="562">
        <f t="shared" si="422"/>
        <v>153872500</v>
      </c>
      <c r="H7168" s="362"/>
      <c r="I7168" s="362"/>
      <c r="J7168" s="362"/>
    </row>
    <row r="7169" spans="1:10" x14ac:dyDescent="0.25">
      <c r="A7169" s="362"/>
      <c r="B7169" s="611">
        <v>44572</v>
      </c>
      <c r="C7169" s="362" t="s">
        <v>141</v>
      </c>
      <c r="D7169" s="562">
        <v>98976137</v>
      </c>
      <c r="E7169" s="562"/>
      <c r="F7169" s="562"/>
      <c r="G7169" s="562">
        <f t="shared" si="422"/>
        <v>98976137</v>
      </c>
      <c r="H7169" s="362"/>
      <c r="I7169" s="362"/>
      <c r="J7169" s="362"/>
    </row>
    <row r="7170" spans="1:10" x14ac:dyDescent="0.25">
      <c r="A7170" s="362"/>
      <c r="B7170" s="611">
        <v>44572</v>
      </c>
      <c r="C7170" s="362" t="s">
        <v>89</v>
      </c>
      <c r="D7170" s="562">
        <v>150371406</v>
      </c>
      <c r="E7170" s="562">
        <v>19913594</v>
      </c>
      <c r="F7170" s="562"/>
      <c r="G7170" s="562">
        <f t="shared" si="422"/>
        <v>170285000</v>
      </c>
      <c r="H7170" s="362"/>
      <c r="I7170" s="362"/>
      <c r="J7170" s="362"/>
    </row>
    <row r="7171" spans="1:10" x14ac:dyDescent="0.25">
      <c r="A7171" s="362"/>
      <c r="B7171" s="611">
        <v>44572</v>
      </c>
      <c r="C7171" s="362" t="s">
        <v>81</v>
      </c>
      <c r="D7171" s="562">
        <v>91621110</v>
      </c>
      <c r="E7171" s="562">
        <v>5935034</v>
      </c>
      <c r="F7171" s="562"/>
      <c r="G7171" s="562">
        <f t="shared" si="422"/>
        <v>97556144</v>
      </c>
      <c r="H7171" s="362"/>
      <c r="I7171" s="362"/>
      <c r="J7171" s="362"/>
    </row>
    <row r="7172" spans="1:10" x14ac:dyDescent="0.25">
      <c r="A7172" s="362"/>
      <c r="B7172" s="611">
        <v>44572</v>
      </c>
      <c r="C7172" s="362" t="s">
        <v>84</v>
      </c>
      <c r="D7172" s="562">
        <v>464708996</v>
      </c>
      <c r="E7172" s="562">
        <v>18786103</v>
      </c>
      <c r="F7172" s="562"/>
      <c r="G7172" s="562">
        <f t="shared" si="422"/>
        <v>483495099</v>
      </c>
      <c r="H7172" s="362"/>
      <c r="I7172" s="362"/>
      <c r="J7172" s="362"/>
    </row>
    <row r="7173" spans="1:10" x14ac:dyDescent="0.25">
      <c r="A7173" s="362"/>
      <c r="B7173" s="611">
        <v>44572</v>
      </c>
      <c r="C7173" s="362" t="s">
        <v>4751</v>
      </c>
      <c r="D7173" s="562">
        <v>219988968</v>
      </c>
      <c r="E7173" s="562">
        <v>7859532</v>
      </c>
      <c r="F7173" s="562"/>
      <c r="G7173" s="562">
        <f t="shared" si="422"/>
        <v>227848500</v>
      </c>
      <c r="H7173" s="362"/>
      <c r="I7173" s="362"/>
      <c r="J7173" s="362"/>
    </row>
    <row r="7174" spans="1:10" x14ac:dyDescent="0.25">
      <c r="A7174" s="362"/>
      <c r="B7174" s="611">
        <v>44572</v>
      </c>
      <c r="C7174" s="362" t="s">
        <v>166</v>
      </c>
      <c r="D7174" s="562">
        <v>75663961</v>
      </c>
      <c r="E7174" s="562"/>
      <c r="F7174" s="562"/>
      <c r="G7174" s="562">
        <f t="shared" si="422"/>
        <v>75663961</v>
      </c>
      <c r="H7174" s="362"/>
      <c r="I7174" s="362"/>
      <c r="J7174" s="362"/>
    </row>
    <row r="7175" spans="1:10" x14ac:dyDescent="0.25">
      <c r="A7175" s="362"/>
      <c r="B7175" s="611">
        <v>44572</v>
      </c>
      <c r="C7175" s="362" t="s">
        <v>3435</v>
      </c>
      <c r="D7175" s="562">
        <v>86555365</v>
      </c>
      <c r="E7175" s="562"/>
      <c r="F7175" s="562"/>
      <c r="G7175" s="562">
        <f t="shared" si="422"/>
        <v>86555365</v>
      </c>
      <c r="H7175" s="362"/>
      <c r="I7175" s="362"/>
      <c r="J7175" s="362"/>
    </row>
    <row r="7176" spans="1:10" x14ac:dyDescent="0.25">
      <c r="A7176" s="362"/>
      <c r="B7176" s="611">
        <v>44572</v>
      </c>
      <c r="C7176" s="370" t="s">
        <v>85</v>
      </c>
      <c r="D7176" s="562">
        <v>40609000</v>
      </c>
      <c r="E7176" s="562"/>
      <c r="F7176" s="562"/>
      <c r="G7176" s="562">
        <f t="shared" si="422"/>
        <v>40609000</v>
      </c>
      <c r="H7176" s="362"/>
      <c r="I7176" s="362"/>
      <c r="J7176" s="362"/>
    </row>
    <row r="7177" spans="1:10" x14ac:dyDescent="0.25">
      <c r="A7177" s="532"/>
      <c r="B7177" s="532"/>
      <c r="C7177" s="532"/>
      <c r="D7177" s="564">
        <f>SUM(D7162:D7176)</f>
        <v>2304973066</v>
      </c>
      <c r="E7177" s="564">
        <f t="shared" ref="E7177:G7177" si="426">SUM(E7162:E7176)</f>
        <v>275657317</v>
      </c>
      <c r="F7177" s="564">
        <f t="shared" si="426"/>
        <v>0</v>
      </c>
      <c r="G7177" s="564">
        <f t="shared" si="426"/>
        <v>2580630383</v>
      </c>
      <c r="H7177" s="532"/>
      <c r="I7177" s="532"/>
      <c r="J7177" s="532"/>
    </row>
    <row r="7178" spans="1:10" x14ac:dyDescent="0.25">
      <c r="A7178" s="362"/>
      <c r="B7178" s="611">
        <v>44573</v>
      </c>
      <c r="C7178" s="362" t="s">
        <v>86</v>
      </c>
      <c r="D7178" s="562">
        <v>62053644</v>
      </c>
      <c r="E7178" s="562">
        <v>44988660</v>
      </c>
      <c r="F7178" s="562"/>
      <c r="G7178" s="562">
        <f t="shared" si="422"/>
        <v>107042304</v>
      </c>
      <c r="H7178" s="362"/>
      <c r="I7178" s="362"/>
      <c r="J7178" s="362"/>
    </row>
    <row r="7179" spans="1:10" x14ac:dyDescent="0.25">
      <c r="A7179" s="362"/>
      <c r="B7179" s="611">
        <v>44573</v>
      </c>
      <c r="C7179" s="362" t="s">
        <v>87</v>
      </c>
      <c r="D7179" s="562">
        <v>65828214</v>
      </c>
      <c r="E7179" s="562">
        <v>58402546</v>
      </c>
      <c r="F7179" s="562"/>
      <c r="G7179" s="562">
        <f t="shared" si="422"/>
        <v>124230760</v>
      </c>
      <c r="H7179" s="362"/>
      <c r="I7179" s="362"/>
      <c r="J7179" s="362"/>
    </row>
    <row r="7180" spans="1:10" x14ac:dyDescent="0.25">
      <c r="A7180" s="362"/>
      <c r="B7180" s="611">
        <v>44573</v>
      </c>
      <c r="C7180" s="362" t="s">
        <v>88</v>
      </c>
      <c r="D7180" s="562">
        <v>114082639</v>
      </c>
      <c r="E7180" s="562">
        <v>13748317</v>
      </c>
      <c r="F7180" s="562"/>
      <c r="G7180" s="562">
        <f t="shared" ref="G7180:G7243" si="427">D7180+E7180-F7180</f>
        <v>127830956</v>
      </c>
      <c r="H7180" s="362"/>
      <c r="I7180" s="362"/>
      <c r="J7180" s="362"/>
    </row>
    <row r="7181" spans="1:10" x14ac:dyDescent="0.25">
      <c r="A7181" s="362"/>
      <c r="B7181" s="611">
        <v>44573</v>
      </c>
      <c r="C7181" s="362" t="s">
        <v>82</v>
      </c>
      <c r="D7181" s="562">
        <v>122580219</v>
      </c>
      <c r="E7181" s="562">
        <v>2388349</v>
      </c>
      <c r="F7181" s="562"/>
      <c r="G7181" s="562">
        <f t="shared" si="427"/>
        <v>124968568</v>
      </c>
      <c r="H7181" s="362"/>
      <c r="I7181" s="362"/>
      <c r="J7181" s="362"/>
    </row>
    <row r="7182" spans="1:10" x14ac:dyDescent="0.25">
      <c r="A7182" s="362"/>
      <c r="B7182" s="611">
        <v>44573</v>
      </c>
      <c r="C7182" s="362" t="s">
        <v>80</v>
      </c>
      <c r="D7182" s="562">
        <v>219372259</v>
      </c>
      <c r="E7182" s="562">
        <v>23085000</v>
      </c>
      <c r="F7182" s="562"/>
      <c r="G7182" s="562">
        <f t="shared" si="427"/>
        <v>242457259</v>
      </c>
      <c r="H7182" s="362"/>
      <c r="I7182" s="362"/>
      <c r="J7182" s="362"/>
    </row>
    <row r="7183" spans="1:10" x14ac:dyDescent="0.25">
      <c r="A7183" s="362"/>
      <c r="B7183" s="611">
        <v>44573</v>
      </c>
      <c r="C7183" s="362" t="s">
        <v>83</v>
      </c>
      <c r="D7183" s="562">
        <v>142938308</v>
      </c>
      <c r="E7183" s="562">
        <v>7845750</v>
      </c>
      <c r="F7183" s="562"/>
      <c r="G7183" s="562">
        <f t="shared" si="427"/>
        <v>150784058</v>
      </c>
      <c r="H7183" s="362"/>
      <c r="I7183" s="362"/>
      <c r="J7183" s="362"/>
    </row>
    <row r="7184" spans="1:10" x14ac:dyDescent="0.25">
      <c r="A7184" s="362"/>
      <c r="B7184" s="611">
        <v>44573</v>
      </c>
      <c r="C7184" s="362" t="s">
        <v>78</v>
      </c>
      <c r="D7184" s="562">
        <v>139938676</v>
      </c>
      <c r="E7184" s="562">
        <v>12912124</v>
      </c>
      <c r="F7184" s="562"/>
      <c r="G7184" s="562">
        <f t="shared" si="427"/>
        <v>152850800</v>
      </c>
      <c r="H7184" s="362"/>
      <c r="I7184" s="362"/>
      <c r="J7184" s="362"/>
    </row>
    <row r="7185" spans="1:10" x14ac:dyDescent="0.25">
      <c r="A7185" s="362"/>
      <c r="B7185" s="611">
        <v>44573</v>
      </c>
      <c r="C7185" s="362" t="s">
        <v>141</v>
      </c>
      <c r="D7185" s="562">
        <v>108128702</v>
      </c>
      <c r="E7185" s="562">
        <v>567463</v>
      </c>
      <c r="F7185" s="562"/>
      <c r="G7185" s="562">
        <f t="shared" si="427"/>
        <v>108696165</v>
      </c>
      <c r="H7185" s="362"/>
      <c r="I7185" s="362"/>
      <c r="J7185" s="362"/>
    </row>
    <row r="7186" spans="1:10" x14ac:dyDescent="0.25">
      <c r="A7186" s="362"/>
      <c r="B7186" s="611">
        <v>44573</v>
      </c>
      <c r="C7186" s="362" t="s">
        <v>89</v>
      </c>
      <c r="D7186" s="562">
        <v>95409323</v>
      </c>
      <c r="E7186" s="562">
        <v>24884877</v>
      </c>
      <c r="F7186" s="562"/>
      <c r="G7186" s="562">
        <f t="shared" si="427"/>
        <v>120294200</v>
      </c>
      <c r="H7186" s="362"/>
      <c r="I7186" s="362"/>
      <c r="J7186" s="362"/>
    </row>
    <row r="7187" spans="1:10" x14ac:dyDescent="0.25">
      <c r="A7187" s="362"/>
      <c r="B7187" s="611">
        <v>44573</v>
      </c>
      <c r="C7187" s="362" t="s">
        <v>81</v>
      </c>
      <c r="D7187" s="562">
        <v>101244735</v>
      </c>
      <c r="E7187" s="562">
        <v>13992806</v>
      </c>
      <c r="F7187" s="562"/>
      <c r="G7187" s="562">
        <f t="shared" si="427"/>
        <v>115237541</v>
      </c>
      <c r="H7187" s="362"/>
      <c r="I7187" s="362"/>
      <c r="J7187" s="362"/>
    </row>
    <row r="7188" spans="1:10" x14ac:dyDescent="0.25">
      <c r="A7188" s="362"/>
      <c r="B7188" s="611">
        <v>44573</v>
      </c>
      <c r="C7188" s="362" t="s">
        <v>84</v>
      </c>
      <c r="D7188" s="562">
        <v>221492712</v>
      </c>
      <c r="E7188" s="562">
        <v>11183272</v>
      </c>
      <c r="F7188" s="562"/>
      <c r="G7188" s="562">
        <f t="shared" si="427"/>
        <v>232675984</v>
      </c>
      <c r="H7188" s="362"/>
      <c r="I7188" s="362"/>
      <c r="J7188" s="362"/>
    </row>
    <row r="7189" spans="1:10" x14ac:dyDescent="0.25">
      <c r="A7189" s="362"/>
      <c r="B7189" s="611">
        <v>44573</v>
      </c>
      <c r="C7189" s="362" t="s">
        <v>4751</v>
      </c>
      <c r="D7189" s="562">
        <v>210494086</v>
      </c>
      <c r="E7189" s="562">
        <v>9150914</v>
      </c>
      <c r="F7189" s="562"/>
      <c r="G7189" s="562">
        <f t="shared" si="427"/>
        <v>219645000</v>
      </c>
      <c r="H7189" s="362"/>
      <c r="I7189" s="362"/>
      <c r="J7189" s="362"/>
    </row>
    <row r="7190" spans="1:10" x14ac:dyDescent="0.25">
      <c r="A7190" s="362"/>
      <c r="B7190" s="611">
        <v>44573</v>
      </c>
      <c r="C7190" s="362" t="s">
        <v>166</v>
      </c>
      <c r="D7190" s="562">
        <v>76882263</v>
      </c>
      <c r="E7190" s="562"/>
      <c r="F7190" s="562"/>
      <c r="G7190" s="562">
        <f t="shared" si="427"/>
        <v>76882263</v>
      </c>
      <c r="H7190" s="362"/>
      <c r="I7190" s="362"/>
      <c r="J7190" s="362"/>
    </row>
    <row r="7191" spans="1:10" x14ac:dyDescent="0.25">
      <c r="A7191" s="362"/>
      <c r="B7191" s="611">
        <v>44573</v>
      </c>
      <c r="C7191" s="362" t="s">
        <v>3435</v>
      </c>
      <c r="D7191" s="562">
        <v>51710345</v>
      </c>
      <c r="E7191" s="562"/>
      <c r="F7191" s="562"/>
      <c r="G7191" s="562">
        <f t="shared" si="427"/>
        <v>51710345</v>
      </c>
      <c r="H7191" s="362"/>
      <c r="I7191" s="362"/>
      <c r="J7191" s="362"/>
    </row>
    <row r="7192" spans="1:10" x14ac:dyDescent="0.25">
      <c r="A7192" s="362"/>
      <c r="B7192" s="611">
        <v>44573</v>
      </c>
      <c r="C7192" s="370" t="s">
        <v>85</v>
      </c>
      <c r="D7192" s="562">
        <v>40199800</v>
      </c>
      <c r="E7192" s="562"/>
      <c r="F7192" s="562"/>
      <c r="G7192" s="562">
        <f t="shared" si="427"/>
        <v>40199800</v>
      </c>
      <c r="H7192" s="362"/>
      <c r="I7192" s="362"/>
      <c r="J7192" s="362"/>
    </row>
    <row r="7193" spans="1:10" x14ac:dyDescent="0.25">
      <c r="A7193" s="532"/>
      <c r="B7193" s="532"/>
      <c r="C7193" s="532"/>
      <c r="D7193" s="564">
        <f>SUM(D7178:D7192)</f>
        <v>1772355925</v>
      </c>
      <c r="E7193" s="564">
        <f t="shared" ref="E7193:F7193" si="428">SUM(E7178:E7192)</f>
        <v>223150078</v>
      </c>
      <c r="F7193" s="564">
        <f t="shared" si="428"/>
        <v>0</v>
      </c>
      <c r="G7193" s="564">
        <f>SUM(G7178:G7192)</f>
        <v>1995506003</v>
      </c>
      <c r="H7193" s="532"/>
      <c r="I7193" s="532"/>
      <c r="J7193" s="532"/>
    </row>
    <row r="7194" spans="1:10" x14ac:dyDescent="0.25">
      <c r="A7194" s="362"/>
      <c r="B7194" s="611">
        <v>44574</v>
      </c>
      <c r="C7194" s="362" t="s">
        <v>86</v>
      </c>
      <c r="D7194" s="562">
        <v>73060391</v>
      </c>
      <c r="E7194" s="562">
        <v>171766516</v>
      </c>
      <c r="F7194" s="562"/>
      <c r="G7194" s="562">
        <f t="shared" si="427"/>
        <v>244826907</v>
      </c>
      <c r="H7194" s="362"/>
      <c r="I7194" s="362"/>
      <c r="J7194" s="362"/>
    </row>
    <row r="7195" spans="1:10" x14ac:dyDescent="0.25">
      <c r="A7195" s="362"/>
      <c r="B7195" s="611">
        <v>44574</v>
      </c>
      <c r="C7195" s="362" t="s">
        <v>87</v>
      </c>
      <c r="D7195" s="562">
        <v>55623114</v>
      </c>
      <c r="E7195" s="562">
        <v>107661154</v>
      </c>
      <c r="F7195" s="562"/>
      <c r="G7195" s="562">
        <f t="shared" si="427"/>
        <v>163284268</v>
      </c>
      <c r="H7195" s="362"/>
      <c r="I7195" s="362"/>
      <c r="J7195" s="362"/>
    </row>
    <row r="7196" spans="1:10" x14ac:dyDescent="0.25">
      <c r="A7196" s="362"/>
      <c r="B7196" s="611">
        <v>44574</v>
      </c>
      <c r="C7196" s="362" t="s">
        <v>88</v>
      </c>
      <c r="D7196" s="562">
        <v>139351079</v>
      </c>
      <c r="E7196" s="562">
        <v>15056607</v>
      </c>
      <c r="F7196" s="562"/>
      <c r="G7196" s="562">
        <f t="shared" si="427"/>
        <v>154407686</v>
      </c>
      <c r="H7196" s="362"/>
      <c r="I7196" s="362"/>
      <c r="J7196" s="362"/>
    </row>
    <row r="7197" spans="1:10" x14ac:dyDescent="0.25">
      <c r="A7197" s="362"/>
      <c r="B7197" s="611">
        <v>44574</v>
      </c>
      <c r="C7197" s="362" t="s">
        <v>82</v>
      </c>
      <c r="D7197" s="562">
        <v>111543235</v>
      </c>
      <c r="E7197" s="562">
        <v>2382883</v>
      </c>
      <c r="F7197" s="562"/>
      <c r="G7197" s="562">
        <f t="shared" si="427"/>
        <v>113926118</v>
      </c>
      <c r="H7197" s="362"/>
      <c r="I7197" s="362"/>
      <c r="J7197" s="362"/>
    </row>
    <row r="7198" spans="1:10" x14ac:dyDescent="0.25">
      <c r="A7198" s="362"/>
      <c r="B7198" s="611">
        <v>44574</v>
      </c>
      <c r="C7198" s="362" t="s">
        <v>80</v>
      </c>
      <c r="D7198" s="562">
        <v>215979600</v>
      </c>
      <c r="E7198" s="562">
        <v>100170</v>
      </c>
      <c r="F7198" s="562"/>
      <c r="G7198" s="562">
        <f t="shared" si="427"/>
        <v>216079770</v>
      </c>
      <c r="H7198" s="362"/>
      <c r="I7198" s="362"/>
      <c r="J7198" s="362"/>
    </row>
    <row r="7199" spans="1:10" x14ac:dyDescent="0.25">
      <c r="A7199" s="362"/>
      <c r="B7199" s="611">
        <v>44574</v>
      </c>
      <c r="C7199" s="362" t="s">
        <v>83</v>
      </c>
      <c r="D7199" s="562">
        <v>121380789</v>
      </c>
      <c r="E7199" s="562">
        <v>8633400</v>
      </c>
      <c r="F7199" s="562"/>
      <c r="G7199" s="562">
        <f t="shared" si="427"/>
        <v>130014189</v>
      </c>
      <c r="H7199" s="362"/>
      <c r="I7199" s="362"/>
      <c r="J7199" s="362"/>
    </row>
    <row r="7200" spans="1:10" x14ac:dyDescent="0.25">
      <c r="A7200" s="362"/>
      <c r="B7200" s="611">
        <v>44574</v>
      </c>
      <c r="C7200" s="362" t="s">
        <v>78</v>
      </c>
      <c r="D7200" s="562">
        <v>65347478</v>
      </c>
      <c r="E7200" s="562">
        <v>1190122</v>
      </c>
      <c r="F7200" s="562"/>
      <c r="G7200" s="562">
        <f t="shared" si="427"/>
        <v>66537600</v>
      </c>
      <c r="H7200" s="362"/>
      <c r="I7200" s="362"/>
      <c r="J7200" s="362"/>
    </row>
    <row r="7201" spans="1:10" x14ac:dyDescent="0.25">
      <c r="A7201" s="362"/>
      <c r="B7201" s="611">
        <v>44574</v>
      </c>
      <c r="C7201" s="362" t="s">
        <v>141</v>
      </c>
      <c r="D7201" s="562">
        <v>79271338</v>
      </c>
      <c r="E7201" s="562"/>
      <c r="F7201" s="562"/>
      <c r="G7201" s="562">
        <f t="shared" si="427"/>
        <v>79271338</v>
      </c>
      <c r="H7201" s="362"/>
      <c r="I7201" s="362"/>
      <c r="J7201" s="362"/>
    </row>
    <row r="7202" spans="1:10" x14ac:dyDescent="0.25">
      <c r="A7202" s="362"/>
      <c r="B7202" s="611">
        <v>44574</v>
      </c>
      <c r="C7202" s="362" t="s">
        <v>89</v>
      </c>
      <c r="D7202" s="562">
        <v>114757046</v>
      </c>
      <c r="E7202" s="562">
        <v>43192354</v>
      </c>
      <c r="F7202" s="562"/>
      <c r="G7202" s="562">
        <f t="shared" si="427"/>
        <v>157949400</v>
      </c>
      <c r="H7202" s="362"/>
      <c r="I7202" s="362"/>
      <c r="J7202" s="362"/>
    </row>
    <row r="7203" spans="1:10" x14ac:dyDescent="0.25">
      <c r="A7203" s="362"/>
      <c r="B7203" s="611">
        <v>44574</v>
      </c>
      <c r="C7203" s="362" t="s">
        <v>81</v>
      </c>
      <c r="D7203" s="562">
        <v>96650617</v>
      </c>
      <c r="E7203" s="562">
        <v>43377568</v>
      </c>
      <c r="F7203" s="562"/>
      <c r="G7203" s="562">
        <f t="shared" si="427"/>
        <v>140028185</v>
      </c>
      <c r="H7203" s="362"/>
      <c r="I7203" s="362"/>
      <c r="J7203" s="362"/>
    </row>
    <row r="7204" spans="1:10" x14ac:dyDescent="0.25">
      <c r="A7204" s="362"/>
      <c r="B7204" s="611">
        <v>44574</v>
      </c>
      <c r="C7204" s="362" t="s">
        <v>84</v>
      </c>
      <c r="D7204" s="562">
        <v>332448559</v>
      </c>
      <c r="E7204" s="562">
        <v>23470707</v>
      </c>
      <c r="F7204" s="562"/>
      <c r="G7204" s="562">
        <f t="shared" si="427"/>
        <v>355919266</v>
      </c>
      <c r="H7204" s="362"/>
      <c r="I7204" s="362"/>
      <c r="J7204" s="362"/>
    </row>
    <row r="7205" spans="1:10" x14ac:dyDescent="0.25">
      <c r="A7205" s="362"/>
      <c r="B7205" s="611">
        <v>44574</v>
      </c>
      <c r="C7205" s="362" t="s">
        <v>4751</v>
      </c>
      <c r="D7205" s="562">
        <v>279685716</v>
      </c>
      <c r="E7205" s="562">
        <v>6480584</v>
      </c>
      <c r="F7205" s="562"/>
      <c r="G7205" s="562">
        <f t="shared" si="427"/>
        <v>286166300</v>
      </c>
      <c r="H7205" s="362"/>
      <c r="I7205" s="362"/>
      <c r="J7205" s="362"/>
    </row>
    <row r="7206" spans="1:10" x14ac:dyDescent="0.25">
      <c r="A7206" s="362"/>
      <c r="B7206" s="611">
        <v>44574</v>
      </c>
      <c r="C7206" s="362" t="s">
        <v>166</v>
      </c>
      <c r="D7206" s="562">
        <v>36237229</v>
      </c>
      <c r="E7206" s="562"/>
      <c r="F7206" s="562"/>
      <c r="G7206" s="562">
        <f t="shared" si="427"/>
        <v>36237229</v>
      </c>
      <c r="H7206" s="362"/>
      <c r="I7206" s="362"/>
      <c r="J7206" s="362"/>
    </row>
    <row r="7207" spans="1:10" x14ac:dyDescent="0.25">
      <c r="A7207" s="362"/>
      <c r="B7207" s="611">
        <v>44574</v>
      </c>
      <c r="C7207" s="362" t="s">
        <v>3435</v>
      </c>
      <c r="D7207" s="562">
        <v>23307926</v>
      </c>
      <c r="E7207" s="562"/>
      <c r="F7207" s="562"/>
      <c r="G7207" s="562">
        <f t="shared" si="427"/>
        <v>23307926</v>
      </c>
      <c r="H7207" s="362"/>
      <c r="I7207" s="362"/>
      <c r="J7207" s="362"/>
    </row>
    <row r="7208" spans="1:10" x14ac:dyDescent="0.25">
      <c r="A7208" s="362"/>
      <c r="B7208" s="611">
        <v>44574</v>
      </c>
      <c r="C7208" s="370" t="s">
        <v>85</v>
      </c>
      <c r="D7208" s="562">
        <v>24555200</v>
      </c>
      <c r="E7208" s="562"/>
      <c r="F7208" s="562"/>
      <c r="G7208" s="562">
        <f t="shared" si="427"/>
        <v>24555200</v>
      </c>
      <c r="H7208" s="362"/>
      <c r="I7208" s="362"/>
      <c r="J7208" s="362"/>
    </row>
    <row r="7209" spans="1:10" x14ac:dyDescent="0.25">
      <c r="A7209" s="532"/>
      <c r="B7209" s="532"/>
      <c r="C7209" s="532"/>
      <c r="D7209" s="564">
        <f>SUM(D7194:D7208)</f>
        <v>1769199317</v>
      </c>
      <c r="E7209" s="564">
        <f t="shared" ref="E7209:G7209" si="429">SUM(E7194:E7208)</f>
        <v>423312065</v>
      </c>
      <c r="F7209" s="564">
        <f t="shared" si="429"/>
        <v>0</v>
      </c>
      <c r="G7209" s="564">
        <f t="shared" si="429"/>
        <v>2192511382</v>
      </c>
      <c r="H7209" s="532"/>
      <c r="I7209" s="532"/>
      <c r="J7209" s="532"/>
    </row>
    <row r="7210" spans="1:10" x14ac:dyDescent="0.25">
      <c r="A7210" s="362"/>
      <c r="B7210" s="611">
        <v>44575</v>
      </c>
      <c r="C7210" s="362" t="s">
        <v>86</v>
      </c>
      <c r="D7210" s="562">
        <v>11083535</v>
      </c>
      <c r="E7210" s="562">
        <v>18249971</v>
      </c>
      <c r="F7210" s="562">
        <v>29333700</v>
      </c>
      <c r="G7210" s="562">
        <f t="shared" si="427"/>
        <v>-194</v>
      </c>
      <c r="H7210" s="362"/>
      <c r="I7210" s="362"/>
      <c r="J7210" s="362"/>
    </row>
    <row r="7211" spans="1:10" x14ac:dyDescent="0.25">
      <c r="A7211" s="362"/>
      <c r="B7211" s="611">
        <v>44575</v>
      </c>
      <c r="C7211" s="362" t="s">
        <v>87</v>
      </c>
      <c r="D7211" s="562">
        <v>56994553</v>
      </c>
      <c r="E7211" s="562">
        <v>76258738</v>
      </c>
      <c r="F7211" s="562">
        <v>133253400</v>
      </c>
      <c r="G7211" s="562">
        <f t="shared" si="427"/>
        <v>-109</v>
      </c>
      <c r="H7211" s="362"/>
      <c r="I7211" s="362"/>
      <c r="J7211" s="362"/>
    </row>
    <row r="7212" spans="1:10" x14ac:dyDescent="0.25">
      <c r="A7212" s="362"/>
      <c r="B7212" s="611">
        <v>44575</v>
      </c>
      <c r="C7212" s="362" t="s">
        <v>88</v>
      </c>
      <c r="D7212" s="562">
        <v>39101935</v>
      </c>
      <c r="E7212" s="562">
        <v>86168783</v>
      </c>
      <c r="F7212" s="562">
        <v>125270800</v>
      </c>
      <c r="G7212" s="562">
        <f t="shared" si="427"/>
        <v>-82</v>
      </c>
      <c r="H7212" s="362"/>
      <c r="I7212" s="362"/>
      <c r="J7212" s="362"/>
    </row>
    <row r="7213" spans="1:10" x14ac:dyDescent="0.25">
      <c r="A7213" s="362"/>
      <c r="B7213" s="611">
        <v>44575</v>
      </c>
      <c r="C7213" s="362" t="s">
        <v>82</v>
      </c>
      <c r="D7213" s="562">
        <v>47737160</v>
      </c>
      <c r="E7213" s="562">
        <v>14181709</v>
      </c>
      <c r="F7213" s="562">
        <v>61918900</v>
      </c>
      <c r="G7213" s="562">
        <f t="shared" si="427"/>
        <v>-31</v>
      </c>
      <c r="H7213" s="362"/>
      <c r="I7213" s="362"/>
      <c r="J7213" s="362"/>
    </row>
    <row r="7214" spans="1:10" x14ac:dyDescent="0.25">
      <c r="A7214" s="362"/>
      <c r="B7214" s="611">
        <v>44575</v>
      </c>
      <c r="C7214" s="362" t="s">
        <v>80</v>
      </c>
      <c r="D7214" s="562">
        <v>252105040</v>
      </c>
      <c r="E7214" s="562">
        <v>6715560</v>
      </c>
      <c r="F7214" s="562">
        <v>258820600</v>
      </c>
      <c r="G7214" s="562">
        <f t="shared" si="427"/>
        <v>0</v>
      </c>
      <c r="H7214" s="362"/>
      <c r="I7214" s="362"/>
      <c r="J7214" s="362"/>
    </row>
    <row r="7215" spans="1:10" x14ac:dyDescent="0.25">
      <c r="A7215" s="362"/>
      <c r="B7215" s="611">
        <v>44575</v>
      </c>
      <c r="C7215" s="362" t="s">
        <v>83</v>
      </c>
      <c r="D7215" s="562">
        <v>62699424</v>
      </c>
      <c r="E7215" s="562">
        <v>105105076</v>
      </c>
      <c r="F7215" s="562">
        <v>167804500</v>
      </c>
      <c r="G7215" s="562">
        <f t="shared" si="427"/>
        <v>0</v>
      </c>
      <c r="H7215" s="362"/>
      <c r="I7215" s="362"/>
      <c r="J7215" s="362"/>
    </row>
    <row r="7216" spans="1:10" x14ac:dyDescent="0.25">
      <c r="A7216" s="362"/>
      <c r="B7216" s="611">
        <v>44575</v>
      </c>
      <c r="C7216" s="362" t="s">
        <v>78</v>
      </c>
      <c r="D7216" s="562">
        <v>47715172</v>
      </c>
      <c r="E7216" s="562">
        <v>5358928</v>
      </c>
      <c r="F7216" s="562">
        <v>53074100</v>
      </c>
      <c r="G7216" s="562">
        <f t="shared" si="427"/>
        <v>0</v>
      </c>
      <c r="H7216" s="362"/>
      <c r="I7216" s="362"/>
      <c r="J7216" s="362"/>
    </row>
    <row r="7217" spans="1:10" x14ac:dyDescent="0.25">
      <c r="A7217" s="362"/>
      <c r="B7217" s="611">
        <v>44575</v>
      </c>
      <c r="C7217" s="362" t="s">
        <v>141</v>
      </c>
      <c r="D7217" s="562">
        <v>29848178</v>
      </c>
      <c r="E7217" s="562"/>
      <c r="F7217" s="562">
        <v>29848200</v>
      </c>
      <c r="G7217" s="562">
        <f t="shared" si="427"/>
        <v>-22</v>
      </c>
      <c r="H7217" s="362"/>
      <c r="I7217" s="362"/>
      <c r="J7217" s="362"/>
    </row>
    <row r="7218" spans="1:10" x14ac:dyDescent="0.25">
      <c r="A7218" s="362"/>
      <c r="B7218" s="611">
        <v>44575</v>
      </c>
      <c r="C7218" s="362" t="s">
        <v>89</v>
      </c>
      <c r="D7218" s="562">
        <v>56833960</v>
      </c>
      <c r="E7218" s="562">
        <v>51174340</v>
      </c>
      <c r="F7218" s="562">
        <v>108008300</v>
      </c>
      <c r="G7218" s="562">
        <f t="shared" si="427"/>
        <v>0</v>
      </c>
      <c r="H7218" s="362"/>
      <c r="I7218" s="362"/>
      <c r="J7218" s="362"/>
    </row>
    <row r="7219" spans="1:10" x14ac:dyDescent="0.25">
      <c r="A7219" s="362"/>
      <c r="B7219" s="611">
        <v>44575</v>
      </c>
      <c r="C7219" s="362" t="s">
        <v>81</v>
      </c>
      <c r="D7219" s="562">
        <v>70681124</v>
      </c>
      <c r="E7219" s="562">
        <v>9975282</v>
      </c>
      <c r="F7219" s="562">
        <v>80656400</v>
      </c>
      <c r="G7219" s="562">
        <f t="shared" si="427"/>
        <v>6</v>
      </c>
      <c r="H7219" s="362"/>
      <c r="I7219" s="362"/>
      <c r="J7219" s="362"/>
    </row>
    <row r="7220" spans="1:10" x14ac:dyDescent="0.25">
      <c r="A7220" s="362"/>
      <c r="B7220" s="611">
        <v>44575</v>
      </c>
      <c r="C7220" s="362" t="s">
        <v>84</v>
      </c>
      <c r="D7220" s="562">
        <v>486248385</v>
      </c>
      <c r="E7220" s="562">
        <v>21360775</v>
      </c>
      <c r="F7220" s="562">
        <v>507609100</v>
      </c>
      <c r="G7220" s="562">
        <f t="shared" si="427"/>
        <v>60</v>
      </c>
      <c r="H7220" s="362"/>
      <c r="I7220" s="362"/>
      <c r="J7220" s="362"/>
    </row>
    <row r="7221" spans="1:10" x14ac:dyDescent="0.25">
      <c r="A7221" s="362"/>
      <c r="B7221" s="611">
        <v>44575</v>
      </c>
      <c r="C7221" s="362" t="s">
        <v>4751</v>
      </c>
      <c r="D7221" s="562">
        <v>107027456</v>
      </c>
      <c r="E7221" s="562">
        <v>40736844</v>
      </c>
      <c r="F7221" s="562">
        <v>147764300</v>
      </c>
      <c r="G7221" s="562">
        <f t="shared" si="427"/>
        <v>0</v>
      </c>
      <c r="H7221" s="362"/>
      <c r="I7221" s="362"/>
      <c r="J7221" s="362"/>
    </row>
    <row r="7222" spans="1:10" x14ac:dyDescent="0.25">
      <c r="A7222" s="362"/>
      <c r="B7222" s="611">
        <v>44575</v>
      </c>
      <c r="C7222" s="362" t="s">
        <v>166</v>
      </c>
      <c r="D7222" s="562">
        <v>77628684</v>
      </c>
      <c r="E7222" s="562"/>
      <c r="F7222" s="562">
        <v>77629000</v>
      </c>
      <c r="G7222" s="562">
        <f t="shared" si="427"/>
        <v>-316</v>
      </c>
      <c r="H7222" s="362"/>
      <c r="I7222" s="362"/>
      <c r="J7222" s="362"/>
    </row>
    <row r="7223" spans="1:10" x14ac:dyDescent="0.25">
      <c r="A7223" s="362"/>
      <c r="B7223" s="611">
        <v>44575</v>
      </c>
      <c r="C7223" s="362" t="s">
        <v>3435</v>
      </c>
      <c r="D7223" s="562">
        <v>4750245</v>
      </c>
      <c r="E7223" s="562"/>
      <c r="F7223" s="562">
        <v>4750300</v>
      </c>
      <c r="G7223" s="562">
        <f t="shared" si="427"/>
        <v>-55</v>
      </c>
      <c r="H7223" s="362"/>
      <c r="I7223" s="362"/>
      <c r="J7223" s="362"/>
    </row>
    <row r="7224" spans="1:10" x14ac:dyDescent="0.25">
      <c r="A7224" s="362"/>
      <c r="B7224" s="611">
        <v>44575</v>
      </c>
      <c r="C7224" s="370" t="s">
        <v>85</v>
      </c>
      <c r="D7224" s="562">
        <v>28699200</v>
      </c>
      <c r="E7224" s="562"/>
      <c r="F7224" s="562">
        <v>28699200</v>
      </c>
      <c r="G7224" s="562">
        <f t="shared" si="427"/>
        <v>0</v>
      </c>
      <c r="H7224" s="362"/>
      <c r="I7224" s="362"/>
      <c r="J7224" s="362"/>
    </row>
    <row r="7225" spans="1:10" x14ac:dyDescent="0.25">
      <c r="A7225" s="532"/>
      <c r="B7225" s="532"/>
      <c r="C7225" s="532"/>
      <c r="D7225" s="564">
        <f>SUM(D7210:D7224)</f>
        <v>1379154051</v>
      </c>
      <c r="E7225" s="564">
        <f t="shared" ref="E7225:G7225" si="430">SUM(E7210:E7224)</f>
        <v>435286006</v>
      </c>
      <c r="F7225" s="564">
        <f t="shared" si="430"/>
        <v>1814440800</v>
      </c>
      <c r="G7225" s="564">
        <f t="shared" si="430"/>
        <v>-743</v>
      </c>
      <c r="H7225" s="532"/>
      <c r="I7225" s="532"/>
      <c r="J7225" s="532"/>
    </row>
    <row r="7226" spans="1:10" x14ac:dyDescent="0.25">
      <c r="A7226" s="362"/>
      <c r="B7226" s="611">
        <v>44576</v>
      </c>
      <c r="C7226" s="362" t="s">
        <v>86</v>
      </c>
      <c r="D7226" s="562">
        <v>36248068</v>
      </c>
      <c r="E7226" s="562">
        <v>146363043</v>
      </c>
      <c r="F7226" s="562">
        <v>182611100</v>
      </c>
      <c r="G7226" s="562">
        <f t="shared" si="427"/>
        <v>11</v>
      </c>
      <c r="H7226" s="362"/>
      <c r="I7226" s="362"/>
      <c r="J7226" s="362"/>
    </row>
    <row r="7227" spans="1:10" x14ac:dyDescent="0.25">
      <c r="A7227" s="362"/>
      <c r="B7227" s="611">
        <v>44576</v>
      </c>
      <c r="C7227" s="362" t="s">
        <v>87</v>
      </c>
      <c r="D7227" s="562">
        <v>36857182</v>
      </c>
      <c r="E7227" s="562">
        <v>96762676</v>
      </c>
      <c r="F7227" s="562">
        <f>93087800+40532100</f>
        <v>133619900</v>
      </c>
      <c r="G7227" s="562">
        <f t="shared" si="427"/>
        <v>-42</v>
      </c>
      <c r="H7227" s="362"/>
      <c r="I7227" s="362"/>
      <c r="J7227" s="362"/>
    </row>
    <row r="7228" spans="1:10" x14ac:dyDescent="0.25">
      <c r="A7228" s="362"/>
      <c r="B7228" s="611">
        <v>44576</v>
      </c>
      <c r="C7228" s="362" t="s">
        <v>88</v>
      </c>
      <c r="D7228" s="562">
        <v>135833214</v>
      </c>
      <c r="E7228" s="562">
        <v>8269417</v>
      </c>
      <c r="F7228" s="562">
        <v>144102700</v>
      </c>
      <c r="G7228" s="562">
        <f t="shared" si="427"/>
        <v>-69</v>
      </c>
      <c r="H7228" s="362"/>
      <c r="I7228" s="362"/>
      <c r="J7228" s="362"/>
    </row>
    <row r="7229" spans="1:10" x14ac:dyDescent="0.25">
      <c r="A7229" s="362"/>
      <c r="B7229" s="611">
        <v>44576</v>
      </c>
      <c r="C7229" s="362" t="s">
        <v>82</v>
      </c>
      <c r="D7229" s="562">
        <v>42437183</v>
      </c>
      <c r="E7229" s="562">
        <v>22981204</v>
      </c>
      <c r="F7229" s="562">
        <v>65418400</v>
      </c>
      <c r="G7229" s="562">
        <f t="shared" si="427"/>
        <v>-13</v>
      </c>
      <c r="H7229" s="362"/>
      <c r="I7229" s="362"/>
      <c r="J7229" s="362"/>
    </row>
    <row r="7230" spans="1:10" x14ac:dyDescent="0.25">
      <c r="A7230" s="362"/>
      <c r="B7230" s="611">
        <v>44576</v>
      </c>
      <c r="C7230" s="362" t="s">
        <v>80</v>
      </c>
      <c r="D7230" s="562">
        <v>282742554</v>
      </c>
      <c r="E7230" s="562"/>
      <c r="F7230" s="562">
        <v>282742600</v>
      </c>
      <c r="G7230" s="562">
        <f t="shared" si="427"/>
        <v>-46</v>
      </c>
      <c r="H7230" s="362"/>
      <c r="I7230" s="362"/>
      <c r="J7230" s="362"/>
    </row>
    <row r="7231" spans="1:10" x14ac:dyDescent="0.25">
      <c r="A7231" s="362"/>
      <c r="B7231" s="611">
        <v>44576</v>
      </c>
      <c r="C7231" s="362" t="s">
        <v>83</v>
      </c>
      <c r="D7231" s="562">
        <v>77715289</v>
      </c>
      <c r="E7231" s="562">
        <v>16308211</v>
      </c>
      <c r="F7231" s="562">
        <v>94023500</v>
      </c>
      <c r="G7231" s="562">
        <f t="shared" si="427"/>
        <v>0</v>
      </c>
      <c r="H7231" s="362"/>
      <c r="I7231" s="362"/>
      <c r="J7231" s="362"/>
    </row>
    <row r="7232" spans="1:10" x14ac:dyDescent="0.25">
      <c r="A7232" s="362"/>
      <c r="B7232" s="611">
        <v>44576</v>
      </c>
      <c r="C7232" s="362" t="s">
        <v>78</v>
      </c>
      <c r="D7232" s="562">
        <v>31220640</v>
      </c>
      <c r="E7232" s="562">
        <v>9948760</v>
      </c>
      <c r="F7232" s="562">
        <v>41169400</v>
      </c>
      <c r="G7232" s="562">
        <f t="shared" si="427"/>
        <v>0</v>
      </c>
      <c r="H7232" s="362"/>
      <c r="I7232" s="362"/>
      <c r="J7232" s="362"/>
    </row>
    <row r="7233" spans="1:10" x14ac:dyDescent="0.25">
      <c r="A7233" s="362"/>
      <c r="B7233" s="611">
        <v>44576</v>
      </c>
      <c r="C7233" s="362" t="s">
        <v>141</v>
      </c>
      <c r="D7233" s="562">
        <v>42820135</v>
      </c>
      <c r="E7233" s="562">
        <v>583468</v>
      </c>
      <c r="F7233" s="562">
        <v>43403700</v>
      </c>
      <c r="G7233" s="562">
        <f t="shared" si="427"/>
        <v>-97</v>
      </c>
      <c r="H7233" s="362"/>
      <c r="I7233" s="362"/>
      <c r="J7233" s="362"/>
    </row>
    <row r="7234" spans="1:10" x14ac:dyDescent="0.25">
      <c r="A7234" s="362"/>
      <c r="B7234" s="611">
        <v>44576</v>
      </c>
      <c r="C7234" s="362" t="s">
        <v>89</v>
      </c>
      <c r="D7234" s="562">
        <v>37402970</v>
      </c>
      <c r="E7234" s="562">
        <v>68334030</v>
      </c>
      <c r="F7234" s="562">
        <v>105737000</v>
      </c>
      <c r="G7234" s="562">
        <f t="shared" si="427"/>
        <v>0</v>
      </c>
      <c r="H7234" s="362"/>
      <c r="I7234" s="362"/>
      <c r="J7234" s="362"/>
    </row>
    <row r="7235" spans="1:10" x14ac:dyDescent="0.25">
      <c r="A7235" s="362"/>
      <c r="B7235" s="611">
        <v>44576</v>
      </c>
      <c r="C7235" s="362" t="s">
        <v>81</v>
      </c>
      <c r="D7235" s="562">
        <v>56912507</v>
      </c>
      <c r="E7235" s="562">
        <v>29061540</v>
      </c>
      <c r="F7235" s="562">
        <f>72148900+13825200</f>
        <v>85974100</v>
      </c>
      <c r="G7235" s="562">
        <f t="shared" si="427"/>
        <v>-53</v>
      </c>
      <c r="H7235" s="362"/>
      <c r="I7235" s="362"/>
      <c r="J7235" s="362"/>
    </row>
    <row r="7236" spans="1:10" x14ac:dyDescent="0.25">
      <c r="A7236" s="362"/>
      <c r="B7236" s="611">
        <v>44576</v>
      </c>
      <c r="C7236" s="362" t="s">
        <v>84</v>
      </c>
      <c r="D7236" s="562">
        <v>239468861</v>
      </c>
      <c r="E7236" s="562">
        <v>24756543</v>
      </c>
      <c r="F7236" s="562">
        <v>264225500</v>
      </c>
      <c r="G7236" s="562">
        <f t="shared" si="427"/>
        <v>-96</v>
      </c>
      <c r="H7236" s="362"/>
      <c r="I7236" s="362"/>
      <c r="J7236" s="362"/>
    </row>
    <row r="7237" spans="1:10" x14ac:dyDescent="0.25">
      <c r="A7237" s="362"/>
      <c r="B7237" s="611">
        <v>44576</v>
      </c>
      <c r="C7237" s="362" t="s">
        <v>4751</v>
      </c>
      <c r="D7237" s="562">
        <v>197021220</v>
      </c>
      <c r="E7237" s="562">
        <v>8147080</v>
      </c>
      <c r="F7237" s="562">
        <v>205168300</v>
      </c>
      <c r="G7237" s="562">
        <f t="shared" si="427"/>
        <v>0</v>
      </c>
      <c r="H7237" s="362"/>
      <c r="I7237" s="362"/>
      <c r="J7237" s="362"/>
    </row>
    <row r="7238" spans="1:10" x14ac:dyDescent="0.25">
      <c r="A7238" s="362"/>
      <c r="B7238" s="611">
        <v>44576</v>
      </c>
      <c r="C7238" s="362" t="s">
        <v>166</v>
      </c>
      <c r="D7238" s="562"/>
      <c r="E7238" s="562"/>
      <c r="F7238" s="562"/>
      <c r="G7238" s="562">
        <f t="shared" si="427"/>
        <v>0</v>
      </c>
      <c r="H7238" s="362"/>
      <c r="I7238" s="362"/>
      <c r="J7238" s="362"/>
    </row>
    <row r="7239" spans="1:10" x14ac:dyDescent="0.25">
      <c r="A7239" s="362"/>
      <c r="B7239" s="611">
        <v>44576</v>
      </c>
      <c r="C7239" s="362" t="s">
        <v>3435</v>
      </c>
      <c r="D7239" s="562"/>
      <c r="E7239" s="562"/>
      <c r="F7239" s="562"/>
      <c r="G7239" s="562">
        <f t="shared" si="427"/>
        <v>0</v>
      </c>
      <c r="H7239" s="362"/>
      <c r="I7239" s="362"/>
      <c r="J7239" s="362"/>
    </row>
    <row r="7240" spans="1:10" x14ac:dyDescent="0.25">
      <c r="A7240" s="362"/>
      <c r="B7240" s="611">
        <v>44576</v>
      </c>
      <c r="C7240" s="370" t="s">
        <v>85</v>
      </c>
      <c r="D7240" s="562">
        <v>26201200</v>
      </c>
      <c r="E7240" s="562"/>
      <c r="F7240" s="562">
        <v>26201200</v>
      </c>
      <c r="G7240" s="562">
        <f t="shared" si="427"/>
        <v>0</v>
      </c>
      <c r="H7240" s="362"/>
      <c r="I7240" s="362"/>
      <c r="J7240" s="362"/>
    </row>
    <row r="7241" spans="1:10" x14ac:dyDescent="0.25">
      <c r="A7241" s="532"/>
      <c r="B7241" s="532"/>
      <c r="C7241" s="532"/>
      <c r="D7241" s="564">
        <f>SUM(D7226:D7240)</f>
        <v>1242881023</v>
      </c>
      <c r="E7241" s="564">
        <f t="shared" ref="E7241:G7241" si="431">SUM(E7226:E7240)</f>
        <v>431515972</v>
      </c>
      <c r="F7241" s="564">
        <f t="shared" si="431"/>
        <v>1674397400</v>
      </c>
      <c r="G7241" s="564">
        <f t="shared" si="431"/>
        <v>-405</v>
      </c>
      <c r="H7241" s="532"/>
      <c r="I7241" s="532"/>
      <c r="J7241" s="532"/>
    </row>
    <row r="7242" spans="1:10" x14ac:dyDescent="0.25">
      <c r="A7242" s="362"/>
      <c r="B7242" s="611">
        <v>44578</v>
      </c>
      <c r="C7242" s="362" t="s">
        <v>86</v>
      </c>
      <c r="D7242" s="562">
        <v>78981418</v>
      </c>
      <c r="E7242" s="562">
        <v>9484641</v>
      </c>
      <c r="F7242" s="562">
        <v>88466100</v>
      </c>
      <c r="G7242" s="562">
        <f t="shared" si="427"/>
        <v>-41</v>
      </c>
      <c r="H7242" s="362"/>
      <c r="I7242" s="362"/>
      <c r="J7242" s="362"/>
    </row>
    <row r="7243" spans="1:10" x14ac:dyDescent="0.25">
      <c r="A7243" s="362"/>
      <c r="B7243" s="611">
        <v>44578</v>
      </c>
      <c r="C7243" s="362" t="s">
        <v>87</v>
      </c>
      <c r="D7243" s="562">
        <v>82344116</v>
      </c>
      <c r="E7243" s="562">
        <v>55987438</v>
      </c>
      <c r="F7243" s="562">
        <v>138331800</v>
      </c>
      <c r="G7243" s="562">
        <f t="shared" si="427"/>
        <v>-246</v>
      </c>
      <c r="H7243" s="362"/>
      <c r="I7243" s="362"/>
      <c r="J7243" s="362"/>
    </row>
    <row r="7244" spans="1:10" x14ac:dyDescent="0.25">
      <c r="A7244" s="362"/>
      <c r="B7244" s="611">
        <v>44578</v>
      </c>
      <c r="C7244" s="362" t="s">
        <v>88</v>
      </c>
      <c r="D7244" s="562">
        <v>165913742</v>
      </c>
      <c r="E7244" s="562">
        <v>25399108</v>
      </c>
      <c r="F7244" s="562">
        <v>191312900</v>
      </c>
      <c r="G7244" s="562">
        <f t="shared" ref="G7244:G7307" si="432">D7244+E7244-F7244</f>
        <v>-50</v>
      </c>
      <c r="H7244" s="362"/>
      <c r="I7244" s="362"/>
      <c r="J7244" s="362"/>
    </row>
    <row r="7245" spans="1:10" x14ac:dyDescent="0.25">
      <c r="A7245" s="362"/>
      <c r="B7245" s="611">
        <v>44578</v>
      </c>
      <c r="C7245" s="362" t="s">
        <v>82</v>
      </c>
      <c r="D7245" s="562">
        <v>46229347</v>
      </c>
      <c r="E7245" s="562">
        <v>52077070</v>
      </c>
      <c r="F7245" s="562">
        <v>98306500</v>
      </c>
      <c r="G7245" s="562">
        <f t="shared" si="432"/>
        <v>-83</v>
      </c>
      <c r="H7245" s="362"/>
      <c r="I7245" s="362"/>
      <c r="J7245" s="362"/>
    </row>
    <row r="7246" spans="1:10" x14ac:dyDescent="0.25">
      <c r="A7246" s="362"/>
      <c r="B7246" s="611">
        <v>44578</v>
      </c>
      <c r="C7246" s="362" t="s">
        <v>80</v>
      </c>
      <c r="D7246" s="562">
        <v>266566552</v>
      </c>
      <c r="E7246" s="562">
        <v>30780000</v>
      </c>
      <c r="F7246" s="562">
        <v>297331300</v>
      </c>
      <c r="G7246" s="562">
        <f t="shared" si="432"/>
        <v>15252</v>
      </c>
      <c r="H7246" s="362"/>
      <c r="I7246" s="362"/>
      <c r="J7246" s="362"/>
    </row>
    <row r="7247" spans="1:10" x14ac:dyDescent="0.25">
      <c r="A7247" s="362"/>
      <c r="B7247" s="611">
        <v>44578</v>
      </c>
      <c r="C7247" s="362" t="s">
        <v>83</v>
      </c>
      <c r="D7247" s="562">
        <v>187483527</v>
      </c>
      <c r="E7247" s="562">
        <v>10597663</v>
      </c>
      <c r="F7247" s="562">
        <v>198081200</v>
      </c>
      <c r="G7247" s="562">
        <f t="shared" si="432"/>
        <v>-10</v>
      </c>
      <c r="H7247" s="362"/>
      <c r="I7247" s="362"/>
      <c r="J7247" s="362"/>
    </row>
    <row r="7248" spans="1:10" x14ac:dyDescent="0.25">
      <c r="A7248" s="362"/>
      <c r="B7248" s="611">
        <v>44578</v>
      </c>
      <c r="C7248" s="362" t="s">
        <v>78</v>
      </c>
      <c r="D7248" s="562">
        <v>195547263</v>
      </c>
      <c r="E7248" s="562">
        <v>9353437</v>
      </c>
      <c r="F7248" s="562">
        <v>204900700</v>
      </c>
      <c r="G7248" s="562">
        <f t="shared" si="432"/>
        <v>0</v>
      </c>
      <c r="H7248" s="362"/>
      <c r="I7248" s="362"/>
      <c r="J7248" s="362"/>
    </row>
    <row r="7249" spans="1:10" x14ac:dyDescent="0.25">
      <c r="A7249" s="362"/>
      <c r="B7249" s="611">
        <v>44578</v>
      </c>
      <c r="C7249" s="362" t="s">
        <v>141</v>
      </c>
      <c r="D7249" s="562">
        <v>147734572</v>
      </c>
      <c r="E7249" s="562"/>
      <c r="F7249" s="562">
        <v>147734600</v>
      </c>
      <c r="G7249" s="562">
        <f t="shared" si="432"/>
        <v>-28</v>
      </c>
      <c r="H7249" s="362"/>
      <c r="I7249" s="362"/>
      <c r="J7249" s="362"/>
    </row>
    <row r="7250" spans="1:10" x14ac:dyDescent="0.25">
      <c r="A7250" s="362"/>
      <c r="B7250" s="611">
        <v>44578</v>
      </c>
      <c r="C7250" s="362" t="s">
        <v>89</v>
      </c>
      <c r="D7250" s="562">
        <v>94740201</v>
      </c>
      <c r="E7250" s="562">
        <v>40594099</v>
      </c>
      <c r="F7250" s="562">
        <v>135334200</v>
      </c>
      <c r="G7250" s="562">
        <f t="shared" si="432"/>
        <v>100</v>
      </c>
      <c r="H7250" s="362"/>
      <c r="I7250" s="362"/>
      <c r="J7250" s="362"/>
    </row>
    <row r="7251" spans="1:10" x14ac:dyDescent="0.25">
      <c r="A7251" s="362"/>
      <c r="B7251" s="611">
        <v>44578</v>
      </c>
      <c r="C7251" s="362" t="s">
        <v>81</v>
      </c>
      <c r="D7251" s="562">
        <v>150108119</v>
      </c>
      <c r="E7251" s="562">
        <v>23687029</v>
      </c>
      <c r="F7251" s="562">
        <v>173795200</v>
      </c>
      <c r="G7251" s="562">
        <f t="shared" si="432"/>
        <v>-52</v>
      </c>
      <c r="H7251" s="362"/>
      <c r="I7251" s="362"/>
      <c r="J7251" s="362"/>
    </row>
    <row r="7252" spans="1:10" x14ac:dyDescent="0.25">
      <c r="A7252" s="362"/>
      <c r="B7252" s="611">
        <v>44578</v>
      </c>
      <c r="C7252" s="362" t="s">
        <v>84</v>
      </c>
      <c r="D7252" s="562">
        <v>221238324</v>
      </c>
      <c r="E7252" s="562">
        <v>20426146</v>
      </c>
      <c r="F7252" s="562">
        <v>241664500</v>
      </c>
      <c r="G7252" s="562">
        <f t="shared" si="432"/>
        <v>-30</v>
      </c>
      <c r="H7252" s="362"/>
      <c r="I7252" s="362"/>
      <c r="J7252" s="362"/>
    </row>
    <row r="7253" spans="1:10" x14ac:dyDescent="0.25">
      <c r="A7253" s="362"/>
      <c r="B7253" s="611">
        <v>44578</v>
      </c>
      <c r="C7253" s="362" t="s">
        <v>4751</v>
      </c>
      <c r="D7253" s="562">
        <v>277669649</v>
      </c>
      <c r="E7253" s="562">
        <v>23543451</v>
      </c>
      <c r="F7253" s="562">
        <v>301213100</v>
      </c>
      <c r="G7253" s="562">
        <f t="shared" si="432"/>
        <v>0</v>
      </c>
      <c r="H7253" s="362"/>
      <c r="I7253" s="362"/>
      <c r="J7253" s="362"/>
    </row>
    <row r="7254" spans="1:10" x14ac:dyDescent="0.25">
      <c r="A7254" s="362"/>
      <c r="B7254" s="611">
        <v>44578</v>
      </c>
      <c r="C7254" s="362" t="s">
        <v>166</v>
      </c>
      <c r="D7254" s="562">
        <v>114375988</v>
      </c>
      <c r="E7254" s="562"/>
      <c r="F7254" s="562">
        <v>114376000</v>
      </c>
      <c r="G7254" s="562">
        <f t="shared" si="432"/>
        <v>-12</v>
      </c>
      <c r="H7254" s="362"/>
      <c r="I7254" s="362"/>
      <c r="J7254" s="362"/>
    </row>
    <row r="7255" spans="1:10" x14ac:dyDescent="0.25">
      <c r="A7255" s="362"/>
      <c r="B7255" s="611">
        <v>44578</v>
      </c>
      <c r="C7255" s="362" t="s">
        <v>3435</v>
      </c>
      <c r="D7255" s="562">
        <v>11294686</v>
      </c>
      <c r="E7255" s="562"/>
      <c r="F7255" s="562">
        <v>11294700</v>
      </c>
      <c r="G7255" s="562">
        <f t="shared" si="432"/>
        <v>-14</v>
      </c>
      <c r="H7255" s="362"/>
      <c r="I7255" s="362"/>
      <c r="J7255" s="362"/>
    </row>
    <row r="7256" spans="1:10" x14ac:dyDescent="0.25">
      <c r="A7256" s="362"/>
      <c r="B7256" s="611">
        <v>44578</v>
      </c>
      <c r="C7256" s="370" t="s">
        <v>85</v>
      </c>
      <c r="D7256" s="562">
        <v>48646900</v>
      </c>
      <c r="E7256" s="562"/>
      <c r="F7256" s="562">
        <v>48646900</v>
      </c>
      <c r="G7256" s="562">
        <f t="shared" si="432"/>
        <v>0</v>
      </c>
      <c r="H7256" s="362"/>
      <c r="I7256" s="362"/>
      <c r="J7256" s="362"/>
    </row>
    <row r="7257" spans="1:10" x14ac:dyDescent="0.25">
      <c r="A7257" s="532"/>
      <c r="B7257" s="532"/>
      <c r="C7257" s="532"/>
      <c r="D7257" s="564">
        <f>SUM(D7242:D7256)</f>
        <v>2088874404</v>
      </c>
      <c r="E7257" s="564">
        <f t="shared" ref="E7257:G7257" si="433">SUM(E7242:E7256)</f>
        <v>301930082</v>
      </c>
      <c r="F7257" s="564">
        <f t="shared" si="433"/>
        <v>2390789700</v>
      </c>
      <c r="G7257" s="564">
        <f t="shared" si="433"/>
        <v>14786</v>
      </c>
      <c r="H7257" s="532"/>
      <c r="I7257" s="532"/>
      <c r="J7257" s="532"/>
    </row>
    <row r="7258" spans="1:10" x14ac:dyDescent="0.25">
      <c r="A7258" s="362"/>
      <c r="B7258" s="611">
        <v>44579</v>
      </c>
      <c r="C7258" s="362" t="s">
        <v>86</v>
      </c>
      <c r="D7258" s="562">
        <v>58483243</v>
      </c>
      <c r="E7258" s="562">
        <v>52328090</v>
      </c>
      <c r="F7258" s="562">
        <v>110811400</v>
      </c>
      <c r="G7258" s="562">
        <f t="shared" si="432"/>
        <v>-67</v>
      </c>
      <c r="H7258" s="362"/>
      <c r="I7258" s="362"/>
      <c r="J7258" s="362"/>
    </row>
    <row r="7259" spans="1:10" x14ac:dyDescent="0.25">
      <c r="A7259" s="362"/>
      <c r="B7259" s="611">
        <v>44579</v>
      </c>
      <c r="C7259" s="362" t="s">
        <v>87</v>
      </c>
      <c r="D7259" s="562">
        <v>162156601</v>
      </c>
      <c r="E7259" s="562">
        <v>79220982</v>
      </c>
      <c r="F7259" s="562">
        <v>241377800</v>
      </c>
      <c r="G7259" s="562">
        <f t="shared" si="432"/>
        <v>-217</v>
      </c>
      <c r="H7259" s="362"/>
      <c r="I7259" s="362"/>
      <c r="J7259" s="362"/>
    </row>
    <row r="7260" spans="1:10" x14ac:dyDescent="0.25">
      <c r="A7260" s="362"/>
      <c r="B7260" s="611">
        <v>44579</v>
      </c>
      <c r="C7260" s="362" t="s">
        <v>88</v>
      </c>
      <c r="D7260" s="562">
        <v>132032894</v>
      </c>
      <c r="E7260" s="562">
        <v>20130278</v>
      </c>
      <c r="F7260" s="562">
        <v>152163200</v>
      </c>
      <c r="G7260" s="562">
        <f t="shared" si="432"/>
        <v>-28</v>
      </c>
      <c r="H7260" s="362"/>
      <c r="I7260" s="362"/>
      <c r="J7260" s="362"/>
    </row>
    <row r="7261" spans="1:10" x14ac:dyDescent="0.25">
      <c r="A7261" s="362"/>
      <c r="B7261" s="611">
        <v>44579</v>
      </c>
      <c r="C7261" s="362" t="s">
        <v>82</v>
      </c>
      <c r="D7261" s="562">
        <v>53788739</v>
      </c>
      <c r="E7261" s="562">
        <v>13297893</v>
      </c>
      <c r="F7261" s="562">
        <v>67086700</v>
      </c>
      <c r="G7261" s="562">
        <f t="shared" si="432"/>
        <v>-68</v>
      </c>
      <c r="H7261" s="362"/>
      <c r="I7261" s="362"/>
      <c r="J7261" s="362"/>
    </row>
    <row r="7262" spans="1:10" x14ac:dyDescent="0.25">
      <c r="A7262" s="362"/>
      <c r="B7262" s="611">
        <v>44579</v>
      </c>
      <c r="C7262" s="362" t="s">
        <v>80</v>
      </c>
      <c r="D7262" s="562">
        <v>301518908</v>
      </c>
      <c r="E7262" s="562">
        <v>115139343</v>
      </c>
      <c r="F7262" s="562">
        <v>416662400</v>
      </c>
      <c r="G7262" s="562">
        <f t="shared" si="432"/>
        <v>-4149</v>
      </c>
      <c r="H7262" s="362"/>
      <c r="I7262" s="362"/>
      <c r="J7262" s="362"/>
    </row>
    <row r="7263" spans="1:10" x14ac:dyDescent="0.25">
      <c r="A7263" s="362"/>
      <c r="B7263" s="611">
        <v>44579</v>
      </c>
      <c r="C7263" s="362" t="s">
        <v>83</v>
      </c>
      <c r="D7263" s="562">
        <v>174697080</v>
      </c>
      <c r="E7263" s="562">
        <v>16144082</v>
      </c>
      <c r="F7263" s="562">
        <v>190841200</v>
      </c>
      <c r="G7263" s="562">
        <f t="shared" si="432"/>
        <v>-38</v>
      </c>
      <c r="H7263" s="362"/>
      <c r="I7263" s="362"/>
      <c r="J7263" s="362"/>
    </row>
    <row r="7264" spans="1:10" x14ac:dyDescent="0.25">
      <c r="A7264" s="362"/>
      <c r="B7264" s="611">
        <v>44579</v>
      </c>
      <c r="C7264" s="362" t="s">
        <v>78</v>
      </c>
      <c r="D7264" s="562">
        <v>143441717</v>
      </c>
      <c r="E7264" s="562">
        <v>2822183</v>
      </c>
      <c r="F7264" s="562">
        <v>146255900</v>
      </c>
      <c r="G7264" s="562">
        <f t="shared" si="432"/>
        <v>8000</v>
      </c>
      <c r="H7264" s="362"/>
      <c r="I7264" s="362"/>
      <c r="J7264" s="362"/>
    </row>
    <row r="7265" spans="1:10" x14ac:dyDescent="0.25">
      <c r="A7265" s="362"/>
      <c r="B7265" s="611">
        <v>44579</v>
      </c>
      <c r="C7265" s="362" t="s">
        <v>141</v>
      </c>
      <c r="D7265" s="562">
        <v>87964692</v>
      </c>
      <c r="E7265" s="562"/>
      <c r="F7265" s="562">
        <v>87964700</v>
      </c>
      <c r="G7265" s="562">
        <f t="shared" si="432"/>
        <v>-8</v>
      </c>
      <c r="H7265" s="362"/>
      <c r="I7265" s="362"/>
      <c r="J7265" s="362"/>
    </row>
    <row r="7266" spans="1:10" x14ac:dyDescent="0.25">
      <c r="A7266" s="362"/>
      <c r="B7266" s="611">
        <v>44579</v>
      </c>
      <c r="C7266" s="362" t="s">
        <v>89</v>
      </c>
      <c r="D7266" s="562">
        <v>128680367</v>
      </c>
      <c r="E7266" s="562">
        <v>55762633</v>
      </c>
      <c r="F7266" s="562">
        <v>184443000</v>
      </c>
      <c r="G7266" s="562">
        <f t="shared" si="432"/>
        <v>0</v>
      </c>
      <c r="H7266" s="362"/>
      <c r="I7266" s="362"/>
      <c r="J7266" s="362"/>
    </row>
    <row r="7267" spans="1:10" x14ac:dyDescent="0.25">
      <c r="A7267" s="362"/>
      <c r="B7267" s="611">
        <v>44579</v>
      </c>
      <c r="C7267" s="362" t="s">
        <v>81</v>
      </c>
      <c r="D7267" s="562">
        <v>73046676</v>
      </c>
      <c r="E7267" s="562">
        <v>8181823</v>
      </c>
      <c r="F7267" s="562">
        <v>81228500</v>
      </c>
      <c r="G7267" s="562">
        <f t="shared" si="432"/>
        <v>-1</v>
      </c>
      <c r="H7267" s="362"/>
      <c r="I7267" s="362"/>
      <c r="J7267" s="362"/>
    </row>
    <row r="7268" spans="1:10" x14ac:dyDescent="0.25">
      <c r="A7268" s="362"/>
      <c r="B7268" s="611">
        <v>44579</v>
      </c>
      <c r="C7268" s="362" t="s">
        <v>84</v>
      </c>
      <c r="D7268" s="562">
        <v>432519917</v>
      </c>
      <c r="E7268" s="562">
        <v>26411875</v>
      </c>
      <c r="F7268" s="562">
        <v>458931800</v>
      </c>
      <c r="G7268" s="562">
        <f t="shared" si="432"/>
        <v>-8</v>
      </c>
      <c r="H7268" s="362"/>
      <c r="I7268" s="362"/>
      <c r="J7268" s="362"/>
    </row>
    <row r="7269" spans="1:10" x14ac:dyDescent="0.25">
      <c r="A7269" s="362"/>
      <c r="B7269" s="611">
        <v>44579</v>
      </c>
      <c r="C7269" s="362" t="s">
        <v>4751</v>
      </c>
      <c r="D7269" s="562">
        <v>348265152</v>
      </c>
      <c r="E7269" s="562">
        <v>18734548</v>
      </c>
      <c r="F7269" s="562">
        <v>366999700</v>
      </c>
      <c r="G7269" s="562">
        <f t="shared" si="432"/>
        <v>0</v>
      </c>
      <c r="H7269" s="362"/>
      <c r="I7269" s="362"/>
      <c r="J7269" s="362"/>
    </row>
    <row r="7270" spans="1:10" x14ac:dyDescent="0.25">
      <c r="A7270" s="362"/>
      <c r="B7270" s="611">
        <v>44579</v>
      </c>
      <c r="C7270" s="362" t="s">
        <v>166</v>
      </c>
      <c r="D7270" s="562">
        <v>128033764</v>
      </c>
      <c r="E7270" s="562"/>
      <c r="F7270" s="562">
        <v>128033800</v>
      </c>
      <c r="G7270" s="562">
        <f t="shared" si="432"/>
        <v>-36</v>
      </c>
      <c r="H7270" s="362"/>
      <c r="I7270" s="362"/>
      <c r="J7270" s="362"/>
    </row>
    <row r="7271" spans="1:10" x14ac:dyDescent="0.25">
      <c r="A7271" s="362"/>
      <c r="B7271" s="611">
        <v>44579</v>
      </c>
      <c r="C7271" s="362" t="s">
        <v>3435</v>
      </c>
      <c r="D7271" s="562">
        <v>133285563</v>
      </c>
      <c r="E7271" s="562"/>
      <c r="F7271" s="562">
        <v>133285600</v>
      </c>
      <c r="G7271" s="562">
        <f t="shared" si="432"/>
        <v>-37</v>
      </c>
      <c r="H7271" s="362"/>
      <c r="I7271" s="362"/>
      <c r="J7271" s="362"/>
    </row>
    <row r="7272" spans="1:10" x14ac:dyDescent="0.25">
      <c r="A7272" s="370"/>
      <c r="B7272" s="852">
        <v>44579</v>
      </c>
      <c r="C7272" s="370" t="s">
        <v>85</v>
      </c>
      <c r="D7272" s="565">
        <v>39238200</v>
      </c>
      <c r="E7272" s="565"/>
      <c r="F7272" s="565">
        <v>39238200</v>
      </c>
      <c r="G7272" s="562">
        <f t="shared" si="432"/>
        <v>0</v>
      </c>
      <c r="H7272" s="370"/>
      <c r="I7272" s="370"/>
      <c r="J7272" s="370"/>
    </row>
    <row r="7273" spans="1:10" x14ac:dyDescent="0.25">
      <c r="A7273" s="532"/>
      <c r="B7273" s="532"/>
      <c r="C7273" s="532"/>
      <c r="D7273" s="632">
        <f>SUM(D7258:D7272)</f>
        <v>2397153513</v>
      </c>
      <c r="E7273" s="632">
        <f t="shared" ref="E7273:G7273" si="434">SUM(E7258:E7272)</f>
        <v>408173730</v>
      </c>
      <c r="F7273" s="632">
        <f t="shared" si="434"/>
        <v>2805323900</v>
      </c>
      <c r="G7273" s="632">
        <f t="shared" si="434"/>
        <v>3343</v>
      </c>
      <c r="H7273" s="532"/>
      <c r="I7273" s="532"/>
      <c r="J7273" s="532"/>
    </row>
    <row r="7274" spans="1:10" x14ac:dyDescent="0.25">
      <c r="A7274" s="362"/>
      <c r="B7274" s="611">
        <v>44580</v>
      </c>
      <c r="C7274" s="362" t="s">
        <v>86</v>
      </c>
      <c r="D7274" s="562">
        <v>168430382</v>
      </c>
      <c r="E7274" s="562">
        <v>18032101</v>
      </c>
      <c r="F7274" s="562">
        <v>186462500</v>
      </c>
      <c r="G7274" s="562">
        <f t="shared" si="432"/>
        <v>-17</v>
      </c>
      <c r="H7274" s="362"/>
      <c r="I7274" s="362"/>
      <c r="J7274" s="362"/>
    </row>
    <row r="7275" spans="1:10" x14ac:dyDescent="0.25">
      <c r="A7275" s="362"/>
      <c r="B7275" s="611">
        <v>44580</v>
      </c>
      <c r="C7275" s="362" t="s">
        <v>87</v>
      </c>
      <c r="D7275" s="562">
        <v>66847128</v>
      </c>
      <c r="E7275" s="562">
        <v>123120653</v>
      </c>
      <c r="F7275" s="562">
        <v>189968800</v>
      </c>
      <c r="G7275" s="562">
        <f t="shared" si="432"/>
        <v>-1019</v>
      </c>
      <c r="H7275" s="362"/>
      <c r="I7275" s="362"/>
      <c r="J7275" s="362"/>
    </row>
    <row r="7276" spans="1:10" x14ac:dyDescent="0.25">
      <c r="A7276" s="362"/>
      <c r="B7276" s="611">
        <v>44580</v>
      </c>
      <c r="C7276" s="362" t="s">
        <v>88</v>
      </c>
      <c r="D7276" s="562">
        <v>130991942</v>
      </c>
      <c r="E7276" s="562">
        <v>7408915</v>
      </c>
      <c r="F7276" s="562">
        <v>138400900</v>
      </c>
      <c r="G7276" s="562">
        <f t="shared" si="432"/>
        <v>-43</v>
      </c>
      <c r="H7276" s="362"/>
      <c r="I7276" s="362"/>
      <c r="J7276" s="362"/>
    </row>
    <row r="7277" spans="1:10" x14ac:dyDescent="0.25">
      <c r="A7277" s="362"/>
      <c r="B7277" s="611">
        <v>44580</v>
      </c>
      <c r="C7277" s="362" t="s">
        <v>82</v>
      </c>
      <c r="D7277" s="562">
        <v>108405189</v>
      </c>
      <c r="E7277" s="562">
        <v>2903294</v>
      </c>
      <c r="F7277" s="562">
        <v>111308500</v>
      </c>
      <c r="G7277" s="562">
        <f t="shared" si="432"/>
        <v>-17</v>
      </c>
      <c r="H7277" s="362"/>
      <c r="I7277" s="362"/>
      <c r="J7277" s="362"/>
    </row>
    <row r="7278" spans="1:10" x14ac:dyDescent="0.25">
      <c r="A7278" s="362"/>
      <c r="B7278" s="611">
        <v>44580</v>
      </c>
      <c r="C7278" s="362" t="s">
        <v>80</v>
      </c>
      <c r="D7278" s="562">
        <v>372296234</v>
      </c>
      <c r="E7278" s="562"/>
      <c r="F7278" s="562">
        <v>372296100</v>
      </c>
      <c r="G7278" s="562">
        <f t="shared" si="432"/>
        <v>134</v>
      </c>
      <c r="H7278" s="362"/>
      <c r="I7278" s="362"/>
      <c r="J7278" s="362"/>
    </row>
    <row r="7279" spans="1:10" x14ac:dyDescent="0.25">
      <c r="A7279" s="362"/>
      <c r="B7279" s="611">
        <v>44580</v>
      </c>
      <c r="C7279" s="362" t="s">
        <v>83</v>
      </c>
      <c r="D7279" s="562">
        <v>166429573</v>
      </c>
      <c r="E7279" s="562">
        <v>15071041</v>
      </c>
      <c r="F7279" s="562">
        <v>181500600</v>
      </c>
      <c r="G7279" s="562">
        <f t="shared" si="432"/>
        <v>14</v>
      </c>
      <c r="H7279" s="362"/>
      <c r="I7279" s="362"/>
      <c r="J7279" s="362"/>
    </row>
    <row r="7280" spans="1:10" x14ac:dyDescent="0.25">
      <c r="A7280" s="362"/>
      <c r="B7280" s="611">
        <v>44580</v>
      </c>
      <c r="C7280" s="362" t="s">
        <v>78</v>
      </c>
      <c r="D7280" s="562">
        <v>124107702</v>
      </c>
      <c r="E7280" s="562">
        <v>12070098</v>
      </c>
      <c r="F7280" s="562">
        <v>136177800</v>
      </c>
      <c r="G7280" s="562">
        <f t="shared" si="432"/>
        <v>0</v>
      </c>
      <c r="H7280" s="362"/>
      <c r="I7280" s="362"/>
      <c r="J7280" s="362"/>
    </row>
    <row r="7281" spans="1:10" x14ac:dyDescent="0.25">
      <c r="A7281" s="362"/>
      <c r="B7281" s="611">
        <v>44580</v>
      </c>
      <c r="C7281" s="362" t="s">
        <v>141</v>
      </c>
      <c r="D7281" s="562">
        <v>189957914</v>
      </c>
      <c r="E7281" s="562"/>
      <c r="F7281" s="562">
        <v>189958000</v>
      </c>
      <c r="G7281" s="562">
        <f t="shared" si="432"/>
        <v>-86</v>
      </c>
      <c r="H7281" s="362"/>
      <c r="I7281" s="362"/>
      <c r="J7281" s="362"/>
    </row>
    <row r="7282" spans="1:10" x14ac:dyDescent="0.25">
      <c r="A7282" s="362"/>
      <c r="B7282" s="611">
        <v>44580</v>
      </c>
      <c r="C7282" s="362" t="s">
        <v>89</v>
      </c>
      <c r="D7282" s="562">
        <v>171177445</v>
      </c>
      <c r="E7282" s="562">
        <v>43926455</v>
      </c>
      <c r="F7282" s="562">
        <v>215103900</v>
      </c>
      <c r="G7282" s="562">
        <f t="shared" si="432"/>
        <v>0</v>
      </c>
      <c r="H7282" s="362"/>
      <c r="I7282" s="362"/>
      <c r="J7282" s="362"/>
    </row>
    <row r="7283" spans="1:10" x14ac:dyDescent="0.25">
      <c r="A7283" s="362"/>
      <c r="B7283" s="611">
        <v>44580</v>
      </c>
      <c r="C7283" s="362" t="s">
        <v>81</v>
      </c>
      <c r="D7283" s="562">
        <v>88593623</v>
      </c>
      <c r="E7283" s="562">
        <v>26051583</v>
      </c>
      <c r="F7283" s="562">
        <v>114645200</v>
      </c>
      <c r="G7283" s="562">
        <f t="shared" si="432"/>
        <v>6</v>
      </c>
      <c r="H7283" s="362"/>
      <c r="I7283" s="362"/>
      <c r="J7283" s="362"/>
    </row>
    <row r="7284" spans="1:10" x14ac:dyDescent="0.25">
      <c r="A7284" s="362"/>
      <c r="B7284" s="611">
        <v>44580</v>
      </c>
      <c r="C7284" s="362" t="s">
        <v>84</v>
      </c>
      <c r="D7284" s="562">
        <v>234743524</v>
      </c>
      <c r="E7284" s="562">
        <v>20812817</v>
      </c>
      <c r="F7284" s="562">
        <v>255556300</v>
      </c>
      <c r="G7284" s="562">
        <f t="shared" si="432"/>
        <v>41</v>
      </c>
      <c r="H7284" s="362"/>
      <c r="I7284" s="362"/>
      <c r="J7284" s="362"/>
    </row>
    <row r="7285" spans="1:10" x14ac:dyDescent="0.25">
      <c r="A7285" s="362"/>
      <c r="B7285" s="611">
        <v>44580</v>
      </c>
      <c r="C7285" s="362" t="s">
        <v>4751</v>
      </c>
      <c r="D7285" s="562">
        <v>166117852</v>
      </c>
      <c r="E7285" s="562">
        <v>5467148</v>
      </c>
      <c r="F7285" s="562">
        <v>171585000</v>
      </c>
      <c r="G7285" s="562">
        <f t="shared" si="432"/>
        <v>0</v>
      </c>
      <c r="H7285" s="362"/>
      <c r="I7285" s="362"/>
      <c r="J7285" s="362"/>
    </row>
    <row r="7286" spans="1:10" x14ac:dyDescent="0.25">
      <c r="A7286" s="362"/>
      <c r="B7286" s="611">
        <v>44580</v>
      </c>
      <c r="C7286" s="362" t="s">
        <v>166</v>
      </c>
      <c r="D7286" s="562">
        <v>87441806</v>
      </c>
      <c r="E7286" s="562"/>
      <c r="F7286" s="562">
        <v>87442000</v>
      </c>
      <c r="G7286" s="562">
        <f t="shared" si="432"/>
        <v>-194</v>
      </c>
      <c r="H7286" s="362"/>
      <c r="I7286" s="362"/>
      <c r="J7286" s="362"/>
    </row>
    <row r="7287" spans="1:10" x14ac:dyDescent="0.25">
      <c r="A7287" s="362"/>
      <c r="B7287" s="611">
        <v>44580</v>
      </c>
      <c r="C7287" s="362" t="s">
        <v>3435</v>
      </c>
      <c r="D7287" s="562">
        <v>55619492</v>
      </c>
      <c r="E7287" s="562"/>
      <c r="F7287" s="562">
        <v>55619500</v>
      </c>
      <c r="G7287" s="562">
        <f t="shared" si="432"/>
        <v>-8</v>
      </c>
      <c r="H7287" s="362"/>
      <c r="I7287" s="362"/>
      <c r="J7287" s="362"/>
    </row>
    <row r="7288" spans="1:10" x14ac:dyDescent="0.25">
      <c r="A7288" s="362"/>
      <c r="B7288" s="611">
        <v>44580</v>
      </c>
      <c r="C7288" s="370" t="s">
        <v>85</v>
      </c>
      <c r="D7288" s="562">
        <v>48744700</v>
      </c>
      <c r="E7288" s="562"/>
      <c r="F7288" s="562">
        <v>48744700</v>
      </c>
      <c r="G7288" s="562">
        <f t="shared" si="432"/>
        <v>0</v>
      </c>
      <c r="H7288" s="362"/>
      <c r="I7288" s="362"/>
      <c r="J7288" s="362"/>
    </row>
    <row r="7289" spans="1:10" x14ac:dyDescent="0.25">
      <c r="A7289" s="532"/>
      <c r="B7289" s="532"/>
      <c r="C7289" s="532"/>
      <c r="D7289" s="564">
        <f>SUM(D7274:D7288)</f>
        <v>2179904506</v>
      </c>
      <c r="E7289" s="564">
        <f t="shared" ref="E7289:G7289" si="435">SUM(E7274:E7288)</f>
        <v>274864105</v>
      </c>
      <c r="F7289" s="564">
        <f t="shared" si="435"/>
        <v>2454769800</v>
      </c>
      <c r="G7289" s="564">
        <f t="shared" si="435"/>
        <v>-1189</v>
      </c>
      <c r="H7289" s="532"/>
      <c r="I7289" s="532"/>
      <c r="J7289" s="532"/>
    </row>
    <row r="7290" spans="1:10" x14ac:dyDescent="0.25">
      <c r="A7290" s="362"/>
      <c r="B7290" s="611">
        <v>44581</v>
      </c>
      <c r="C7290" s="362" t="s">
        <v>86</v>
      </c>
      <c r="D7290" s="562">
        <v>185636878</v>
      </c>
      <c r="E7290" s="562">
        <v>52233502</v>
      </c>
      <c r="F7290" s="562">
        <v>237870400</v>
      </c>
      <c r="G7290" s="562">
        <f t="shared" si="432"/>
        <v>-20</v>
      </c>
      <c r="H7290" s="362"/>
      <c r="I7290" s="362"/>
      <c r="J7290" s="362"/>
    </row>
    <row r="7291" spans="1:10" x14ac:dyDescent="0.25">
      <c r="A7291" s="362"/>
      <c r="B7291" s="611">
        <v>44581</v>
      </c>
      <c r="C7291" s="362" t="s">
        <v>87</v>
      </c>
      <c r="D7291" s="562">
        <v>88832147</v>
      </c>
      <c r="E7291" s="562">
        <v>114396111</v>
      </c>
      <c r="F7291" s="562">
        <v>203228200</v>
      </c>
      <c r="G7291" s="562">
        <f t="shared" si="432"/>
        <v>58</v>
      </c>
      <c r="H7291" s="362"/>
      <c r="I7291" s="362"/>
      <c r="J7291" s="362"/>
    </row>
    <row r="7292" spans="1:10" x14ac:dyDescent="0.25">
      <c r="A7292" s="362"/>
      <c r="B7292" s="611">
        <v>44581</v>
      </c>
      <c r="C7292" s="362" t="s">
        <v>88</v>
      </c>
      <c r="D7292" s="562">
        <v>173404670</v>
      </c>
      <c r="E7292" s="562">
        <v>8911911</v>
      </c>
      <c r="F7292" s="562">
        <v>182316600</v>
      </c>
      <c r="G7292" s="562">
        <f t="shared" si="432"/>
        <v>-19</v>
      </c>
      <c r="H7292" s="362"/>
      <c r="I7292" s="362"/>
      <c r="J7292" s="362"/>
    </row>
    <row r="7293" spans="1:10" x14ac:dyDescent="0.25">
      <c r="A7293" s="362"/>
      <c r="B7293" s="611">
        <v>44581</v>
      </c>
      <c r="C7293" s="362" t="s">
        <v>82</v>
      </c>
      <c r="D7293" s="562">
        <v>200494727</v>
      </c>
      <c r="E7293" s="562">
        <v>3231850</v>
      </c>
      <c r="F7293" s="562">
        <v>203726600</v>
      </c>
      <c r="G7293" s="562">
        <f t="shared" si="432"/>
        <v>-23</v>
      </c>
      <c r="H7293" s="362"/>
      <c r="I7293" s="362"/>
      <c r="J7293" s="362"/>
    </row>
    <row r="7294" spans="1:10" x14ac:dyDescent="0.25">
      <c r="A7294" s="362"/>
      <c r="B7294" s="611">
        <v>44581</v>
      </c>
      <c r="C7294" s="362" t="s">
        <v>80</v>
      </c>
      <c r="D7294" s="562">
        <v>297194357</v>
      </c>
      <c r="E7294" s="562"/>
      <c r="F7294" s="562">
        <v>297195600</v>
      </c>
      <c r="G7294" s="562">
        <f t="shared" si="432"/>
        <v>-1243</v>
      </c>
      <c r="H7294" s="362"/>
      <c r="I7294" s="362"/>
      <c r="J7294" s="362"/>
    </row>
    <row r="7295" spans="1:10" x14ac:dyDescent="0.25">
      <c r="A7295" s="362"/>
      <c r="B7295" s="611">
        <v>44581</v>
      </c>
      <c r="C7295" s="362" t="s">
        <v>83</v>
      </c>
      <c r="D7295" s="562">
        <v>173373226</v>
      </c>
      <c r="E7295" s="562">
        <v>71662689</v>
      </c>
      <c r="F7295" s="562">
        <v>245036000</v>
      </c>
      <c r="G7295" s="562">
        <f t="shared" si="432"/>
        <v>-85</v>
      </c>
      <c r="H7295" s="362"/>
      <c r="I7295" s="362"/>
      <c r="J7295" s="362"/>
    </row>
    <row r="7296" spans="1:10" x14ac:dyDescent="0.25">
      <c r="A7296" s="362"/>
      <c r="B7296" s="611">
        <v>44581</v>
      </c>
      <c r="C7296" s="362" t="s">
        <v>78</v>
      </c>
      <c r="D7296" s="562">
        <v>124814457</v>
      </c>
      <c r="E7296" s="562">
        <v>10377443</v>
      </c>
      <c r="F7296" s="562">
        <v>135191900</v>
      </c>
      <c r="G7296" s="562">
        <f t="shared" si="432"/>
        <v>0</v>
      </c>
      <c r="H7296" s="362"/>
      <c r="I7296" s="362"/>
      <c r="J7296" s="362"/>
    </row>
    <row r="7297" spans="1:10" x14ac:dyDescent="0.25">
      <c r="A7297" s="362"/>
      <c r="B7297" s="611">
        <v>44581</v>
      </c>
      <c r="C7297" s="362" t="s">
        <v>141</v>
      </c>
      <c r="D7297" s="562">
        <v>79742408</v>
      </c>
      <c r="E7297" s="562">
        <v>484992</v>
      </c>
      <c r="F7297" s="562">
        <v>80227400</v>
      </c>
      <c r="G7297" s="562">
        <f t="shared" si="432"/>
        <v>0</v>
      </c>
      <c r="H7297" s="362"/>
      <c r="I7297" s="362"/>
      <c r="J7297" s="362"/>
    </row>
    <row r="7298" spans="1:10" x14ac:dyDescent="0.25">
      <c r="A7298" s="362"/>
      <c r="B7298" s="611">
        <v>44581</v>
      </c>
      <c r="C7298" s="362" t="s">
        <v>89</v>
      </c>
      <c r="D7298" s="562">
        <v>132985116</v>
      </c>
      <c r="E7298" s="562">
        <v>56917184</v>
      </c>
      <c r="F7298" s="562">
        <v>189902300</v>
      </c>
      <c r="G7298" s="562">
        <f t="shared" si="432"/>
        <v>0</v>
      </c>
      <c r="H7298" s="362"/>
      <c r="I7298" s="362"/>
      <c r="J7298" s="362"/>
    </row>
    <row r="7299" spans="1:10" x14ac:dyDescent="0.25">
      <c r="A7299" s="362"/>
      <c r="B7299" s="611">
        <v>44581</v>
      </c>
      <c r="C7299" s="362" t="s">
        <v>81</v>
      </c>
      <c r="D7299" s="562">
        <v>210143252</v>
      </c>
      <c r="E7299" s="562">
        <v>23020306</v>
      </c>
      <c r="F7299" s="562">
        <v>233163600</v>
      </c>
      <c r="G7299" s="562">
        <f t="shared" si="432"/>
        <v>-42</v>
      </c>
      <c r="H7299" s="362"/>
      <c r="I7299" s="362"/>
      <c r="J7299" s="362"/>
    </row>
    <row r="7300" spans="1:10" x14ac:dyDescent="0.25">
      <c r="A7300" s="362"/>
      <c r="B7300" s="611">
        <v>44581</v>
      </c>
      <c r="C7300" s="362" t="s">
        <v>84</v>
      </c>
      <c r="D7300" s="562">
        <v>248152242</v>
      </c>
      <c r="E7300" s="562">
        <v>36284562</v>
      </c>
      <c r="F7300" s="562">
        <v>284436900</v>
      </c>
      <c r="G7300" s="562">
        <f t="shared" si="432"/>
        <v>-96</v>
      </c>
      <c r="H7300" s="362"/>
      <c r="I7300" s="362"/>
      <c r="J7300" s="362"/>
    </row>
    <row r="7301" spans="1:10" x14ac:dyDescent="0.25">
      <c r="A7301" s="362"/>
      <c r="B7301" s="611">
        <v>44581</v>
      </c>
      <c r="C7301" s="362" t="s">
        <v>4751</v>
      </c>
      <c r="D7301" s="562">
        <v>268660405</v>
      </c>
      <c r="E7301" s="562">
        <v>27514695</v>
      </c>
      <c r="F7301" s="562">
        <v>296175100</v>
      </c>
      <c r="G7301" s="562">
        <f t="shared" si="432"/>
        <v>0</v>
      </c>
      <c r="H7301" s="362"/>
      <c r="I7301" s="362"/>
      <c r="J7301" s="362"/>
    </row>
    <row r="7302" spans="1:10" x14ac:dyDescent="0.25">
      <c r="A7302" s="362"/>
      <c r="B7302" s="611">
        <v>44581</v>
      </c>
      <c r="C7302" s="362" t="s">
        <v>166</v>
      </c>
      <c r="D7302" s="562">
        <v>93103501</v>
      </c>
      <c r="E7302" s="562"/>
      <c r="F7302" s="562">
        <v>93103500</v>
      </c>
      <c r="G7302" s="562">
        <f t="shared" si="432"/>
        <v>1</v>
      </c>
      <c r="H7302" s="362"/>
      <c r="I7302" s="362"/>
      <c r="J7302" s="362"/>
    </row>
    <row r="7303" spans="1:10" x14ac:dyDescent="0.25">
      <c r="A7303" s="362"/>
      <c r="B7303" s="611">
        <v>44581</v>
      </c>
      <c r="C7303" s="362" t="s">
        <v>3435</v>
      </c>
      <c r="D7303" s="562">
        <v>103341116</v>
      </c>
      <c r="E7303" s="562"/>
      <c r="F7303" s="562">
        <v>103341200</v>
      </c>
      <c r="G7303" s="562">
        <f t="shared" si="432"/>
        <v>-84</v>
      </c>
      <c r="H7303" s="362"/>
      <c r="I7303" s="362"/>
      <c r="J7303" s="362"/>
    </row>
    <row r="7304" spans="1:10" x14ac:dyDescent="0.25">
      <c r="A7304" s="362"/>
      <c r="B7304" s="611">
        <v>44581</v>
      </c>
      <c r="C7304" s="370" t="s">
        <v>85</v>
      </c>
      <c r="D7304" s="562">
        <v>36666800</v>
      </c>
      <c r="E7304" s="562"/>
      <c r="F7304" s="562">
        <v>36666800</v>
      </c>
      <c r="G7304" s="562">
        <f t="shared" si="432"/>
        <v>0</v>
      </c>
      <c r="H7304" s="362"/>
      <c r="I7304" s="362"/>
      <c r="J7304" s="362"/>
    </row>
    <row r="7305" spans="1:10" x14ac:dyDescent="0.25">
      <c r="A7305" s="532"/>
      <c r="B7305" s="532"/>
      <c r="C7305" s="532"/>
      <c r="D7305" s="564">
        <f>SUM(D7290:D7304)</f>
        <v>2416545302</v>
      </c>
      <c r="E7305" s="564">
        <f t="shared" ref="E7305:G7305" si="436">SUM(E7290:E7304)</f>
        <v>405035245</v>
      </c>
      <c r="F7305" s="564">
        <f t="shared" si="436"/>
        <v>2821582100</v>
      </c>
      <c r="G7305" s="564">
        <f t="shared" si="436"/>
        <v>-1553</v>
      </c>
      <c r="H7305" s="532"/>
      <c r="I7305" s="532"/>
      <c r="J7305" s="532"/>
    </row>
    <row r="7306" spans="1:10" x14ac:dyDescent="0.25">
      <c r="A7306" s="362"/>
      <c r="B7306" s="611">
        <v>44582</v>
      </c>
      <c r="C7306" s="362" t="s">
        <v>86</v>
      </c>
      <c r="D7306" s="562">
        <v>82294709</v>
      </c>
      <c r="E7306" s="562">
        <v>4459547</v>
      </c>
      <c r="F7306" s="562">
        <v>86754400</v>
      </c>
      <c r="G7306" s="562">
        <f t="shared" si="432"/>
        <v>-144</v>
      </c>
      <c r="H7306" s="362"/>
      <c r="I7306" s="362"/>
      <c r="J7306" s="362"/>
    </row>
    <row r="7307" spans="1:10" x14ac:dyDescent="0.25">
      <c r="A7307" s="362"/>
      <c r="B7307" s="611">
        <v>44582</v>
      </c>
      <c r="C7307" s="362" t="s">
        <v>87</v>
      </c>
      <c r="D7307" s="562">
        <v>81104338</v>
      </c>
      <c r="E7307" s="562">
        <v>100125814</v>
      </c>
      <c r="F7307" s="562">
        <v>181230200</v>
      </c>
      <c r="G7307" s="562">
        <f t="shared" si="432"/>
        <v>-48</v>
      </c>
      <c r="H7307" s="362"/>
      <c r="I7307" s="362"/>
      <c r="J7307" s="362"/>
    </row>
    <row r="7308" spans="1:10" x14ac:dyDescent="0.25">
      <c r="A7308" s="362"/>
      <c r="B7308" s="611">
        <v>44582</v>
      </c>
      <c r="C7308" s="362" t="s">
        <v>88</v>
      </c>
      <c r="D7308" s="562">
        <v>163189016</v>
      </c>
      <c r="E7308" s="562">
        <v>109470593</v>
      </c>
      <c r="F7308" s="562">
        <v>272659700</v>
      </c>
      <c r="G7308" s="562">
        <f t="shared" ref="G7308:G7371" si="437">D7308+E7308-F7308</f>
        <v>-91</v>
      </c>
      <c r="H7308" s="362"/>
      <c r="I7308" s="362"/>
      <c r="J7308" s="362"/>
    </row>
    <row r="7309" spans="1:10" x14ac:dyDescent="0.25">
      <c r="A7309" s="362"/>
      <c r="B7309" s="611">
        <v>44582</v>
      </c>
      <c r="C7309" s="362" t="s">
        <v>82</v>
      </c>
      <c r="D7309" s="562">
        <v>99047979</v>
      </c>
      <c r="E7309" s="562">
        <v>34572393</v>
      </c>
      <c r="F7309" s="562">
        <v>133427600</v>
      </c>
      <c r="G7309" s="562">
        <f t="shared" si="437"/>
        <v>192772</v>
      </c>
      <c r="H7309" s="362"/>
      <c r="I7309" s="362"/>
      <c r="J7309" s="362"/>
    </row>
    <row r="7310" spans="1:10" x14ac:dyDescent="0.25">
      <c r="A7310" s="362"/>
      <c r="B7310" s="611">
        <v>44582</v>
      </c>
      <c r="C7310" s="362" t="s">
        <v>80</v>
      </c>
      <c r="D7310" s="562">
        <v>268850076</v>
      </c>
      <c r="E7310" s="562">
        <v>5914224</v>
      </c>
      <c r="F7310" s="562">
        <v>274764300</v>
      </c>
      <c r="G7310" s="562">
        <f t="shared" si="437"/>
        <v>0</v>
      </c>
      <c r="H7310" s="362"/>
      <c r="I7310" s="362"/>
      <c r="J7310" s="362"/>
    </row>
    <row r="7311" spans="1:10" x14ac:dyDescent="0.25">
      <c r="A7311" s="362"/>
      <c r="B7311" s="611">
        <v>44582</v>
      </c>
      <c r="C7311" s="362" t="s">
        <v>83</v>
      </c>
      <c r="D7311" s="562">
        <v>205639755</v>
      </c>
      <c r="E7311" s="562">
        <v>8320245</v>
      </c>
      <c r="F7311" s="562">
        <v>213960000</v>
      </c>
      <c r="G7311" s="562">
        <f t="shared" si="437"/>
        <v>0</v>
      </c>
      <c r="H7311" s="362"/>
      <c r="I7311" s="362"/>
      <c r="J7311" s="362"/>
    </row>
    <row r="7312" spans="1:10" x14ac:dyDescent="0.25">
      <c r="A7312" s="362"/>
      <c r="B7312" s="611">
        <v>44582</v>
      </c>
      <c r="C7312" s="362" t="s">
        <v>78</v>
      </c>
      <c r="D7312" s="562">
        <v>213554973</v>
      </c>
      <c r="E7312" s="562">
        <v>7126927</v>
      </c>
      <c r="F7312" s="562">
        <v>220681900</v>
      </c>
      <c r="G7312" s="562">
        <f t="shared" si="437"/>
        <v>0</v>
      </c>
      <c r="H7312" s="362"/>
      <c r="I7312" s="362"/>
      <c r="J7312" s="362"/>
    </row>
    <row r="7313" spans="1:10" x14ac:dyDescent="0.25">
      <c r="A7313" s="362"/>
      <c r="B7313" s="611">
        <v>44582</v>
      </c>
      <c r="C7313" s="362" t="s">
        <v>141</v>
      </c>
      <c r="D7313" s="562">
        <v>93545724</v>
      </c>
      <c r="E7313" s="562"/>
      <c r="F7313" s="562">
        <v>93545800</v>
      </c>
      <c r="G7313" s="562">
        <f t="shared" si="437"/>
        <v>-76</v>
      </c>
      <c r="H7313" s="362"/>
      <c r="I7313" s="362"/>
      <c r="J7313" s="362"/>
    </row>
    <row r="7314" spans="1:10" x14ac:dyDescent="0.25">
      <c r="A7314" s="362"/>
      <c r="B7314" s="611">
        <v>44582</v>
      </c>
      <c r="C7314" s="362" t="s">
        <v>89</v>
      </c>
      <c r="D7314" s="562">
        <v>201240492</v>
      </c>
      <c r="E7314" s="562">
        <v>32127408</v>
      </c>
      <c r="F7314" s="562">
        <v>233367900</v>
      </c>
      <c r="G7314" s="562">
        <f t="shared" si="437"/>
        <v>0</v>
      </c>
      <c r="H7314" s="362"/>
      <c r="I7314" s="362"/>
      <c r="J7314" s="362"/>
    </row>
    <row r="7315" spans="1:10" x14ac:dyDescent="0.25">
      <c r="A7315" s="362"/>
      <c r="B7315" s="611">
        <v>44582</v>
      </c>
      <c r="C7315" s="362" t="s">
        <v>81</v>
      </c>
      <c r="D7315" s="562">
        <v>115772098</v>
      </c>
      <c r="E7315" s="562">
        <v>13696312</v>
      </c>
      <c r="F7315" s="562">
        <v>129468400</v>
      </c>
      <c r="G7315" s="562">
        <f t="shared" si="437"/>
        <v>10</v>
      </c>
      <c r="H7315" s="362"/>
      <c r="I7315" s="362"/>
      <c r="J7315" s="362"/>
    </row>
    <row r="7316" spans="1:10" x14ac:dyDescent="0.25">
      <c r="A7316" s="362"/>
      <c r="B7316" s="611">
        <v>44582</v>
      </c>
      <c r="C7316" s="362" t="s">
        <v>84</v>
      </c>
      <c r="D7316" s="562">
        <v>286085318</v>
      </c>
      <c r="E7316" s="562">
        <v>17956403</v>
      </c>
      <c r="F7316" s="562">
        <v>304041500</v>
      </c>
      <c r="G7316" s="562">
        <f t="shared" si="437"/>
        <v>221</v>
      </c>
      <c r="H7316" s="362"/>
      <c r="I7316" s="362"/>
      <c r="J7316" s="362"/>
    </row>
    <row r="7317" spans="1:10" x14ac:dyDescent="0.25">
      <c r="A7317" s="362"/>
      <c r="B7317" s="611">
        <v>44582</v>
      </c>
      <c r="C7317" s="362" t="s">
        <v>4751</v>
      </c>
      <c r="D7317" s="562">
        <v>171257243</v>
      </c>
      <c r="E7317" s="562">
        <v>9864557</v>
      </c>
      <c r="F7317" s="562">
        <v>181121800</v>
      </c>
      <c r="G7317" s="562">
        <f t="shared" si="437"/>
        <v>0</v>
      </c>
      <c r="H7317" s="362"/>
      <c r="I7317" s="362"/>
      <c r="J7317" s="362"/>
    </row>
    <row r="7318" spans="1:10" x14ac:dyDescent="0.25">
      <c r="A7318" s="362"/>
      <c r="B7318" s="611">
        <v>44582</v>
      </c>
      <c r="C7318" s="362" t="s">
        <v>166</v>
      </c>
      <c r="D7318" s="562">
        <v>50957791</v>
      </c>
      <c r="E7318" s="562"/>
      <c r="F7318" s="562">
        <v>50957900</v>
      </c>
      <c r="G7318" s="562">
        <f t="shared" si="437"/>
        <v>-109</v>
      </c>
      <c r="H7318" s="362"/>
      <c r="I7318" s="362"/>
      <c r="J7318" s="362"/>
    </row>
    <row r="7319" spans="1:10" x14ac:dyDescent="0.25">
      <c r="A7319" s="362"/>
      <c r="B7319" s="611">
        <v>44582</v>
      </c>
      <c r="C7319" s="362" t="s">
        <v>3435</v>
      </c>
      <c r="D7319" s="562">
        <v>80972128</v>
      </c>
      <c r="E7319" s="562"/>
      <c r="F7319" s="562">
        <v>80972200</v>
      </c>
      <c r="G7319" s="562">
        <f t="shared" si="437"/>
        <v>-72</v>
      </c>
      <c r="H7319" s="362"/>
      <c r="I7319" s="362"/>
      <c r="J7319" s="362"/>
    </row>
    <row r="7320" spans="1:10" x14ac:dyDescent="0.25">
      <c r="A7320" s="362"/>
      <c r="B7320" s="611">
        <v>44582</v>
      </c>
      <c r="C7320" s="370" t="s">
        <v>85</v>
      </c>
      <c r="D7320" s="562">
        <v>37343400</v>
      </c>
      <c r="E7320" s="562"/>
      <c r="F7320" s="562">
        <v>37343400</v>
      </c>
      <c r="G7320" s="562">
        <f t="shared" si="437"/>
        <v>0</v>
      </c>
      <c r="H7320" s="362"/>
      <c r="I7320" s="362"/>
      <c r="J7320" s="362"/>
    </row>
    <row r="7321" spans="1:10" x14ac:dyDescent="0.25">
      <c r="A7321" s="532"/>
      <c r="B7321" s="532"/>
      <c r="C7321" s="532"/>
      <c r="D7321" s="564">
        <f>SUM(D7306:D7320)</f>
        <v>2150855040</v>
      </c>
      <c r="E7321" s="564">
        <f t="shared" ref="E7321:G7321" si="438">SUM(E7306:E7320)</f>
        <v>343634423</v>
      </c>
      <c r="F7321" s="564">
        <f t="shared" si="438"/>
        <v>2494297000</v>
      </c>
      <c r="G7321" s="564">
        <f t="shared" si="438"/>
        <v>192463</v>
      </c>
      <c r="H7321" s="532"/>
      <c r="I7321" s="532"/>
      <c r="J7321" s="532"/>
    </row>
    <row r="7322" spans="1:10" x14ac:dyDescent="0.25">
      <c r="A7322" s="362"/>
      <c r="B7322" s="611">
        <v>44583</v>
      </c>
      <c r="C7322" s="362" t="s">
        <v>86</v>
      </c>
      <c r="D7322" s="562">
        <v>59887069</v>
      </c>
      <c r="E7322" s="562">
        <v>70347749</v>
      </c>
      <c r="F7322" s="562">
        <v>130234700</v>
      </c>
      <c r="G7322" s="562">
        <f t="shared" si="437"/>
        <v>118</v>
      </c>
      <c r="H7322" s="362"/>
      <c r="I7322" s="362"/>
      <c r="J7322" s="362"/>
    </row>
    <row r="7323" spans="1:10" x14ac:dyDescent="0.25">
      <c r="A7323" s="362"/>
      <c r="B7323" s="611">
        <v>44583</v>
      </c>
      <c r="C7323" s="362" t="s">
        <v>87</v>
      </c>
      <c r="D7323" s="562">
        <v>46020733</v>
      </c>
      <c r="E7323" s="562">
        <v>137134748</v>
      </c>
      <c r="F7323" s="562">
        <f>29025000+154055600</f>
        <v>183080600</v>
      </c>
      <c r="G7323" s="562">
        <f t="shared" si="437"/>
        <v>74881</v>
      </c>
      <c r="H7323" s="362"/>
      <c r="I7323" s="362"/>
      <c r="J7323" s="362"/>
    </row>
    <row r="7324" spans="1:10" x14ac:dyDescent="0.25">
      <c r="A7324" s="362"/>
      <c r="B7324" s="611">
        <v>44583</v>
      </c>
      <c r="C7324" s="362" t="s">
        <v>88</v>
      </c>
      <c r="D7324" s="562">
        <v>124430411</v>
      </c>
      <c r="E7324" s="562">
        <v>7477139</v>
      </c>
      <c r="F7324" s="562">
        <v>131907600</v>
      </c>
      <c r="G7324" s="562">
        <f t="shared" si="437"/>
        <v>-50</v>
      </c>
      <c r="H7324" s="362"/>
      <c r="I7324" s="362"/>
      <c r="J7324" s="362"/>
    </row>
    <row r="7325" spans="1:10" x14ac:dyDescent="0.25">
      <c r="A7325" s="362"/>
      <c r="B7325" s="611">
        <v>44583</v>
      </c>
      <c r="C7325" s="362" t="s">
        <v>82</v>
      </c>
      <c r="D7325" s="562">
        <v>139923953</v>
      </c>
      <c r="E7325" s="562">
        <v>38653210</v>
      </c>
      <c r="F7325" s="562">
        <v>178577200</v>
      </c>
      <c r="G7325" s="562">
        <f t="shared" si="437"/>
        <v>-37</v>
      </c>
      <c r="H7325" s="362"/>
      <c r="I7325" s="362"/>
      <c r="J7325" s="362"/>
    </row>
    <row r="7326" spans="1:10" x14ac:dyDescent="0.25">
      <c r="A7326" s="362"/>
      <c r="B7326" s="611">
        <v>44583</v>
      </c>
      <c r="C7326" s="362" t="s">
        <v>80</v>
      </c>
      <c r="D7326" s="562">
        <v>314802462</v>
      </c>
      <c r="E7326" s="562">
        <v>6123960</v>
      </c>
      <c r="F7326" s="562">
        <v>320924500</v>
      </c>
      <c r="G7326" s="562">
        <f t="shared" si="437"/>
        <v>1922</v>
      </c>
      <c r="H7326" s="362"/>
      <c r="I7326" s="362"/>
      <c r="J7326" s="362"/>
    </row>
    <row r="7327" spans="1:10" x14ac:dyDescent="0.25">
      <c r="A7327" s="362"/>
      <c r="B7327" s="611">
        <v>44583</v>
      </c>
      <c r="C7327" s="362" t="s">
        <v>83</v>
      </c>
      <c r="D7327" s="562">
        <v>171971159</v>
      </c>
      <c r="E7327" s="562">
        <v>125342241</v>
      </c>
      <c r="F7327" s="562">
        <v>297313400</v>
      </c>
      <c r="G7327" s="562">
        <f t="shared" si="437"/>
        <v>0</v>
      </c>
      <c r="H7327" s="362"/>
      <c r="I7327" s="362"/>
      <c r="J7327" s="362"/>
    </row>
    <row r="7328" spans="1:10" x14ac:dyDescent="0.25">
      <c r="A7328" s="362"/>
      <c r="B7328" s="611">
        <v>44583</v>
      </c>
      <c r="C7328" s="362" t="s">
        <v>78</v>
      </c>
      <c r="D7328" s="562">
        <v>162549693</v>
      </c>
      <c r="E7328" s="562">
        <v>10756507</v>
      </c>
      <c r="F7328" s="562">
        <v>173306200</v>
      </c>
      <c r="G7328" s="562">
        <f t="shared" si="437"/>
        <v>0</v>
      </c>
      <c r="H7328" s="362"/>
      <c r="I7328" s="362"/>
      <c r="J7328" s="362"/>
    </row>
    <row r="7329" spans="1:10" x14ac:dyDescent="0.25">
      <c r="A7329" s="362"/>
      <c r="B7329" s="611">
        <v>44583</v>
      </c>
      <c r="C7329" s="362" t="s">
        <v>141</v>
      </c>
      <c r="D7329" s="562">
        <v>65543413</v>
      </c>
      <c r="E7329" s="562"/>
      <c r="F7329" s="562">
        <v>65543500</v>
      </c>
      <c r="G7329" s="562">
        <f t="shared" si="437"/>
        <v>-87</v>
      </c>
      <c r="H7329" s="362"/>
      <c r="I7329" s="362"/>
      <c r="J7329" s="362"/>
    </row>
    <row r="7330" spans="1:10" x14ac:dyDescent="0.25">
      <c r="A7330" s="362"/>
      <c r="B7330" s="611">
        <v>44583</v>
      </c>
      <c r="C7330" s="362" t="s">
        <v>89</v>
      </c>
      <c r="D7330" s="562">
        <v>87552847</v>
      </c>
      <c r="E7330" s="562">
        <v>46626153</v>
      </c>
      <c r="F7330" s="562">
        <v>134178900</v>
      </c>
      <c r="G7330" s="562">
        <f t="shared" si="437"/>
        <v>100</v>
      </c>
      <c r="H7330" s="362"/>
      <c r="I7330" s="362"/>
      <c r="J7330" s="362"/>
    </row>
    <row r="7331" spans="1:10" x14ac:dyDescent="0.25">
      <c r="A7331" s="362"/>
      <c r="B7331" s="611">
        <v>44583</v>
      </c>
      <c r="C7331" s="362" t="s">
        <v>81</v>
      </c>
      <c r="D7331" s="562">
        <v>135088668</v>
      </c>
      <c r="E7331" s="562">
        <v>39801848</v>
      </c>
      <c r="F7331" s="562">
        <f>100925600+73965000</f>
        <v>174890600</v>
      </c>
      <c r="G7331" s="562">
        <f t="shared" si="437"/>
        <v>-84</v>
      </c>
      <c r="H7331" s="362"/>
      <c r="I7331" s="362"/>
      <c r="J7331" s="362"/>
    </row>
    <row r="7332" spans="1:10" x14ac:dyDescent="0.25">
      <c r="A7332" s="362"/>
      <c r="B7332" s="611">
        <v>44583</v>
      </c>
      <c r="C7332" s="362" t="s">
        <v>84</v>
      </c>
      <c r="D7332" s="562">
        <v>183567574</v>
      </c>
      <c r="E7332" s="562">
        <v>13912514</v>
      </c>
      <c r="F7332" s="562">
        <v>197480000</v>
      </c>
      <c r="G7332" s="562">
        <f t="shared" si="437"/>
        <v>88</v>
      </c>
      <c r="H7332" s="362"/>
      <c r="I7332" s="362"/>
      <c r="J7332" s="362"/>
    </row>
    <row r="7333" spans="1:10" x14ac:dyDescent="0.25">
      <c r="A7333" s="362"/>
      <c r="B7333" s="611">
        <v>44583</v>
      </c>
      <c r="C7333" s="362" t="s">
        <v>4751</v>
      </c>
      <c r="D7333" s="562">
        <v>267032620</v>
      </c>
      <c r="E7333" s="562">
        <v>19958680</v>
      </c>
      <c r="F7333" s="562">
        <v>286991300</v>
      </c>
      <c r="G7333" s="562">
        <f t="shared" si="437"/>
        <v>0</v>
      </c>
      <c r="H7333" s="362"/>
      <c r="I7333" s="362"/>
      <c r="J7333" s="362"/>
    </row>
    <row r="7334" spans="1:10" x14ac:dyDescent="0.25">
      <c r="A7334" s="362"/>
      <c r="B7334" s="611">
        <v>44583</v>
      </c>
      <c r="C7334" s="362" t="s">
        <v>166</v>
      </c>
      <c r="D7334" s="562"/>
      <c r="E7334" s="562"/>
      <c r="F7334" s="562"/>
      <c r="G7334" s="562">
        <f t="shared" si="437"/>
        <v>0</v>
      </c>
      <c r="H7334" s="362"/>
      <c r="I7334" s="362"/>
      <c r="J7334" s="362"/>
    </row>
    <row r="7335" spans="1:10" x14ac:dyDescent="0.25">
      <c r="A7335" s="362"/>
      <c r="B7335" s="611">
        <v>44583</v>
      </c>
      <c r="C7335" s="362" t="s">
        <v>3435</v>
      </c>
      <c r="D7335" s="562"/>
      <c r="E7335" s="562"/>
      <c r="F7335" s="562"/>
      <c r="G7335" s="562">
        <f t="shared" si="437"/>
        <v>0</v>
      </c>
      <c r="H7335" s="362"/>
      <c r="I7335" s="362"/>
      <c r="J7335" s="362"/>
    </row>
    <row r="7336" spans="1:10" x14ac:dyDescent="0.25">
      <c r="A7336" s="362"/>
      <c r="B7336" s="611">
        <v>44583</v>
      </c>
      <c r="C7336" s="370" t="s">
        <v>85</v>
      </c>
      <c r="D7336" s="562">
        <v>49321600</v>
      </c>
      <c r="E7336" s="562"/>
      <c r="F7336" s="562">
        <v>49321600</v>
      </c>
      <c r="G7336" s="562">
        <f t="shared" si="437"/>
        <v>0</v>
      </c>
      <c r="H7336" s="362"/>
      <c r="I7336" s="362"/>
      <c r="J7336" s="362"/>
    </row>
    <row r="7337" spans="1:10" x14ac:dyDescent="0.25">
      <c r="A7337" s="532"/>
      <c r="B7337" s="532"/>
      <c r="C7337" s="532"/>
      <c r="D7337" s="564">
        <f>SUM(D7322:D7336)</f>
        <v>1807692202</v>
      </c>
      <c r="E7337" s="564">
        <f t="shared" ref="E7337:G7337" si="439">SUM(E7322:E7336)</f>
        <v>516134749</v>
      </c>
      <c r="F7337" s="564">
        <f t="shared" si="439"/>
        <v>2323750100</v>
      </c>
      <c r="G7337" s="564">
        <f t="shared" si="439"/>
        <v>76851</v>
      </c>
      <c r="H7337" s="532"/>
      <c r="I7337" s="532"/>
      <c r="J7337" s="532"/>
    </row>
    <row r="7338" spans="1:10" x14ac:dyDescent="0.25">
      <c r="A7338" s="362"/>
      <c r="B7338" s="611">
        <v>44585</v>
      </c>
      <c r="C7338" s="362" t="s">
        <v>86</v>
      </c>
      <c r="D7338" s="562">
        <v>31276055</v>
      </c>
      <c r="E7338" s="562">
        <v>56320850</v>
      </c>
      <c r="F7338" s="562">
        <v>87597000</v>
      </c>
      <c r="G7338" s="562">
        <f t="shared" si="437"/>
        <v>-95</v>
      </c>
      <c r="H7338" s="362"/>
      <c r="I7338" s="362"/>
      <c r="J7338" s="362"/>
    </row>
    <row r="7339" spans="1:10" x14ac:dyDescent="0.25">
      <c r="A7339" s="362"/>
      <c r="B7339" s="611">
        <v>44585</v>
      </c>
      <c r="C7339" s="362" t="s">
        <v>87</v>
      </c>
      <c r="D7339" s="562">
        <v>159620433</v>
      </c>
      <c r="E7339" s="562">
        <v>13839648</v>
      </c>
      <c r="F7339" s="562">
        <v>173460100</v>
      </c>
      <c r="G7339" s="562">
        <f t="shared" si="437"/>
        <v>-19</v>
      </c>
      <c r="H7339" s="362"/>
      <c r="I7339" s="362"/>
      <c r="J7339" s="362"/>
    </row>
    <row r="7340" spans="1:10" x14ac:dyDescent="0.25">
      <c r="A7340" s="362"/>
      <c r="B7340" s="611">
        <v>44585</v>
      </c>
      <c r="C7340" s="362" t="s">
        <v>88</v>
      </c>
      <c r="D7340" s="562">
        <v>128707871</v>
      </c>
      <c r="E7340" s="562">
        <v>85222504</v>
      </c>
      <c r="F7340" s="562">
        <v>213930400</v>
      </c>
      <c r="G7340" s="562">
        <f t="shared" si="437"/>
        <v>-25</v>
      </c>
      <c r="H7340" s="362"/>
      <c r="I7340" s="362"/>
      <c r="J7340" s="362"/>
    </row>
    <row r="7341" spans="1:10" x14ac:dyDescent="0.25">
      <c r="A7341" s="362"/>
      <c r="B7341" s="611">
        <v>44585</v>
      </c>
      <c r="C7341" s="362" t="s">
        <v>82</v>
      </c>
      <c r="D7341" s="562">
        <v>59778102</v>
      </c>
      <c r="E7341" s="562">
        <v>3125472</v>
      </c>
      <c r="F7341" s="562">
        <v>62903600</v>
      </c>
      <c r="G7341" s="562">
        <f t="shared" si="437"/>
        <v>-26</v>
      </c>
      <c r="H7341" s="362"/>
      <c r="I7341" s="362"/>
      <c r="J7341" s="362"/>
    </row>
    <row r="7342" spans="1:10" x14ac:dyDescent="0.25">
      <c r="A7342" s="362"/>
      <c r="B7342" s="611">
        <v>44585</v>
      </c>
      <c r="C7342" s="362" t="s">
        <v>80</v>
      </c>
      <c r="D7342" s="562">
        <v>237148939</v>
      </c>
      <c r="E7342" s="562">
        <v>9067200</v>
      </c>
      <c r="F7342" s="562">
        <v>246216200</v>
      </c>
      <c r="G7342" s="562">
        <f t="shared" si="437"/>
        <v>-61</v>
      </c>
      <c r="H7342" s="362"/>
      <c r="I7342" s="362"/>
      <c r="J7342" s="362"/>
    </row>
    <row r="7343" spans="1:10" x14ac:dyDescent="0.25">
      <c r="A7343" s="362"/>
      <c r="B7343" s="611">
        <v>44585</v>
      </c>
      <c r="C7343" s="362" t="s">
        <v>83</v>
      </c>
      <c r="D7343" s="562">
        <v>219311178</v>
      </c>
      <c r="E7343" s="562">
        <v>10942763</v>
      </c>
      <c r="F7343" s="562">
        <v>230254000</v>
      </c>
      <c r="G7343" s="562">
        <f t="shared" si="437"/>
        <v>-59</v>
      </c>
      <c r="H7343" s="362"/>
      <c r="I7343" s="362"/>
      <c r="J7343" s="362"/>
    </row>
    <row r="7344" spans="1:10" x14ac:dyDescent="0.25">
      <c r="A7344" s="362"/>
      <c r="B7344" s="611">
        <v>44585</v>
      </c>
      <c r="C7344" s="362" t="s">
        <v>78</v>
      </c>
      <c r="D7344" s="562">
        <v>95059518</v>
      </c>
      <c r="E7344" s="562">
        <v>9920482</v>
      </c>
      <c r="F7344" s="562">
        <v>104980000</v>
      </c>
      <c r="G7344" s="562">
        <f t="shared" si="437"/>
        <v>0</v>
      </c>
      <c r="H7344" s="362"/>
      <c r="I7344" s="362"/>
      <c r="J7344" s="362"/>
    </row>
    <row r="7345" spans="1:10" x14ac:dyDescent="0.25">
      <c r="A7345" s="362"/>
      <c r="B7345" s="611">
        <v>44585</v>
      </c>
      <c r="C7345" s="362" t="s">
        <v>141</v>
      </c>
      <c r="D7345" s="562">
        <v>107365736</v>
      </c>
      <c r="E7345" s="562"/>
      <c r="F7345" s="562">
        <v>107365800</v>
      </c>
      <c r="G7345" s="562">
        <f t="shared" si="437"/>
        <v>-64</v>
      </c>
      <c r="H7345" s="362"/>
      <c r="I7345" s="362"/>
      <c r="J7345" s="362"/>
    </row>
    <row r="7346" spans="1:10" x14ac:dyDescent="0.25">
      <c r="A7346" s="362"/>
      <c r="B7346" s="611">
        <v>44585</v>
      </c>
      <c r="C7346" s="362" t="s">
        <v>89</v>
      </c>
      <c r="D7346" s="562">
        <v>118173232</v>
      </c>
      <c r="E7346" s="562">
        <v>30534968</v>
      </c>
      <c r="F7346" s="562">
        <v>148707800</v>
      </c>
      <c r="G7346" s="562">
        <f t="shared" si="437"/>
        <v>400</v>
      </c>
      <c r="H7346" s="362"/>
      <c r="I7346" s="362"/>
      <c r="J7346" s="362"/>
    </row>
    <row r="7347" spans="1:10" x14ac:dyDescent="0.25">
      <c r="A7347" s="362"/>
      <c r="B7347" s="611">
        <v>44585</v>
      </c>
      <c r="C7347" s="362" t="s">
        <v>81</v>
      </c>
      <c r="D7347" s="562">
        <v>155764737</v>
      </c>
      <c r="E7347" s="562">
        <v>12056251</v>
      </c>
      <c r="F7347" s="562">
        <v>167821000</v>
      </c>
      <c r="G7347" s="562">
        <f t="shared" si="437"/>
        <v>-12</v>
      </c>
      <c r="H7347" s="362"/>
      <c r="I7347" s="362"/>
      <c r="J7347" s="362"/>
    </row>
    <row r="7348" spans="1:10" x14ac:dyDescent="0.25">
      <c r="A7348" s="362"/>
      <c r="B7348" s="611">
        <v>44585</v>
      </c>
      <c r="C7348" s="362" t="s">
        <v>84</v>
      </c>
      <c r="D7348" s="562">
        <v>384994815</v>
      </c>
      <c r="E7348" s="562">
        <v>19571288</v>
      </c>
      <c r="F7348" s="562">
        <v>404566800</v>
      </c>
      <c r="G7348" s="562">
        <f t="shared" si="437"/>
        <v>-697</v>
      </c>
      <c r="H7348" s="362"/>
      <c r="I7348" s="362"/>
      <c r="J7348" s="362"/>
    </row>
    <row r="7349" spans="1:10" x14ac:dyDescent="0.25">
      <c r="A7349" s="362"/>
      <c r="B7349" s="611">
        <v>44585</v>
      </c>
      <c r="C7349" s="362" t="s">
        <v>4751</v>
      </c>
      <c r="D7349" s="562">
        <v>226971306</v>
      </c>
      <c r="E7349" s="562">
        <v>11757794</v>
      </c>
      <c r="F7349" s="562">
        <v>238729100</v>
      </c>
      <c r="G7349" s="562">
        <f t="shared" si="437"/>
        <v>0</v>
      </c>
      <c r="H7349" s="362"/>
      <c r="I7349" s="362"/>
      <c r="J7349" s="362"/>
    </row>
    <row r="7350" spans="1:10" x14ac:dyDescent="0.25">
      <c r="A7350" s="362"/>
      <c r="B7350" s="611">
        <v>44585</v>
      </c>
      <c r="C7350" s="362" t="s">
        <v>166</v>
      </c>
      <c r="D7350" s="562">
        <v>67681695</v>
      </c>
      <c r="E7350" s="562"/>
      <c r="F7350" s="562">
        <v>67681700</v>
      </c>
      <c r="G7350" s="562">
        <f t="shared" si="437"/>
        <v>-5</v>
      </c>
      <c r="H7350" s="362"/>
      <c r="I7350" s="362"/>
      <c r="J7350" s="362"/>
    </row>
    <row r="7351" spans="1:10" x14ac:dyDescent="0.25">
      <c r="A7351" s="362"/>
      <c r="B7351" s="611">
        <v>44585</v>
      </c>
      <c r="C7351" s="362" t="s">
        <v>3435</v>
      </c>
      <c r="D7351" s="562">
        <v>31010983</v>
      </c>
      <c r="E7351" s="562"/>
      <c r="F7351" s="562">
        <v>31011000</v>
      </c>
      <c r="G7351" s="562">
        <f t="shared" si="437"/>
        <v>-17</v>
      </c>
      <c r="H7351" s="362"/>
      <c r="I7351" s="362"/>
      <c r="J7351" s="362"/>
    </row>
    <row r="7352" spans="1:10" x14ac:dyDescent="0.25">
      <c r="A7352" s="362"/>
      <c r="B7352" s="611">
        <v>44585</v>
      </c>
      <c r="C7352" s="370" t="s">
        <v>85</v>
      </c>
      <c r="D7352" s="562">
        <v>69487800</v>
      </c>
      <c r="E7352" s="562"/>
      <c r="F7352" s="562">
        <v>69487800</v>
      </c>
      <c r="G7352" s="562">
        <f t="shared" si="437"/>
        <v>0</v>
      </c>
      <c r="H7352" s="362"/>
      <c r="I7352" s="362"/>
      <c r="J7352" s="362"/>
    </row>
    <row r="7353" spans="1:10" x14ac:dyDescent="0.25">
      <c r="A7353" s="532"/>
      <c r="B7353" s="532"/>
      <c r="C7353" s="532"/>
      <c r="D7353" s="564">
        <f>SUM(D7338:D7352)</f>
        <v>2092352400</v>
      </c>
      <c r="E7353" s="564">
        <f t="shared" ref="E7353:G7353" si="440">SUM(E7338:E7352)</f>
        <v>262359220</v>
      </c>
      <c r="F7353" s="564">
        <f t="shared" si="440"/>
        <v>2354712300</v>
      </c>
      <c r="G7353" s="564">
        <f t="shared" si="440"/>
        <v>-680</v>
      </c>
      <c r="H7353" s="532"/>
      <c r="I7353" s="532"/>
      <c r="J7353" s="532"/>
    </row>
    <row r="7354" spans="1:10" x14ac:dyDescent="0.25">
      <c r="A7354" s="362"/>
      <c r="B7354" s="611">
        <v>44586</v>
      </c>
      <c r="C7354" s="362" t="s">
        <v>86</v>
      </c>
      <c r="D7354" s="562">
        <v>99099434</v>
      </c>
      <c r="E7354" s="562">
        <v>17857832</v>
      </c>
      <c r="F7354" s="562">
        <v>116957200</v>
      </c>
      <c r="G7354" s="562">
        <f t="shared" si="437"/>
        <v>66</v>
      </c>
      <c r="H7354" s="362"/>
      <c r="I7354" s="362"/>
      <c r="J7354" s="362"/>
    </row>
    <row r="7355" spans="1:10" x14ac:dyDescent="0.25">
      <c r="A7355" s="362"/>
      <c r="B7355" s="611">
        <v>44586</v>
      </c>
      <c r="C7355" s="362" t="s">
        <v>87</v>
      </c>
      <c r="D7355" s="562">
        <v>57831895</v>
      </c>
      <c r="E7355" s="562">
        <v>98531046</v>
      </c>
      <c r="F7355" s="562">
        <v>156363400</v>
      </c>
      <c r="G7355" s="562">
        <f t="shared" si="437"/>
        <v>-459</v>
      </c>
      <c r="H7355" s="362"/>
      <c r="I7355" s="362"/>
      <c r="J7355" s="362"/>
    </row>
    <row r="7356" spans="1:10" x14ac:dyDescent="0.25">
      <c r="A7356" s="362"/>
      <c r="B7356" s="611">
        <v>44586</v>
      </c>
      <c r="C7356" s="362" t="s">
        <v>88</v>
      </c>
      <c r="D7356" s="562">
        <v>107618165</v>
      </c>
      <c r="E7356" s="562">
        <v>105736828</v>
      </c>
      <c r="F7356" s="562">
        <v>213355000</v>
      </c>
      <c r="G7356" s="562">
        <f t="shared" si="437"/>
        <v>-7</v>
      </c>
      <c r="H7356" s="362"/>
      <c r="I7356" s="362"/>
      <c r="J7356" s="362"/>
    </row>
    <row r="7357" spans="1:10" x14ac:dyDescent="0.25">
      <c r="A7357" s="362"/>
      <c r="B7357" s="611">
        <v>44586</v>
      </c>
      <c r="C7357" s="362" t="s">
        <v>82</v>
      </c>
      <c r="D7357" s="562">
        <v>107366946</v>
      </c>
      <c r="E7357" s="562">
        <v>3645622</v>
      </c>
      <c r="F7357" s="562">
        <v>111012600</v>
      </c>
      <c r="G7357" s="562">
        <f t="shared" si="437"/>
        <v>-32</v>
      </c>
      <c r="H7357" s="362"/>
      <c r="I7357" s="362"/>
      <c r="J7357" s="362"/>
    </row>
    <row r="7358" spans="1:10" x14ac:dyDescent="0.25">
      <c r="A7358" s="362"/>
      <c r="B7358" s="611">
        <v>44586</v>
      </c>
      <c r="C7358" s="362" t="s">
        <v>80</v>
      </c>
      <c r="D7358" s="562">
        <v>345050486</v>
      </c>
      <c r="E7358" s="562">
        <v>26303814</v>
      </c>
      <c r="F7358" s="562">
        <v>371354300</v>
      </c>
      <c r="G7358" s="562">
        <f t="shared" si="437"/>
        <v>0</v>
      </c>
      <c r="H7358" s="362"/>
      <c r="I7358" s="362"/>
      <c r="J7358" s="362"/>
    </row>
    <row r="7359" spans="1:10" x14ac:dyDescent="0.25">
      <c r="A7359" s="362"/>
      <c r="B7359" s="611">
        <v>44586</v>
      </c>
      <c r="C7359" s="362" t="s">
        <v>83</v>
      </c>
      <c r="D7359" s="562">
        <v>250327899</v>
      </c>
      <c r="E7359" s="562">
        <v>12244101</v>
      </c>
      <c r="F7359" s="562">
        <v>262572000</v>
      </c>
      <c r="G7359" s="562">
        <f t="shared" si="437"/>
        <v>0</v>
      </c>
      <c r="H7359" s="362"/>
      <c r="I7359" s="362"/>
      <c r="J7359" s="362"/>
    </row>
    <row r="7360" spans="1:10" x14ac:dyDescent="0.25">
      <c r="A7360" s="362"/>
      <c r="B7360" s="611">
        <v>44586</v>
      </c>
      <c r="C7360" s="362" t="s">
        <v>78</v>
      </c>
      <c r="D7360" s="562">
        <v>153527532</v>
      </c>
      <c r="E7360" s="562">
        <v>7372768</v>
      </c>
      <c r="F7360" s="562">
        <v>160900300</v>
      </c>
      <c r="G7360" s="562">
        <f t="shared" si="437"/>
        <v>0</v>
      </c>
      <c r="H7360" s="362"/>
      <c r="I7360" s="362"/>
      <c r="J7360" s="362"/>
    </row>
    <row r="7361" spans="1:10" x14ac:dyDescent="0.25">
      <c r="A7361" s="362"/>
      <c r="B7361" s="611">
        <v>44586</v>
      </c>
      <c r="C7361" s="362" t="s">
        <v>141</v>
      </c>
      <c r="D7361" s="562">
        <v>139396192</v>
      </c>
      <c r="E7361" s="562"/>
      <c r="F7361" s="562">
        <v>139396200</v>
      </c>
      <c r="G7361" s="562">
        <f t="shared" si="437"/>
        <v>-8</v>
      </c>
      <c r="H7361" s="362"/>
      <c r="I7361" s="362"/>
      <c r="J7361" s="362"/>
    </row>
    <row r="7362" spans="1:10" x14ac:dyDescent="0.25">
      <c r="A7362" s="362"/>
      <c r="B7362" s="611">
        <v>44586</v>
      </c>
      <c r="C7362" s="362" t="s">
        <v>89</v>
      </c>
      <c r="D7362" s="562">
        <v>212806805</v>
      </c>
      <c r="E7362" s="562">
        <v>52689495</v>
      </c>
      <c r="F7362" s="562">
        <v>265496300</v>
      </c>
      <c r="G7362" s="562">
        <f t="shared" si="437"/>
        <v>0</v>
      </c>
      <c r="H7362" s="362"/>
      <c r="I7362" s="362"/>
      <c r="J7362" s="362"/>
    </row>
    <row r="7363" spans="1:10" x14ac:dyDescent="0.25">
      <c r="A7363" s="362"/>
      <c r="B7363" s="611">
        <v>44586</v>
      </c>
      <c r="C7363" s="362" t="s">
        <v>81</v>
      </c>
      <c r="D7363" s="562">
        <v>175654210</v>
      </c>
      <c r="E7363" s="562">
        <v>33379322</v>
      </c>
      <c r="F7363" s="562">
        <v>209033500</v>
      </c>
      <c r="G7363" s="562">
        <f t="shared" si="437"/>
        <v>32</v>
      </c>
      <c r="H7363" s="362"/>
      <c r="I7363" s="362"/>
      <c r="J7363" s="362"/>
    </row>
    <row r="7364" spans="1:10" x14ac:dyDescent="0.25">
      <c r="A7364" s="362"/>
      <c r="B7364" s="611">
        <v>44586</v>
      </c>
      <c r="C7364" s="362" t="s">
        <v>84</v>
      </c>
      <c r="D7364" s="562">
        <v>302240261</v>
      </c>
      <c r="E7364" s="562">
        <v>61374459</v>
      </c>
      <c r="F7364" s="562">
        <v>363614800</v>
      </c>
      <c r="G7364" s="562">
        <f t="shared" si="437"/>
        <v>-80</v>
      </c>
      <c r="H7364" s="362"/>
      <c r="I7364" s="362"/>
      <c r="J7364" s="362"/>
    </row>
    <row r="7365" spans="1:10" x14ac:dyDescent="0.25">
      <c r="A7365" s="362"/>
      <c r="B7365" s="611">
        <v>44586</v>
      </c>
      <c r="C7365" s="362" t="s">
        <v>4751</v>
      </c>
      <c r="D7365" s="562">
        <v>228436777</v>
      </c>
      <c r="E7365" s="562">
        <v>7621523</v>
      </c>
      <c r="F7365" s="562">
        <v>235958300</v>
      </c>
      <c r="G7365" s="562">
        <f t="shared" si="437"/>
        <v>100000</v>
      </c>
      <c r="H7365" s="362"/>
      <c r="I7365" s="362"/>
      <c r="J7365" s="362"/>
    </row>
    <row r="7366" spans="1:10" x14ac:dyDescent="0.25">
      <c r="A7366" s="362"/>
      <c r="B7366" s="611">
        <v>44586</v>
      </c>
      <c r="C7366" s="362" t="s">
        <v>166</v>
      </c>
      <c r="D7366" s="562">
        <v>101189323</v>
      </c>
      <c r="E7366" s="562"/>
      <c r="F7366" s="562">
        <v>101189300</v>
      </c>
      <c r="G7366" s="562">
        <f t="shared" si="437"/>
        <v>23</v>
      </c>
      <c r="H7366" s="362"/>
      <c r="I7366" s="362"/>
      <c r="J7366" s="362"/>
    </row>
    <row r="7367" spans="1:10" x14ac:dyDescent="0.25">
      <c r="A7367" s="362"/>
      <c r="B7367" s="611">
        <v>44586</v>
      </c>
      <c r="C7367" s="362" t="s">
        <v>3435</v>
      </c>
      <c r="D7367" s="562">
        <v>88096538</v>
      </c>
      <c r="E7367" s="562"/>
      <c r="F7367" s="562">
        <v>88096600</v>
      </c>
      <c r="G7367" s="562">
        <f t="shared" si="437"/>
        <v>-62</v>
      </c>
      <c r="H7367" s="362"/>
      <c r="I7367" s="362"/>
      <c r="J7367" s="362"/>
    </row>
    <row r="7368" spans="1:10" x14ac:dyDescent="0.25">
      <c r="A7368" s="362"/>
      <c r="B7368" s="611">
        <v>44586</v>
      </c>
      <c r="C7368" s="370" t="s">
        <v>85</v>
      </c>
      <c r="D7368" s="562">
        <v>49245700</v>
      </c>
      <c r="E7368" s="562"/>
      <c r="F7368" s="562">
        <v>49245700</v>
      </c>
      <c r="G7368" s="562">
        <f t="shared" si="437"/>
        <v>0</v>
      </c>
      <c r="H7368" s="362"/>
      <c r="I7368" s="362"/>
      <c r="J7368" s="362"/>
    </row>
    <row r="7369" spans="1:10" x14ac:dyDescent="0.25">
      <c r="A7369" s="532"/>
      <c r="B7369" s="532"/>
      <c r="C7369" s="532"/>
      <c r="D7369" s="564">
        <f>SUM(D7354:D7368)</f>
        <v>2417888163</v>
      </c>
      <c r="E7369" s="564">
        <f t="shared" ref="E7369:G7369" si="441">SUM(E7354:E7368)</f>
        <v>426756810</v>
      </c>
      <c r="F7369" s="564">
        <f t="shared" si="441"/>
        <v>2844545500</v>
      </c>
      <c r="G7369" s="564">
        <f t="shared" si="441"/>
        <v>99473</v>
      </c>
      <c r="H7369" s="532"/>
      <c r="I7369" s="532"/>
      <c r="J7369" s="532"/>
    </row>
    <row r="7370" spans="1:10" x14ac:dyDescent="0.25">
      <c r="A7370" s="362"/>
      <c r="B7370" s="611">
        <v>44587</v>
      </c>
      <c r="C7370" s="362" t="s">
        <v>86</v>
      </c>
      <c r="D7370" s="562">
        <v>114390568</v>
      </c>
      <c r="E7370" s="562">
        <v>4922612</v>
      </c>
      <c r="F7370" s="562">
        <v>119313100</v>
      </c>
      <c r="G7370" s="562">
        <f t="shared" si="437"/>
        <v>80</v>
      </c>
      <c r="H7370" s="362"/>
      <c r="I7370" s="362"/>
      <c r="J7370" s="362"/>
    </row>
    <row r="7371" spans="1:10" x14ac:dyDescent="0.25">
      <c r="A7371" s="362"/>
      <c r="B7371" s="611">
        <v>44587</v>
      </c>
      <c r="C7371" s="362" t="s">
        <v>87</v>
      </c>
      <c r="D7371" s="562">
        <v>113675022</v>
      </c>
      <c r="E7371" s="562">
        <v>79174018</v>
      </c>
      <c r="F7371" s="562">
        <v>192849200</v>
      </c>
      <c r="G7371" s="562">
        <f t="shared" si="437"/>
        <v>-160</v>
      </c>
      <c r="H7371" s="362"/>
      <c r="I7371" s="362"/>
      <c r="J7371" s="362"/>
    </row>
    <row r="7372" spans="1:10" x14ac:dyDescent="0.25">
      <c r="A7372" s="362"/>
      <c r="B7372" s="611">
        <v>44587</v>
      </c>
      <c r="C7372" s="362" t="s">
        <v>88</v>
      </c>
      <c r="D7372" s="562">
        <v>225087249</v>
      </c>
      <c r="E7372" s="562">
        <v>27483174</v>
      </c>
      <c r="F7372" s="562">
        <v>252570500</v>
      </c>
      <c r="G7372" s="562">
        <f t="shared" ref="G7372:G7435" si="442">D7372+E7372-F7372</f>
        <v>-77</v>
      </c>
      <c r="H7372" s="362"/>
      <c r="I7372" s="362"/>
      <c r="J7372" s="362"/>
    </row>
    <row r="7373" spans="1:10" x14ac:dyDescent="0.25">
      <c r="A7373" s="362"/>
      <c r="B7373" s="611">
        <v>44587</v>
      </c>
      <c r="C7373" s="362" t="s">
        <v>82</v>
      </c>
      <c r="D7373" s="562">
        <v>143796331</v>
      </c>
      <c r="E7373" s="562">
        <v>9544219</v>
      </c>
      <c r="F7373" s="562">
        <v>153340600</v>
      </c>
      <c r="G7373" s="562">
        <f t="shared" si="442"/>
        <v>-50</v>
      </c>
      <c r="H7373" s="362"/>
      <c r="I7373" s="362"/>
      <c r="J7373" s="362"/>
    </row>
    <row r="7374" spans="1:10" x14ac:dyDescent="0.25">
      <c r="A7374" s="362"/>
      <c r="B7374" s="611">
        <v>44587</v>
      </c>
      <c r="C7374" s="362" t="s">
        <v>80</v>
      </c>
      <c r="D7374" s="562">
        <v>356623621</v>
      </c>
      <c r="E7374" s="562"/>
      <c r="F7374" s="562">
        <v>356625800</v>
      </c>
      <c r="G7374" s="562">
        <f t="shared" si="442"/>
        <v>-2179</v>
      </c>
      <c r="H7374" s="362"/>
      <c r="I7374" s="362"/>
      <c r="J7374" s="362"/>
    </row>
    <row r="7375" spans="1:10" x14ac:dyDescent="0.25">
      <c r="A7375" s="362"/>
      <c r="B7375" s="611">
        <v>44587</v>
      </c>
      <c r="C7375" s="362" t="s">
        <v>83</v>
      </c>
      <c r="D7375" s="562">
        <v>192593548</v>
      </c>
      <c r="E7375" s="562">
        <v>13882514</v>
      </c>
      <c r="F7375" s="562">
        <v>206476000</v>
      </c>
      <c r="G7375" s="562">
        <f t="shared" si="442"/>
        <v>62</v>
      </c>
      <c r="H7375" s="362"/>
      <c r="I7375" s="362"/>
      <c r="J7375" s="362"/>
    </row>
    <row r="7376" spans="1:10" x14ac:dyDescent="0.25">
      <c r="A7376" s="362"/>
      <c r="B7376" s="611">
        <v>44587</v>
      </c>
      <c r="C7376" s="362" t="s">
        <v>78</v>
      </c>
      <c r="D7376" s="562">
        <v>175372523</v>
      </c>
      <c r="E7376" s="562">
        <v>12682677</v>
      </c>
      <c r="F7376" s="562">
        <v>188055200</v>
      </c>
      <c r="G7376" s="562">
        <f t="shared" si="442"/>
        <v>0</v>
      </c>
      <c r="H7376" s="362"/>
      <c r="I7376" s="362"/>
      <c r="J7376" s="362"/>
    </row>
    <row r="7377" spans="1:10" x14ac:dyDescent="0.25">
      <c r="A7377" s="362"/>
      <c r="B7377" s="611">
        <v>44587</v>
      </c>
      <c r="C7377" s="362" t="s">
        <v>141</v>
      </c>
      <c r="D7377" s="562">
        <v>147980051</v>
      </c>
      <c r="E7377" s="562"/>
      <c r="F7377" s="562">
        <v>147980100</v>
      </c>
      <c r="G7377" s="562">
        <f t="shared" si="442"/>
        <v>-49</v>
      </c>
      <c r="H7377" s="362"/>
      <c r="I7377" s="362"/>
      <c r="J7377" s="362"/>
    </row>
    <row r="7378" spans="1:10" x14ac:dyDescent="0.25">
      <c r="A7378" s="362"/>
      <c r="B7378" s="611">
        <v>44587</v>
      </c>
      <c r="C7378" s="362" t="s">
        <v>89</v>
      </c>
      <c r="D7378" s="562">
        <v>186801704</v>
      </c>
      <c r="E7378" s="562">
        <v>95267996</v>
      </c>
      <c r="F7378" s="562">
        <v>282069800</v>
      </c>
      <c r="G7378" s="562">
        <f t="shared" si="442"/>
        <v>-100</v>
      </c>
      <c r="H7378" s="362"/>
      <c r="I7378" s="362"/>
      <c r="J7378" s="362"/>
    </row>
    <row r="7379" spans="1:10" x14ac:dyDescent="0.25">
      <c r="A7379" s="362"/>
      <c r="B7379" s="611">
        <v>44587</v>
      </c>
      <c r="C7379" s="362" t="s">
        <v>81</v>
      </c>
      <c r="D7379" s="562">
        <v>179881624</v>
      </c>
      <c r="E7379" s="562">
        <v>35423421</v>
      </c>
      <c r="F7379" s="562">
        <v>215305100</v>
      </c>
      <c r="G7379" s="562">
        <f t="shared" si="442"/>
        <v>-55</v>
      </c>
      <c r="H7379" s="362"/>
      <c r="I7379" s="362"/>
      <c r="J7379" s="362"/>
    </row>
    <row r="7380" spans="1:10" x14ac:dyDescent="0.25">
      <c r="A7380" s="362"/>
      <c r="B7380" s="611">
        <v>44587</v>
      </c>
      <c r="C7380" s="362" t="s">
        <v>84</v>
      </c>
      <c r="D7380" s="562">
        <v>296142325</v>
      </c>
      <c r="E7380" s="562">
        <v>11156511</v>
      </c>
      <c r="F7380" s="562">
        <v>307298800</v>
      </c>
      <c r="G7380" s="562">
        <f t="shared" si="442"/>
        <v>36</v>
      </c>
      <c r="H7380" s="362"/>
      <c r="I7380" s="362"/>
      <c r="J7380" s="362"/>
    </row>
    <row r="7381" spans="1:10" x14ac:dyDescent="0.25">
      <c r="A7381" s="362"/>
      <c r="B7381" s="611">
        <v>44587</v>
      </c>
      <c r="C7381" s="362" t="s">
        <v>4751</v>
      </c>
      <c r="D7381" s="562">
        <v>240791689</v>
      </c>
      <c r="E7381" s="562">
        <v>12884211</v>
      </c>
      <c r="F7381" s="562">
        <v>253675900</v>
      </c>
      <c r="G7381" s="562">
        <f t="shared" si="442"/>
        <v>0</v>
      </c>
      <c r="H7381" s="362"/>
      <c r="I7381" s="362"/>
      <c r="J7381" s="362"/>
    </row>
    <row r="7382" spans="1:10" x14ac:dyDescent="0.25">
      <c r="A7382" s="362"/>
      <c r="B7382" s="611">
        <v>44587</v>
      </c>
      <c r="C7382" s="362" t="s">
        <v>166</v>
      </c>
      <c r="D7382" s="562">
        <v>70305532</v>
      </c>
      <c r="E7382" s="562"/>
      <c r="F7382" s="562">
        <v>70305500</v>
      </c>
      <c r="G7382" s="562">
        <f t="shared" si="442"/>
        <v>32</v>
      </c>
      <c r="H7382" s="362"/>
      <c r="I7382" s="362"/>
      <c r="J7382" s="362"/>
    </row>
    <row r="7383" spans="1:10" x14ac:dyDescent="0.25">
      <c r="A7383" s="362"/>
      <c r="B7383" s="611">
        <v>44587</v>
      </c>
      <c r="C7383" s="362" t="s">
        <v>3435</v>
      </c>
      <c r="D7383" s="562">
        <v>68686358</v>
      </c>
      <c r="E7383" s="562"/>
      <c r="F7383" s="562">
        <v>68686400</v>
      </c>
      <c r="G7383" s="562">
        <f t="shared" si="442"/>
        <v>-42</v>
      </c>
      <c r="H7383" s="362"/>
      <c r="I7383" s="362"/>
      <c r="J7383" s="362"/>
    </row>
    <row r="7384" spans="1:10" x14ac:dyDescent="0.25">
      <c r="A7384" s="362"/>
      <c r="B7384" s="611">
        <v>44587</v>
      </c>
      <c r="C7384" s="370" t="s">
        <v>85</v>
      </c>
      <c r="D7384" s="562">
        <v>53167600</v>
      </c>
      <c r="E7384" s="562"/>
      <c r="F7384" s="562">
        <v>53167600</v>
      </c>
      <c r="G7384" s="562">
        <f t="shared" si="442"/>
        <v>0</v>
      </c>
      <c r="H7384" s="362"/>
      <c r="I7384" s="362"/>
      <c r="J7384" s="362"/>
    </row>
    <row r="7385" spans="1:10" x14ac:dyDescent="0.25">
      <c r="A7385" s="532"/>
      <c r="B7385" s="532"/>
      <c r="C7385" s="532"/>
      <c r="D7385" s="564">
        <f>SUM(D7370:D7384)</f>
        <v>2565295745</v>
      </c>
      <c r="E7385" s="564">
        <f t="shared" ref="E7385:G7385" si="443">SUM(E7370:E7384)</f>
        <v>302421353</v>
      </c>
      <c r="F7385" s="564">
        <f t="shared" si="443"/>
        <v>2867719600</v>
      </c>
      <c r="G7385" s="564">
        <f t="shared" si="443"/>
        <v>-2502</v>
      </c>
      <c r="H7385" s="532"/>
      <c r="I7385" s="532"/>
      <c r="J7385" s="532"/>
    </row>
    <row r="7386" spans="1:10" x14ac:dyDescent="0.25">
      <c r="A7386" s="362"/>
      <c r="B7386" s="611">
        <v>44588</v>
      </c>
      <c r="C7386" s="362" t="s">
        <v>86</v>
      </c>
      <c r="D7386" s="562">
        <v>87836524</v>
      </c>
      <c r="E7386" s="562">
        <v>90001940</v>
      </c>
      <c r="F7386" s="562">
        <v>177838500</v>
      </c>
      <c r="G7386" s="562">
        <f t="shared" si="442"/>
        <v>-36</v>
      </c>
      <c r="H7386" s="362"/>
      <c r="I7386" s="362"/>
      <c r="J7386" s="362"/>
    </row>
    <row r="7387" spans="1:10" x14ac:dyDescent="0.25">
      <c r="A7387" s="362"/>
      <c r="B7387" s="611">
        <v>44588</v>
      </c>
      <c r="C7387" s="362" t="s">
        <v>87</v>
      </c>
      <c r="D7387" s="562">
        <v>88569988</v>
      </c>
      <c r="E7387" s="562">
        <v>67483175</v>
      </c>
      <c r="F7387" s="562">
        <v>156053200</v>
      </c>
      <c r="G7387" s="562">
        <f t="shared" si="442"/>
        <v>-37</v>
      </c>
      <c r="H7387" s="362"/>
      <c r="I7387" s="362"/>
      <c r="J7387" s="362"/>
    </row>
    <row r="7388" spans="1:10" x14ac:dyDescent="0.25">
      <c r="A7388" s="362"/>
      <c r="B7388" s="611">
        <v>44588</v>
      </c>
      <c r="C7388" s="362" t="s">
        <v>88</v>
      </c>
      <c r="D7388" s="562">
        <v>170684276</v>
      </c>
      <c r="E7388" s="562">
        <v>30861487</v>
      </c>
      <c r="F7388" s="562">
        <v>201545800</v>
      </c>
      <c r="G7388" s="562">
        <f t="shared" si="442"/>
        <v>-37</v>
      </c>
      <c r="H7388" s="362"/>
      <c r="I7388" s="362"/>
      <c r="J7388" s="362"/>
    </row>
    <row r="7389" spans="1:10" x14ac:dyDescent="0.25">
      <c r="A7389" s="362"/>
      <c r="B7389" s="611">
        <v>44588</v>
      </c>
      <c r="C7389" s="362" t="s">
        <v>82</v>
      </c>
      <c r="D7389" s="562">
        <v>183733966</v>
      </c>
      <c r="E7389" s="562">
        <v>2391986</v>
      </c>
      <c r="F7389" s="562">
        <v>186126100</v>
      </c>
      <c r="G7389" s="562">
        <f t="shared" si="442"/>
        <v>-148</v>
      </c>
      <c r="H7389" s="362"/>
      <c r="I7389" s="362"/>
      <c r="J7389" s="362"/>
    </row>
    <row r="7390" spans="1:10" x14ac:dyDescent="0.25">
      <c r="A7390" s="362"/>
      <c r="B7390" s="611">
        <v>44588</v>
      </c>
      <c r="C7390" s="362" t="s">
        <v>80</v>
      </c>
      <c r="D7390" s="562">
        <v>310394241</v>
      </c>
      <c r="E7390" s="562"/>
      <c r="F7390" s="562">
        <v>310389800</v>
      </c>
      <c r="G7390" s="562">
        <f t="shared" si="442"/>
        <v>4441</v>
      </c>
      <c r="H7390" s="362"/>
      <c r="I7390" s="362"/>
      <c r="J7390" s="362"/>
    </row>
    <row r="7391" spans="1:10" x14ac:dyDescent="0.25">
      <c r="A7391" s="362"/>
      <c r="B7391" s="611">
        <v>44588</v>
      </c>
      <c r="C7391" s="362" t="s">
        <v>83</v>
      </c>
      <c r="D7391" s="562">
        <v>141329942</v>
      </c>
      <c r="E7391" s="562">
        <v>28558076</v>
      </c>
      <c r="F7391" s="562">
        <v>169888100</v>
      </c>
      <c r="G7391" s="562">
        <f t="shared" si="442"/>
        <v>-82</v>
      </c>
      <c r="H7391" s="362"/>
      <c r="I7391" s="362"/>
      <c r="J7391" s="362"/>
    </row>
    <row r="7392" spans="1:10" x14ac:dyDescent="0.25">
      <c r="A7392" s="362"/>
      <c r="B7392" s="611">
        <v>44588</v>
      </c>
      <c r="C7392" s="362" t="s">
        <v>78</v>
      </c>
      <c r="D7392" s="562">
        <v>174156945</v>
      </c>
      <c r="E7392" s="562">
        <v>1081655</v>
      </c>
      <c r="F7392" s="562">
        <v>175238600</v>
      </c>
      <c r="G7392" s="562">
        <f t="shared" si="442"/>
        <v>0</v>
      </c>
      <c r="H7392" s="362"/>
      <c r="I7392" s="362"/>
      <c r="J7392" s="362"/>
    </row>
    <row r="7393" spans="1:10" x14ac:dyDescent="0.25">
      <c r="A7393" s="362"/>
      <c r="B7393" s="611">
        <v>44588</v>
      </c>
      <c r="C7393" s="362" t="s">
        <v>141</v>
      </c>
      <c r="D7393" s="562">
        <v>111816290</v>
      </c>
      <c r="E7393" s="562"/>
      <c r="F7393" s="562">
        <v>111816300</v>
      </c>
      <c r="G7393" s="562">
        <f>D7393+E7393-F7393</f>
        <v>-10</v>
      </c>
      <c r="H7393" s="362"/>
      <c r="I7393" s="362"/>
      <c r="J7393" s="362"/>
    </row>
    <row r="7394" spans="1:10" x14ac:dyDescent="0.25">
      <c r="A7394" s="362"/>
      <c r="B7394" s="611">
        <v>44588</v>
      </c>
      <c r="C7394" s="362" t="s">
        <v>89</v>
      </c>
      <c r="D7394" s="562">
        <v>224872204</v>
      </c>
      <c r="E7394" s="562">
        <v>12134696</v>
      </c>
      <c r="F7394" s="562">
        <v>237006900</v>
      </c>
      <c r="G7394" s="562">
        <f t="shared" si="442"/>
        <v>0</v>
      </c>
      <c r="H7394" s="362"/>
      <c r="I7394" s="362"/>
      <c r="J7394" s="362"/>
    </row>
    <row r="7395" spans="1:10" x14ac:dyDescent="0.25">
      <c r="A7395" s="362"/>
      <c r="B7395" s="611">
        <v>44588</v>
      </c>
      <c r="C7395" s="362" t="s">
        <v>81</v>
      </c>
      <c r="D7395" s="562">
        <v>96491734</v>
      </c>
      <c r="E7395" s="562">
        <v>19530640</v>
      </c>
      <c r="F7395" s="562">
        <v>116022400</v>
      </c>
      <c r="G7395" s="562">
        <f t="shared" si="442"/>
        <v>-26</v>
      </c>
      <c r="H7395" s="362"/>
      <c r="I7395" s="362"/>
      <c r="J7395" s="362"/>
    </row>
    <row r="7396" spans="1:10" x14ac:dyDescent="0.25">
      <c r="A7396" s="362"/>
      <c r="B7396" s="611">
        <v>44588</v>
      </c>
      <c r="C7396" s="362" t="s">
        <v>84</v>
      </c>
      <c r="D7396" s="562">
        <v>314310217</v>
      </c>
      <c r="E7396" s="562">
        <v>23352569</v>
      </c>
      <c r="F7396" s="562">
        <v>337662900</v>
      </c>
      <c r="G7396" s="562">
        <f t="shared" si="442"/>
        <v>-114</v>
      </c>
      <c r="H7396" s="362"/>
      <c r="I7396" s="362"/>
      <c r="J7396" s="362"/>
    </row>
    <row r="7397" spans="1:10" x14ac:dyDescent="0.25">
      <c r="A7397" s="362"/>
      <c r="B7397" s="611">
        <v>44588</v>
      </c>
      <c r="C7397" s="362" t="s">
        <v>4751</v>
      </c>
      <c r="D7397" s="562">
        <v>345552733</v>
      </c>
      <c r="E7397" s="562">
        <v>10428667</v>
      </c>
      <c r="F7397" s="562">
        <v>355981400</v>
      </c>
      <c r="G7397" s="562">
        <f t="shared" si="442"/>
        <v>0</v>
      </c>
      <c r="H7397" s="362"/>
      <c r="I7397" s="362"/>
      <c r="J7397" s="362"/>
    </row>
    <row r="7398" spans="1:10" x14ac:dyDescent="0.25">
      <c r="A7398" s="362"/>
      <c r="B7398" s="611">
        <v>44588</v>
      </c>
      <c r="C7398" s="362" t="s">
        <v>166</v>
      </c>
      <c r="D7398" s="562">
        <v>170030545</v>
      </c>
      <c r="E7398" s="562"/>
      <c r="F7398" s="562">
        <v>170030600</v>
      </c>
      <c r="G7398" s="562">
        <f t="shared" si="442"/>
        <v>-55</v>
      </c>
      <c r="H7398" s="362"/>
      <c r="I7398" s="362"/>
      <c r="J7398" s="362"/>
    </row>
    <row r="7399" spans="1:10" x14ac:dyDescent="0.25">
      <c r="A7399" s="362"/>
      <c r="B7399" s="611">
        <v>44588</v>
      </c>
      <c r="C7399" s="362" t="s">
        <v>3435</v>
      </c>
      <c r="D7399" s="562">
        <v>81267015</v>
      </c>
      <c r="E7399" s="562"/>
      <c r="F7399" s="562">
        <v>81267100</v>
      </c>
      <c r="G7399" s="562">
        <f t="shared" si="442"/>
        <v>-85</v>
      </c>
      <c r="H7399" s="362"/>
      <c r="I7399" s="362"/>
      <c r="J7399" s="362"/>
    </row>
    <row r="7400" spans="1:10" x14ac:dyDescent="0.25">
      <c r="A7400" s="362"/>
      <c r="B7400" s="611">
        <v>44588</v>
      </c>
      <c r="C7400" s="370" t="s">
        <v>85</v>
      </c>
      <c r="D7400" s="562">
        <v>45797900</v>
      </c>
      <c r="E7400" s="562"/>
      <c r="F7400" s="562">
        <v>45797900</v>
      </c>
      <c r="G7400" s="562">
        <f t="shared" si="442"/>
        <v>0</v>
      </c>
      <c r="H7400" s="362"/>
      <c r="I7400" s="362"/>
      <c r="J7400" s="362"/>
    </row>
    <row r="7401" spans="1:10" x14ac:dyDescent="0.25">
      <c r="A7401" s="532"/>
      <c r="B7401" s="532"/>
      <c r="C7401" s="532"/>
      <c r="D7401" s="564">
        <f>SUM(D7386:D7400)</f>
        <v>2546844520</v>
      </c>
      <c r="E7401" s="564">
        <f t="shared" ref="E7401:G7401" si="444">SUM(E7386:E7400)</f>
        <v>285824891</v>
      </c>
      <c r="F7401" s="564">
        <f t="shared" si="444"/>
        <v>2832665600</v>
      </c>
      <c r="G7401" s="564">
        <f t="shared" si="444"/>
        <v>3811</v>
      </c>
      <c r="H7401" s="532"/>
      <c r="I7401" s="532"/>
      <c r="J7401" s="532"/>
    </row>
    <row r="7402" spans="1:10" x14ac:dyDescent="0.25">
      <c r="A7402" s="362"/>
      <c r="B7402" s="611">
        <v>44589</v>
      </c>
      <c r="C7402" s="362" t="s">
        <v>86</v>
      </c>
      <c r="D7402" s="562">
        <v>62271870</v>
      </c>
      <c r="E7402" s="562">
        <v>62408945</v>
      </c>
      <c r="F7402" s="562"/>
      <c r="G7402" s="562">
        <f t="shared" si="442"/>
        <v>124680815</v>
      </c>
      <c r="H7402" s="362"/>
      <c r="I7402" s="362"/>
      <c r="J7402" s="362"/>
    </row>
    <row r="7403" spans="1:10" x14ac:dyDescent="0.25">
      <c r="A7403" s="362"/>
      <c r="B7403" s="611">
        <v>44589</v>
      </c>
      <c r="C7403" s="362" t="s">
        <v>87</v>
      </c>
      <c r="D7403" s="562">
        <v>127254594</v>
      </c>
      <c r="E7403" s="562">
        <v>49109513</v>
      </c>
      <c r="F7403" s="562"/>
      <c r="G7403" s="562">
        <f t="shared" si="442"/>
        <v>176364107</v>
      </c>
      <c r="H7403" s="362"/>
      <c r="I7403" s="362"/>
      <c r="J7403" s="362"/>
    </row>
    <row r="7404" spans="1:10" x14ac:dyDescent="0.25">
      <c r="A7404" s="362"/>
      <c r="B7404" s="611">
        <v>44589</v>
      </c>
      <c r="C7404" s="362" t="s">
        <v>88</v>
      </c>
      <c r="D7404" s="562">
        <v>150062553</v>
      </c>
      <c r="E7404" s="562">
        <v>26691041</v>
      </c>
      <c r="F7404" s="562"/>
      <c r="G7404" s="562">
        <f t="shared" si="442"/>
        <v>176753594</v>
      </c>
      <c r="H7404" s="362"/>
      <c r="I7404" s="362"/>
      <c r="J7404" s="362"/>
    </row>
    <row r="7405" spans="1:10" x14ac:dyDescent="0.25">
      <c r="A7405" s="362"/>
      <c r="B7405" s="611">
        <v>44589</v>
      </c>
      <c r="C7405" s="362" t="s">
        <v>82</v>
      </c>
      <c r="D7405" s="562">
        <v>63024572</v>
      </c>
      <c r="E7405" s="562">
        <v>16093435</v>
      </c>
      <c r="F7405" s="562"/>
      <c r="G7405" s="562">
        <f t="shared" si="442"/>
        <v>79118007</v>
      </c>
      <c r="H7405" s="362"/>
      <c r="I7405" s="362"/>
      <c r="J7405" s="362"/>
    </row>
    <row r="7406" spans="1:10" x14ac:dyDescent="0.25">
      <c r="A7406" s="362"/>
      <c r="B7406" s="611">
        <v>44589</v>
      </c>
      <c r="C7406" s="362" t="s">
        <v>80</v>
      </c>
      <c r="D7406" s="562">
        <v>292309469</v>
      </c>
      <c r="E7406" s="562">
        <v>97908131</v>
      </c>
      <c r="F7406" s="562"/>
      <c r="G7406" s="562">
        <f t="shared" si="442"/>
        <v>390217600</v>
      </c>
      <c r="H7406" s="362"/>
      <c r="I7406" s="362"/>
      <c r="J7406" s="362"/>
    </row>
    <row r="7407" spans="1:10" x14ac:dyDescent="0.25">
      <c r="A7407" s="362"/>
      <c r="B7407" s="611">
        <v>44589</v>
      </c>
      <c r="C7407" s="362" t="s">
        <v>83</v>
      </c>
      <c r="D7407" s="562">
        <v>151310528</v>
      </c>
      <c r="E7407" s="562">
        <v>210217501</v>
      </c>
      <c r="F7407" s="562"/>
      <c r="G7407" s="562">
        <f t="shared" si="442"/>
        <v>361528029</v>
      </c>
      <c r="H7407" s="362"/>
      <c r="I7407" s="362"/>
      <c r="J7407" s="362"/>
    </row>
    <row r="7408" spans="1:10" x14ac:dyDescent="0.25">
      <c r="A7408" s="362"/>
      <c r="B7408" s="611">
        <v>44589</v>
      </c>
      <c r="C7408" s="362" t="s">
        <v>78</v>
      </c>
      <c r="D7408" s="562">
        <v>158537605</v>
      </c>
      <c r="E7408" s="562">
        <v>2209195</v>
      </c>
      <c r="F7408" s="562"/>
      <c r="G7408" s="562">
        <f t="shared" si="442"/>
        <v>160746800</v>
      </c>
      <c r="H7408" s="362"/>
      <c r="I7408" s="362"/>
      <c r="J7408" s="362"/>
    </row>
    <row r="7409" spans="1:10" x14ac:dyDescent="0.25">
      <c r="A7409" s="362"/>
      <c r="B7409" s="611">
        <v>44589</v>
      </c>
      <c r="C7409" s="362" t="s">
        <v>141</v>
      </c>
      <c r="D7409" s="562">
        <v>122928471</v>
      </c>
      <c r="E7409" s="562"/>
      <c r="F7409" s="562"/>
      <c r="G7409" s="562">
        <f t="shared" si="442"/>
        <v>122928471</v>
      </c>
      <c r="H7409" s="362"/>
      <c r="I7409" s="362"/>
      <c r="J7409" s="362"/>
    </row>
    <row r="7410" spans="1:10" x14ac:dyDescent="0.25">
      <c r="A7410" s="362"/>
      <c r="B7410" s="611">
        <v>44589</v>
      </c>
      <c r="C7410" s="362" t="s">
        <v>89</v>
      </c>
      <c r="D7410" s="562">
        <v>231312123</v>
      </c>
      <c r="E7410" s="562">
        <v>198818477</v>
      </c>
      <c r="F7410" s="562"/>
      <c r="G7410" s="562">
        <f t="shared" si="442"/>
        <v>430130600</v>
      </c>
      <c r="H7410" s="362"/>
      <c r="I7410" s="362"/>
      <c r="J7410" s="362"/>
    </row>
    <row r="7411" spans="1:10" x14ac:dyDescent="0.25">
      <c r="A7411" s="362"/>
      <c r="B7411" s="611">
        <v>44589</v>
      </c>
      <c r="C7411" s="362" t="s">
        <v>81</v>
      </c>
      <c r="D7411" s="562">
        <v>114016255</v>
      </c>
      <c r="E7411" s="562">
        <v>6181195</v>
      </c>
      <c r="F7411" s="562"/>
      <c r="G7411" s="562">
        <f t="shared" si="442"/>
        <v>120197450</v>
      </c>
      <c r="H7411" s="362"/>
      <c r="I7411" s="362"/>
      <c r="J7411" s="362"/>
    </row>
    <row r="7412" spans="1:10" x14ac:dyDescent="0.25">
      <c r="A7412" s="362"/>
      <c r="B7412" s="611">
        <v>44589</v>
      </c>
      <c r="C7412" s="362" t="s">
        <v>84</v>
      </c>
      <c r="D7412" s="562">
        <v>313722555</v>
      </c>
      <c r="E7412" s="562">
        <v>56994458</v>
      </c>
      <c r="F7412" s="562"/>
      <c r="G7412" s="562">
        <f t="shared" si="442"/>
        <v>370717013</v>
      </c>
      <c r="H7412" s="362"/>
      <c r="I7412" s="362"/>
      <c r="J7412" s="362"/>
    </row>
    <row r="7413" spans="1:10" x14ac:dyDescent="0.25">
      <c r="A7413" s="362"/>
      <c r="B7413" s="611">
        <v>44589</v>
      </c>
      <c r="C7413" s="362" t="s">
        <v>4751</v>
      </c>
      <c r="D7413" s="562">
        <v>161336502</v>
      </c>
      <c r="E7413" s="562">
        <v>25521498</v>
      </c>
      <c r="F7413" s="562"/>
      <c r="G7413" s="562">
        <f t="shared" si="442"/>
        <v>186858000</v>
      </c>
      <c r="H7413" s="362"/>
      <c r="I7413" s="362"/>
      <c r="J7413" s="362"/>
    </row>
    <row r="7414" spans="1:10" x14ac:dyDescent="0.25">
      <c r="A7414" s="362"/>
      <c r="B7414" s="611">
        <v>44589</v>
      </c>
      <c r="C7414" s="362" t="s">
        <v>166</v>
      </c>
      <c r="D7414" s="562">
        <v>37608262</v>
      </c>
      <c r="E7414" s="562"/>
      <c r="F7414" s="562"/>
      <c r="G7414" s="562">
        <f t="shared" si="442"/>
        <v>37608262</v>
      </c>
      <c r="H7414" s="362"/>
      <c r="I7414" s="362"/>
      <c r="J7414" s="362"/>
    </row>
    <row r="7415" spans="1:10" x14ac:dyDescent="0.25">
      <c r="A7415" s="362"/>
      <c r="B7415" s="611">
        <v>44589</v>
      </c>
      <c r="C7415" s="362" t="s">
        <v>3435</v>
      </c>
      <c r="D7415" s="562">
        <v>22968538</v>
      </c>
      <c r="E7415" s="562"/>
      <c r="F7415" s="562"/>
      <c r="G7415" s="562">
        <f t="shared" si="442"/>
        <v>22968538</v>
      </c>
      <c r="H7415" s="362"/>
      <c r="I7415" s="362"/>
      <c r="J7415" s="362"/>
    </row>
    <row r="7416" spans="1:10" x14ac:dyDescent="0.25">
      <c r="A7416" s="362"/>
      <c r="B7416" s="611">
        <v>44589</v>
      </c>
      <c r="C7416" s="370" t="s">
        <v>85</v>
      </c>
      <c r="D7416" s="562">
        <v>39722500</v>
      </c>
      <c r="E7416" s="562"/>
      <c r="F7416" s="562"/>
      <c r="G7416" s="562">
        <f t="shared" si="442"/>
        <v>39722500</v>
      </c>
      <c r="H7416" s="362"/>
      <c r="I7416" s="362"/>
      <c r="J7416" s="362"/>
    </row>
    <row r="7417" spans="1:10" x14ac:dyDescent="0.25">
      <c r="A7417" s="532"/>
      <c r="B7417" s="532"/>
      <c r="C7417" s="532"/>
      <c r="D7417" s="564">
        <f>SUM(D7402:D7416)</f>
        <v>2048386397</v>
      </c>
      <c r="E7417" s="564">
        <f t="shared" ref="E7417:G7417" si="445">SUM(E7402:E7416)</f>
        <v>752153389</v>
      </c>
      <c r="F7417" s="564">
        <f t="shared" si="445"/>
        <v>0</v>
      </c>
      <c r="G7417" s="564">
        <f t="shared" si="445"/>
        <v>2800539786</v>
      </c>
      <c r="H7417" s="532"/>
      <c r="I7417" s="532"/>
      <c r="J7417" s="532"/>
    </row>
    <row r="7418" spans="1:10" x14ac:dyDescent="0.25">
      <c r="A7418" s="362"/>
      <c r="B7418" s="611">
        <v>44590</v>
      </c>
      <c r="C7418" s="362" t="s">
        <v>86</v>
      </c>
      <c r="D7418" s="562">
        <v>33528665</v>
      </c>
      <c r="E7418" s="562">
        <v>49276621</v>
      </c>
      <c r="F7418" s="562"/>
      <c r="G7418" s="562">
        <f t="shared" si="442"/>
        <v>82805286</v>
      </c>
      <c r="H7418" s="362"/>
      <c r="I7418" s="362"/>
      <c r="J7418" s="362"/>
    </row>
    <row r="7419" spans="1:10" x14ac:dyDescent="0.25">
      <c r="A7419" s="362"/>
      <c r="B7419" s="611">
        <v>44590</v>
      </c>
      <c r="C7419" s="362" t="s">
        <v>87</v>
      </c>
      <c r="D7419" s="562">
        <v>98054025</v>
      </c>
      <c r="E7419" s="562">
        <v>231539487</v>
      </c>
      <c r="F7419" s="562"/>
      <c r="G7419" s="562">
        <f t="shared" si="442"/>
        <v>329593512</v>
      </c>
      <c r="H7419" s="362"/>
      <c r="I7419" s="362"/>
      <c r="J7419" s="362"/>
    </row>
    <row r="7420" spans="1:10" x14ac:dyDescent="0.25">
      <c r="A7420" s="362"/>
      <c r="B7420" s="611">
        <v>44590</v>
      </c>
      <c r="C7420" s="362" t="s">
        <v>88</v>
      </c>
      <c r="D7420" s="562">
        <v>139470546</v>
      </c>
      <c r="E7420" s="562">
        <v>42760975</v>
      </c>
      <c r="F7420" s="562"/>
      <c r="G7420" s="562">
        <f t="shared" si="442"/>
        <v>182231521</v>
      </c>
      <c r="H7420" s="362"/>
      <c r="I7420" s="362"/>
      <c r="J7420" s="362"/>
    </row>
    <row r="7421" spans="1:10" x14ac:dyDescent="0.25">
      <c r="A7421" s="362"/>
      <c r="B7421" s="611">
        <v>44590</v>
      </c>
      <c r="C7421" s="362" t="s">
        <v>82</v>
      </c>
      <c r="D7421" s="562">
        <v>94184821</v>
      </c>
      <c r="E7421" s="562">
        <v>25245915</v>
      </c>
      <c r="F7421" s="562"/>
      <c r="G7421" s="562">
        <f t="shared" si="442"/>
        <v>119430736</v>
      </c>
      <c r="H7421" s="362"/>
      <c r="I7421" s="362"/>
      <c r="J7421" s="362"/>
    </row>
    <row r="7422" spans="1:10" x14ac:dyDescent="0.25">
      <c r="A7422" s="362"/>
      <c r="B7422" s="611">
        <v>44590</v>
      </c>
      <c r="C7422" s="362" t="s">
        <v>80</v>
      </c>
      <c r="D7422" s="562">
        <v>304046347</v>
      </c>
      <c r="E7422" s="562">
        <v>5232600</v>
      </c>
      <c r="F7422" s="562"/>
      <c r="G7422" s="562">
        <f t="shared" si="442"/>
        <v>309278947</v>
      </c>
      <c r="H7422" s="362"/>
      <c r="I7422" s="362"/>
      <c r="J7422" s="362"/>
    </row>
    <row r="7423" spans="1:10" x14ac:dyDescent="0.25">
      <c r="A7423" s="362"/>
      <c r="B7423" s="611">
        <v>44590</v>
      </c>
      <c r="C7423" s="362" t="s">
        <v>83</v>
      </c>
      <c r="D7423" s="562">
        <v>194479544</v>
      </c>
      <c r="E7423" s="562">
        <v>99046756</v>
      </c>
      <c r="F7423" s="562"/>
      <c r="G7423" s="562">
        <f t="shared" si="442"/>
        <v>293526300</v>
      </c>
      <c r="H7423" s="362"/>
      <c r="I7423" s="362"/>
      <c r="J7423" s="362"/>
    </row>
    <row r="7424" spans="1:10" x14ac:dyDescent="0.25">
      <c r="A7424" s="362"/>
      <c r="B7424" s="611">
        <v>44590</v>
      </c>
      <c r="C7424" s="362" t="s">
        <v>78</v>
      </c>
      <c r="D7424" s="562">
        <v>167670978</v>
      </c>
      <c r="E7424" s="562">
        <v>19322022</v>
      </c>
      <c r="F7424" s="562"/>
      <c r="G7424" s="562">
        <f t="shared" si="442"/>
        <v>186993000</v>
      </c>
      <c r="H7424" s="362"/>
      <c r="I7424" s="362"/>
      <c r="J7424" s="362"/>
    </row>
    <row r="7425" spans="1:10" x14ac:dyDescent="0.25">
      <c r="A7425" s="362"/>
      <c r="B7425" s="611">
        <v>44590</v>
      </c>
      <c r="C7425" s="362" t="s">
        <v>141</v>
      </c>
      <c r="D7425" s="562">
        <v>56540410</v>
      </c>
      <c r="E7425" s="562"/>
      <c r="F7425" s="562"/>
      <c r="G7425" s="562">
        <f t="shared" si="442"/>
        <v>56540410</v>
      </c>
      <c r="H7425" s="362"/>
      <c r="I7425" s="362"/>
      <c r="J7425" s="362"/>
    </row>
    <row r="7426" spans="1:10" x14ac:dyDescent="0.25">
      <c r="A7426" s="362"/>
      <c r="B7426" s="611">
        <v>44590</v>
      </c>
      <c r="C7426" s="362" t="s">
        <v>89</v>
      </c>
      <c r="D7426" s="562">
        <v>135318499</v>
      </c>
      <c r="E7426" s="562">
        <v>50920301</v>
      </c>
      <c r="F7426" s="562"/>
      <c r="G7426" s="562">
        <f t="shared" si="442"/>
        <v>186238800</v>
      </c>
      <c r="H7426" s="362"/>
      <c r="I7426" s="362"/>
      <c r="J7426" s="362"/>
    </row>
    <row r="7427" spans="1:10" x14ac:dyDescent="0.25">
      <c r="A7427" s="362"/>
      <c r="B7427" s="611">
        <v>44590</v>
      </c>
      <c r="C7427" s="362" t="s">
        <v>81</v>
      </c>
      <c r="D7427" s="562">
        <v>173583205</v>
      </c>
      <c r="E7427" s="562">
        <v>61077840</v>
      </c>
      <c r="F7427" s="562"/>
      <c r="G7427" s="562">
        <f t="shared" si="442"/>
        <v>234661045</v>
      </c>
      <c r="H7427" s="362"/>
      <c r="I7427" s="362"/>
      <c r="J7427" s="362"/>
    </row>
    <row r="7428" spans="1:10" x14ac:dyDescent="0.25">
      <c r="A7428" s="362"/>
      <c r="B7428" s="611">
        <v>44590</v>
      </c>
      <c r="C7428" s="362" t="s">
        <v>84</v>
      </c>
      <c r="D7428" s="562">
        <v>296130449</v>
      </c>
      <c r="E7428" s="562">
        <v>17262427</v>
      </c>
      <c r="F7428" s="562"/>
      <c r="G7428" s="562">
        <f t="shared" si="442"/>
        <v>313392876</v>
      </c>
      <c r="H7428" s="362"/>
      <c r="I7428" s="362"/>
      <c r="J7428" s="362"/>
    </row>
    <row r="7429" spans="1:10" x14ac:dyDescent="0.25">
      <c r="A7429" s="362"/>
      <c r="B7429" s="611">
        <v>44590</v>
      </c>
      <c r="C7429" s="362" t="s">
        <v>4751</v>
      </c>
      <c r="D7429" s="562">
        <v>248146445</v>
      </c>
      <c r="E7429" s="562">
        <v>17543655</v>
      </c>
      <c r="F7429" s="562"/>
      <c r="G7429" s="562">
        <f t="shared" si="442"/>
        <v>265690100</v>
      </c>
      <c r="H7429" s="362"/>
      <c r="I7429" s="362"/>
      <c r="J7429" s="362"/>
    </row>
    <row r="7430" spans="1:10" x14ac:dyDescent="0.25">
      <c r="A7430" s="362"/>
      <c r="B7430" s="611">
        <v>44590</v>
      </c>
      <c r="C7430" s="362" t="s">
        <v>166</v>
      </c>
      <c r="D7430" s="562"/>
      <c r="E7430" s="562"/>
      <c r="F7430" s="562"/>
      <c r="G7430" s="562">
        <f t="shared" si="442"/>
        <v>0</v>
      </c>
      <c r="H7430" s="362"/>
      <c r="I7430" s="362"/>
      <c r="J7430" s="362"/>
    </row>
    <row r="7431" spans="1:10" x14ac:dyDescent="0.25">
      <c r="A7431" s="362"/>
      <c r="B7431" s="611">
        <v>44590</v>
      </c>
      <c r="C7431" s="362" t="s">
        <v>3435</v>
      </c>
      <c r="D7431" s="562"/>
      <c r="E7431" s="562"/>
      <c r="F7431" s="562"/>
      <c r="G7431" s="562">
        <f t="shared" si="442"/>
        <v>0</v>
      </c>
      <c r="H7431" s="362"/>
      <c r="I7431" s="362"/>
      <c r="J7431" s="362"/>
    </row>
    <row r="7432" spans="1:10" x14ac:dyDescent="0.25">
      <c r="A7432" s="362"/>
      <c r="B7432" s="611">
        <v>44590</v>
      </c>
      <c r="C7432" s="370" t="s">
        <v>85</v>
      </c>
      <c r="D7432" s="562">
        <v>36064500</v>
      </c>
      <c r="E7432" s="562"/>
      <c r="F7432" s="562"/>
      <c r="G7432" s="562">
        <f t="shared" si="442"/>
        <v>36064500</v>
      </c>
      <c r="H7432" s="362"/>
      <c r="I7432" s="362"/>
      <c r="J7432" s="362"/>
    </row>
    <row r="7433" spans="1:10" x14ac:dyDescent="0.25">
      <c r="A7433" s="532"/>
      <c r="B7433" s="532"/>
      <c r="C7433" s="532"/>
      <c r="D7433" s="564">
        <f>SUM(D7418:D7432)</f>
        <v>1977218434</v>
      </c>
      <c r="E7433" s="564">
        <f t="shared" ref="E7433:G7433" si="446">SUM(E7418:E7432)</f>
        <v>619228599</v>
      </c>
      <c r="F7433" s="564">
        <f t="shared" si="446"/>
        <v>0</v>
      </c>
      <c r="G7433" s="564">
        <f t="shared" si="446"/>
        <v>2596447033</v>
      </c>
      <c r="H7433" s="532"/>
      <c r="I7433" s="532"/>
      <c r="J7433" s="532"/>
    </row>
    <row r="7434" spans="1:10" x14ac:dyDescent="0.25">
      <c r="A7434" s="362"/>
      <c r="B7434" s="611">
        <v>44592</v>
      </c>
      <c r="C7434" s="362" t="s">
        <v>86</v>
      </c>
      <c r="D7434" s="562">
        <v>72569475</v>
      </c>
      <c r="E7434" s="562">
        <v>119433000</v>
      </c>
      <c r="F7434" s="562">
        <v>192002500</v>
      </c>
      <c r="G7434" s="562">
        <f t="shared" si="442"/>
        <v>-25</v>
      </c>
      <c r="H7434" s="362"/>
      <c r="I7434" s="362"/>
      <c r="J7434" s="362"/>
    </row>
    <row r="7435" spans="1:10" x14ac:dyDescent="0.25">
      <c r="A7435" s="362"/>
      <c r="B7435" s="611">
        <v>44592</v>
      </c>
      <c r="C7435" s="362" t="s">
        <v>87</v>
      </c>
      <c r="D7435" s="562">
        <v>161699191</v>
      </c>
      <c r="E7435" s="562">
        <v>90044894</v>
      </c>
      <c r="F7435" s="562">
        <v>251744100</v>
      </c>
      <c r="G7435" s="562">
        <f t="shared" si="442"/>
        <v>-15</v>
      </c>
      <c r="H7435" s="362"/>
      <c r="I7435" s="362"/>
      <c r="J7435" s="362"/>
    </row>
    <row r="7436" spans="1:10" x14ac:dyDescent="0.25">
      <c r="A7436" s="362"/>
      <c r="B7436" s="611">
        <v>44592</v>
      </c>
      <c r="C7436" s="362" t="s">
        <v>88</v>
      </c>
      <c r="D7436" s="562">
        <v>161982803</v>
      </c>
      <c r="E7436" s="562">
        <v>7713029</v>
      </c>
      <c r="F7436" s="562">
        <v>169695900</v>
      </c>
      <c r="G7436" s="562">
        <f t="shared" ref="G7436:G7499" si="447">D7436+E7436-F7436</f>
        <v>-68</v>
      </c>
      <c r="H7436" s="362"/>
      <c r="I7436" s="362"/>
      <c r="J7436" s="362"/>
    </row>
    <row r="7437" spans="1:10" x14ac:dyDescent="0.25">
      <c r="A7437" s="362"/>
      <c r="B7437" s="611">
        <v>44592</v>
      </c>
      <c r="C7437" s="362" t="s">
        <v>82</v>
      </c>
      <c r="D7437" s="562">
        <v>55967849</v>
      </c>
      <c r="E7437" s="562">
        <v>1785158</v>
      </c>
      <c r="F7437" s="562">
        <v>57753100</v>
      </c>
      <c r="G7437" s="562">
        <f t="shared" si="447"/>
        <v>-93</v>
      </c>
      <c r="H7437" s="362"/>
      <c r="I7437" s="362"/>
      <c r="J7437" s="362"/>
    </row>
    <row r="7438" spans="1:10" x14ac:dyDescent="0.25">
      <c r="A7438" s="362"/>
      <c r="B7438" s="611">
        <v>44592</v>
      </c>
      <c r="C7438" s="362" t="s">
        <v>80</v>
      </c>
      <c r="D7438" s="562">
        <v>239249524</v>
      </c>
      <c r="E7438" s="562">
        <v>14151876</v>
      </c>
      <c r="F7438" s="562">
        <v>253401400</v>
      </c>
      <c r="G7438" s="562">
        <f t="shared" si="447"/>
        <v>0</v>
      </c>
      <c r="H7438" s="362"/>
      <c r="I7438" s="362"/>
      <c r="J7438" s="362"/>
    </row>
    <row r="7439" spans="1:10" x14ac:dyDescent="0.25">
      <c r="A7439" s="362"/>
      <c r="B7439" s="611">
        <v>44592</v>
      </c>
      <c r="C7439" s="362" t="s">
        <v>83</v>
      </c>
      <c r="D7439" s="562">
        <v>133824022</v>
      </c>
      <c r="E7439" s="562">
        <v>19308535</v>
      </c>
      <c r="F7439" s="562">
        <v>153132600</v>
      </c>
      <c r="G7439" s="562">
        <f t="shared" si="447"/>
        <v>-43</v>
      </c>
      <c r="H7439" s="362"/>
      <c r="I7439" s="362"/>
      <c r="J7439" s="362"/>
    </row>
    <row r="7440" spans="1:10" x14ac:dyDescent="0.25">
      <c r="A7440" s="362"/>
      <c r="B7440" s="611">
        <v>44592</v>
      </c>
      <c r="C7440" s="362" t="s">
        <v>78</v>
      </c>
      <c r="D7440" s="562">
        <v>169872135</v>
      </c>
      <c r="E7440" s="562">
        <v>1212265</v>
      </c>
      <c r="F7440" s="562">
        <v>171084400</v>
      </c>
      <c r="G7440" s="562">
        <f t="shared" si="447"/>
        <v>0</v>
      </c>
      <c r="H7440" s="362"/>
      <c r="I7440" s="362"/>
      <c r="J7440" s="362"/>
    </row>
    <row r="7441" spans="1:10" x14ac:dyDescent="0.25">
      <c r="A7441" s="362"/>
      <c r="B7441" s="611">
        <v>44592</v>
      </c>
      <c r="C7441" s="362" t="s">
        <v>141</v>
      </c>
      <c r="D7441" s="562">
        <v>140119285</v>
      </c>
      <c r="E7441" s="562"/>
      <c r="F7441" s="562">
        <v>140119300</v>
      </c>
      <c r="G7441" s="562">
        <f t="shared" si="447"/>
        <v>-15</v>
      </c>
      <c r="H7441" s="362"/>
      <c r="I7441" s="362"/>
      <c r="J7441" s="362"/>
    </row>
    <row r="7442" spans="1:10" x14ac:dyDescent="0.25">
      <c r="A7442" s="362"/>
      <c r="B7442" s="611">
        <v>44592</v>
      </c>
      <c r="C7442" s="362" t="s">
        <v>89</v>
      </c>
      <c r="D7442" s="562">
        <v>162735094</v>
      </c>
      <c r="E7442" s="562">
        <v>26379006</v>
      </c>
      <c r="F7442" s="562">
        <v>189114100</v>
      </c>
      <c r="G7442" s="562">
        <f t="shared" si="447"/>
        <v>0</v>
      </c>
      <c r="H7442" s="362"/>
      <c r="I7442" s="362"/>
      <c r="J7442" s="362"/>
    </row>
    <row r="7443" spans="1:10" x14ac:dyDescent="0.25">
      <c r="A7443" s="362"/>
      <c r="B7443" s="611">
        <v>44592</v>
      </c>
      <c r="C7443" s="362" t="s">
        <v>81</v>
      </c>
      <c r="D7443" s="562">
        <v>124009728</v>
      </c>
      <c r="E7443" s="562">
        <v>17393408</v>
      </c>
      <c r="F7443" s="562">
        <v>141403200</v>
      </c>
      <c r="G7443" s="562">
        <f t="shared" si="447"/>
        <v>-64</v>
      </c>
      <c r="H7443" s="362"/>
      <c r="I7443" s="362"/>
      <c r="J7443" s="362"/>
    </row>
    <row r="7444" spans="1:10" x14ac:dyDescent="0.25">
      <c r="A7444" s="362"/>
      <c r="B7444" s="611">
        <v>44592</v>
      </c>
      <c r="C7444" s="362" t="s">
        <v>84</v>
      </c>
      <c r="D7444" s="562">
        <v>368397258</v>
      </c>
      <c r="E7444" s="562">
        <v>15989718</v>
      </c>
      <c r="F7444" s="562">
        <v>384387000</v>
      </c>
      <c r="G7444" s="562">
        <f t="shared" si="447"/>
        <v>-24</v>
      </c>
      <c r="H7444" s="362"/>
      <c r="I7444" s="362"/>
      <c r="J7444" s="362"/>
    </row>
    <row r="7445" spans="1:10" x14ac:dyDescent="0.25">
      <c r="A7445" s="362"/>
      <c r="B7445" s="611">
        <v>44592</v>
      </c>
      <c r="C7445" s="362" t="s">
        <v>4751</v>
      </c>
      <c r="D7445" s="562">
        <v>264230034</v>
      </c>
      <c r="E7445" s="562">
        <v>7783966</v>
      </c>
      <c r="F7445" s="562">
        <v>272014000</v>
      </c>
      <c r="G7445" s="562">
        <f t="shared" si="447"/>
        <v>0</v>
      </c>
      <c r="H7445" s="362"/>
      <c r="I7445" s="362"/>
      <c r="J7445" s="362"/>
    </row>
    <row r="7446" spans="1:10" x14ac:dyDescent="0.25">
      <c r="A7446" s="362"/>
      <c r="B7446" s="611">
        <v>44592</v>
      </c>
      <c r="C7446" s="362" t="s">
        <v>166</v>
      </c>
      <c r="D7446" s="562">
        <v>84648753</v>
      </c>
      <c r="E7446" s="562"/>
      <c r="F7446" s="562">
        <v>84649000</v>
      </c>
      <c r="G7446" s="562">
        <f t="shared" si="447"/>
        <v>-247</v>
      </c>
      <c r="H7446" s="362"/>
      <c r="I7446" s="362"/>
      <c r="J7446" s="362"/>
    </row>
    <row r="7447" spans="1:10" x14ac:dyDescent="0.25">
      <c r="A7447" s="362"/>
      <c r="B7447" s="611">
        <v>44592</v>
      </c>
      <c r="C7447" s="362" t="s">
        <v>3435</v>
      </c>
      <c r="D7447" s="562">
        <v>33785968</v>
      </c>
      <c r="E7447" s="562"/>
      <c r="F7447" s="562">
        <v>33786000</v>
      </c>
      <c r="G7447" s="562">
        <f t="shared" si="447"/>
        <v>-32</v>
      </c>
      <c r="H7447" s="362"/>
      <c r="I7447" s="362"/>
      <c r="J7447" s="362"/>
    </row>
    <row r="7448" spans="1:10" x14ac:dyDescent="0.25">
      <c r="A7448" s="362"/>
      <c r="B7448" s="611">
        <v>44592</v>
      </c>
      <c r="C7448" s="370" t="s">
        <v>85</v>
      </c>
      <c r="D7448" s="562">
        <v>66206000</v>
      </c>
      <c r="E7448" s="562"/>
      <c r="F7448" s="562">
        <v>66206000</v>
      </c>
      <c r="G7448" s="562">
        <f t="shared" si="447"/>
        <v>0</v>
      </c>
      <c r="H7448" s="362"/>
      <c r="I7448" s="362"/>
      <c r="J7448" s="362"/>
    </row>
    <row r="7449" spans="1:10" x14ac:dyDescent="0.25">
      <c r="A7449" s="532"/>
      <c r="B7449" s="532"/>
      <c r="C7449" s="532"/>
      <c r="D7449" s="564">
        <f>SUM(D7434:D7448)</f>
        <v>2239297119</v>
      </c>
      <c r="E7449" s="564">
        <f t="shared" ref="E7449:G7449" si="448">SUM(E7434:E7448)</f>
        <v>321194855</v>
      </c>
      <c r="F7449" s="564">
        <f t="shared" si="448"/>
        <v>2560492600</v>
      </c>
      <c r="G7449" s="564">
        <f t="shared" si="448"/>
        <v>-626</v>
      </c>
      <c r="H7449" s="532"/>
      <c r="I7449" s="532"/>
      <c r="J7449" s="532"/>
    </row>
    <row r="7450" spans="1:10" x14ac:dyDescent="0.25">
      <c r="A7450" s="362"/>
      <c r="B7450" s="611">
        <v>44593</v>
      </c>
      <c r="C7450" s="362" t="s">
        <v>86</v>
      </c>
      <c r="D7450" s="562">
        <v>72590506</v>
      </c>
      <c r="E7450" s="562">
        <v>25862950</v>
      </c>
      <c r="F7450" s="562">
        <v>98453400</v>
      </c>
      <c r="G7450" s="562">
        <f t="shared" si="447"/>
        <v>56</v>
      </c>
      <c r="H7450" s="362"/>
      <c r="I7450" s="362"/>
      <c r="J7450" s="362"/>
    </row>
    <row r="7451" spans="1:10" x14ac:dyDescent="0.25">
      <c r="A7451" s="362"/>
      <c r="B7451" s="611">
        <v>44593</v>
      </c>
      <c r="C7451" s="362" t="s">
        <v>87</v>
      </c>
      <c r="D7451" s="562">
        <v>92930889</v>
      </c>
      <c r="E7451" s="562">
        <v>50165352</v>
      </c>
      <c r="F7451" s="562">
        <v>143096200</v>
      </c>
      <c r="G7451" s="562">
        <f t="shared" si="447"/>
        <v>41</v>
      </c>
      <c r="H7451" s="362"/>
      <c r="I7451" s="362"/>
      <c r="J7451" s="362"/>
    </row>
    <row r="7452" spans="1:10" x14ac:dyDescent="0.25">
      <c r="A7452" s="362"/>
      <c r="B7452" s="611">
        <v>44593</v>
      </c>
      <c r="C7452" s="362" t="s">
        <v>88</v>
      </c>
      <c r="D7452" s="562">
        <v>100907569</v>
      </c>
      <c r="E7452" s="562">
        <v>14632485</v>
      </c>
      <c r="F7452" s="562">
        <v>115540100</v>
      </c>
      <c r="G7452" s="562">
        <f t="shared" si="447"/>
        <v>-46</v>
      </c>
      <c r="H7452" s="362"/>
      <c r="I7452" s="362"/>
      <c r="J7452" s="362"/>
    </row>
    <row r="7453" spans="1:10" x14ac:dyDescent="0.25">
      <c r="A7453" s="362"/>
      <c r="B7453" s="611">
        <v>44593</v>
      </c>
      <c r="C7453" s="362" t="s">
        <v>82</v>
      </c>
      <c r="D7453" s="562">
        <v>184904789</v>
      </c>
      <c r="E7453" s="562">
        <v>11814369</v>
      </c>
      <c r="F7453" s="562">
        <v>196719200</v>
      </c>
      <c r="G7453" s="562">
        <f t="shared" si="447"/>
        <v>-42</v>
      </c>
      <c r="H7453" s="362"/>
      <c r="I7453" s="362"/>
      <c r="J7453" s="362"/>
    </row>
    <row r="7454" spans="1:10" x14ac:dyDescent="0.25">
      <c r="A7454" s="362"/>
      <c r="B7454" s="611">
        <v>44593</v>
      </c>
      <c r="C7454" s="362" t="s">
        <v>80</v>
      </c>
      <c r="D7454" s="562">
        <v>201255126</v>
      </c>
      <c r="E7454" s="562">
        <v>576015</v>
      </c>
      <c r="F7454" s="562">
        <v>201837200</v>
      </c>
      <c r="G7454" s="562">
        <f t="shared" si="447"/>
        <v>-6059</v>
      </c>
      <c r="H7454" s="362"/>
      <c r="I7454" s="362"/>
      <c r="J7454" s="362"/>
    </row>
    <row r="7455" spans="1:10" x14ac:dyDescent="0.25">
      <c r="A7455" s="362"/>
      <c r="B7455" s="611">
        <v>44593</v>
      </c>
      <c r="C7455" s="362" t="s">
        <v>83</v>
      </c>
      <c r="D7455" s="562">
        <v>154235634</v>
      </c>
      <c r="E7455" s="562">
        <v>16827878</v>
      </c>
      <c r="F7455" s="562">
        <v>171063500</v>
      </c>
      <c r="G7455" s="562">
        <f t="shared" si="447"/>
        <v>12</v>
      </c>
      <c r="H7455" s="362"/>
      <c r="I7455" s="362"/>
      <c r="J7455" s="362"/>
    </row>
    <row r="7456" spans="1:10" x14ac:dyDescent="0.25">
      <c r="A7456" s="362"/>
      <c r="B7456" s="611">
        <v>44593</v>
      </c>
      <c r="C7456" s="362" t="s">
        <v>78</v>
      </c>
      <c r="D7456" s="562">
        <v>165232474</v>
      </c>
      <c r="E7456" s="562">
        <v>3216126</v>
      </c>
      <c r="F7456" s="562">
        <v>168448600</v>
      </c>
      <c r="G7456" s="562">
        <f t="shared" si="447"/>
        <v>0</v>
      </c>
      <c r="H7456" s="362"/>
      <c r="I7456" s="362"/>
      <c r="J7456" s="362"/>
    </row>
    <row r="7457" spans="1:10" x14ac:dyDescent="0.25">
      <c r="A7457" s="362"/>
      <c r="B7457" s="611">
        <v>44593</v>
      </c>
      <c r="C7457" s="362" t="s">
        <v>141</v>
      </c>
      <c r="D7457" s="562">
        <v>71420957</v>
      </c>
      <c r="E7457" s="562"/>
      <c r="F7457" s="562">
        <v>71421100</v>
      </c>
      <c r="G7457" s="562">
        <f t="shared" si="447"/>
        <v>-143</v>
      </c>
      <c r="H7457" s="362"/>
      <c r="I7457" s="362"/>
      <c r="J7457" s="362"/>
    </row>
    <row r="7458" spans="1:10" x14ac:dyDescent="0.25">
      <c r="A7458" s="362"/>
      <c r="B7458" s="611">
        <v>44593</v>
      </c>
      <c r="C7458" s="362" t="s">
        <v>89</v>
      </c>
      <c r="D7458" s="562">
        <v>139469499</v>
      </c>
      <c r="E7458" s="562">
        <v>7306301</v>
      </c>
      <c r="F7458" s="562">
        <v>146775800</v>
      </c>
      <c r="G7458" s="562">
        <f t="shared" si="447"/>
        <v>0</v>
      </c>
      <c r="H7458" s="362"/>
      <c r="I7458" s="362"/>
      <c r="J7458" s="362"/>
    </row>
    <row r="7459" spans="1:10" x14ac:dyDescent="0.25">
      <c r="A7459" s="362"/>
      <c r="B7459" s="611">
        <v>44593</v>
      </c>
      <c r="C7459" s="362" t="s">
        <v>81</v>
      </c>
      <c r="D7459" s="562">
        <v>66306124</v>
      </c>
      <c r="E7459" s="562">
        <v>10482391</v>
      </c>
      <c r="F7459" s="562">
        <v>76788500</v>
      </c>
      <c r="G7459" s="562">
        <f t="shared" si="447"/>
        <v>15</v>
      </c>
      <c r="H7459" s="362"/>
      <c r="I7459" s="362"/>
      <c r="J7459" s="362"/>
    </row>
    <row r="7460" spans="1:10" x14ac:dyDescent="0.25">
      <c r="A7460" s="362"/>
      <c r="B7460" s="611">
        <v>44593</v>
      </c>
      <c r="C7460" s="362" t="s">
        <v>84</v>
      </c>
      <c r="D7460" s="562">
        <v>217667615</v>
      </c>
      <c r="E7460" s="562">
        <v>19121225</v>
      </c>
      <c r="F7460" s="562">
        <v>236788900</v>
      </c>
      <c r="G7460" s="562">
        <f t="shared" si="447"/>
        <v>-60</v>
      </c>
      <c r="H7460" s="362"/>
      <c r="I7460" s="362"/>
      <c r="J7460" s="362"/>
    </row>
    <row r="7461" spans="1:10" x14ac:dyDescent="0.25">
      <c r="A7461" s="362"/>
      <c r="B7461" s="611">
        <v>44593</v>
      </c>
      <c r="C7461" s="362" t="s">
        <v>4751</v>
      </c>
      <c r="D7461" s="562">
        <v>215955875</v>
      </c>
      <c r="E7461" s="562">
        <v>7208925</v>
      </c>
      <c r="F7461" s="562">
        <v>223164800</v>
      </c>
      <c r="G7461" s="562">
        <f t="shared" si="447"/>
        <v>0</v>
      </c>
      <c r="H7461" s="362"/>
      <c r="I7461" s="362"/>
      <c r="J7461" s="362"/>
    </row>
    <row r="7462" spans="1:10" x14ac:dyDescent="0.25">
      <c r="A7462" s="362"/>
      <c r="B7462" s="611">
        <v>44593</v>
      </c>
      <c r="C7462" s="362" t="s">
        <v>166</v>
      </c>
      <c r="D7462" s="562">
        <v>78841652</v>
      </c>
      <c r="E7462" s="562"/>
      <c r="F7462" s="562">
        <v>78841700</v>
      </c>
      <c r="G7462" s="562">
        <f t="shared" si="447"/>
        <v>-48</v>
      </c>
      <c r="H7462" s="362"/>
      <c r="I7462" s="362"/>
      <c r="J7462" s="362"/>
    </row>
    <row r="7463" spans="1:10" x14ac:dyDescent="0.25">
      <c r="A7463" s="362"/>
      <c r="B7463" s="611">
        <v>44593</v>
      </c>
      <c r="C7463" s="362" t="s">
        <v>3435</v>
      </c>
      <c r="D7463" s="562">
        <v>22163071</v>
      </c>
      <c r="E7463" s="562"/>
      <c r="F7463" s="562">
        <v>22163100</v>
      </c>
      <c r="G7463" s="562">
        <f t="shared" si="447"/>
        <v>-29</v>
      </c>
      <c r="H7463" s="362"/>
      <c r="I7463" s="362"/>
      <c r="J7463" s="362"/>
    </row>
    <row r="7464" spans="1:10" x14ac:dyDescent="0.25">
      <c r="A7464" s="362"/>
      <c r="B7464" s="611">
        <v>44593</v>
      </c>
      <c r="C7464" s="370" t="s">
        <v>85</v>
      </c>
      <c r="D7464" s="562">
        <v>51141500</v>
      </c>
      <c r="E7464" s="562"/>
      <c r="F7464" s="562">
        <v>51141500</v>
      </c>
      <c r="G7464" s="562">
        <f t="shared" si="447"/>
        <v>0</v>
      </c>
      <c r="H7464" s="362"/>
      <c r="I7464" s="362"/>
      <c r="J7464" s="362"/>
    </row>
    <row r="7465" spans="1:10" x14ac:dyDescent="0.25">
      <c r="A7465" s="532"/>
      <c r="B7465" s="532"/>
      <c r="C7465" s="532"/>
      <c r="D7465" s="564">
        <f>SUM(D7450:D7464)</f>
        <v>1835023280</v>
      </c>
      <c r="E7465" s="564">
        <f t="shared" ref="E7465:G7465" si="449">SUM(E7450:E7464)</f>
        <v>167214017</v>
      </c>
      <c r="F7465" s="564">
        <f t="shared" si="449"/>
        <v>2002243600</v>
      </c>
      <c r="G7465" s="564">
        <f t="shared" si="449"/>
        <v>-6303</v>
      </c>
      <c r="H7465" s="532"/>
      <c r="I7465" s="532"/>
      <c r="J7465" s="532"/>
    </row>
    <row r="7466" spans="1:10" x14ac:dyDescent="0.25">
      <c r="A7466" s="362"/>
      <c r="B7466" s="611">
        <v>44594</v>
      </c>
      <c r="C7466" s="362" t="s">
        <v>86</v>
      </c>
      <c r="D7466" s="562">
        <v>108577297</v>
      </c>
      <c r="E7466" s="562">
        <v>17320100</v>
      </c>
      <c r="F7466" s="562"/>
      <c r="G7466" s="562">
        <f t="shared" si="447"/>
        <v>125897397</v>
      </c>
      <c r="H7466" s="362"/>
      <c r="I7466" s="362"/>
      <c r="J7466" s="362"/>
    </row>
    <row r="7467" spans="1:10" x14ac:dyDescent="0.25">
      <c r="A7467" s="362"/>
      <c r="B7467" s="611">
        <v>44594</v>
      </c>
      <c r="C7467" s="362" t="s">
        <v>87</v>
      </c>
      <c r="D7467" s="562">
        <v>61020844</v>
      </c>
      <c r="E7467" s="562">
        <v>33763732</v>
      </c>
      <c r="F7467" s="562"/>
      <c r="G7467" s="562">
        <f t="shared" si="447"/>
        <v>94784576</v>
      </c>
      <c r="H7467" s="362"/>
      <c r="I7467" s="362"/>
      <c r="J7467" s="362"/>
    </row>
    <row r="7468" spans="1:10" x14ac:dyDescent="0.25">
      <c r="A7468" s="362"/>
      <c r="B7468" s="611">
        <v>44594</v>
      </c>
      <c r="C7468" s="362" t="s">
        <v>88</v>
      </c>
      <c r="D7468" s="562">
        <v>158005495</v>
      </c>
      <c r="E7468" s="562">
        <v>47204300</v>
      </c>
      <c r="F7468" s="562"/>
      <c r="G7468" s="562">
        <f t="shared" si="447"/>
        <v>205209795</v>
      </c>
      <c r="H7468" s="362"/>
      <c r="I7468" s="362"/>
      <c r="J7468" s="362"/>
    </row>
    <row r="7469" spans="1:10" x14ac:dyDescent="0.25">
      <c r="A7469" s="362"/>
      <c r="B7469" s="611">
        <v>44594</v>
      </c>
      <c r="C7469" s="362" t="s">
        <v>82</v>
      </c>
      <c r="D7469" s="562">
        <v>131786250</v>
      </c>
      <c r="E7469" s="562">
        <v>1038560</v>
      </c>
      <c r="F7469" s="562"/>
      <c r="G7469" s="562">
        <f t="shared" si="447"/>
        <v>132824810</v>
      </c>
      <c r="H7469" s="362"/>
      <c r="I7469" s="362"/>
      <c r="J7469" s="362"/>
    </row>
    <row r="7470" spans="1:10" x14ac:dyDescent="0.25">
      <c r="A7470" s="362"/>
      <c r="B7470" s="611">
        <v>44594</v>
      </c>
      <c r="C7470" s="362" t="s">
        <v>80</v>
      </c>
      <c r="D7470" s="562">
        <v>333178765</v>
      </c>
      <c r="E7470" s="562"/>
      <c r="F7470" s="562"/>
      <c r="G7470" s="562">
        <f t="shared" si="447"/>
        <v>333178765</v>
      </c>
      <c r="H7470" s="362"/>
      <c r="I7470" s="362"/>
      <c r="J7470" s="362"/>
    </row>
    <row r="7471" spans="1:10" x14ac:dyDescent="0.25">
      <c r="A7471" s="362"/>
      <c r="B7471" s="611">
        <v>44594</v>
      </c>
      <c r="C7471" s="362" t="s">
        <v>83</v>
      </c>
      <c r="D7471" s="562">
        <v>133605911</v>
      </c>
      <c r="E7471" s="562">
        <v>14425589</v>
      </c>
      <c r="F7471" s="562"/>
      <c r="G7471" s="562">
        <f t="shared" si="447"/>
        <v>148031500</v>
      </c>
      <c r="H7471" s="362"/>
      <c r="I7471" s="362"/>
      <c r="J7471" s="362"/>
    </row>
    <row r="7472" spans="1:10" x14ac:dyDescent="0.25">
      <c r="A7472" s="362"/>
      <c r="B7472" s="611">
        <v>44594</v>
      </c>
      <c r="C7472" s="362" t="s">
        <v>78</v>
      </c>
      <c r="D7472" s="562">
        <v>289867948</v>
      </c>
      <c r="E7472" s="562">
        <v>5204752</v>
      </c>
      <c r="F7472" s="562"/>
      <c r="G7472" s="562">
        <f t="shared" si="447"/>
        <v>295072700</v>
      </c>
      <c r="H7472" s="362"/>
      <c r="I7472" s="362"/>
      <c r="J7472" s="362"/>
    </row>
    <row r="7473" spans="1:10" x14ac:dyDescent="0.25">
      <c r="A7473" s="362"/>
      <c r="B7473" s="611">
        <v>44594</v>
      </c>
      <c r="C7473" s="362" t="s">
        <v>141</v>
      </c>
      <c r="D7473" s="562">
        <v>219831390</v>
      </c>
      <c r="E7473" s="562"/>
      <c r="F7473" s="562"/>
      <c r="G7473" s="562">
        <f t="shared" si="447"/>
        <v>219831390</v>
      </c>
      <c r="H7473" s="362"/>
      <c r="I7473" s="362"/>
      <c r="J7473" s="362"/>
    </row>
    <row r="7474" spans="1:10" x14ac:dyDescent="0.25">
      <c r="A7474" s="362"/>
      <c r="B7474" s="611">
        <v>44594</v>
      </c>
      <c r="C7474" s="362" t="s">
        <v>89</v>
      </c>
      <c r="D7474" s="562">
        <v>193637765</v>
      </c>
      <c r="E7474" s="562">
        <v>88239935</v>
      </c>
      <c r="F7474" s="562"/>
      <c r="G7474" s="562">
        <f t="shared" si="447"/>
        <v>281877700</v>
      </c>
      <c r="H7474" s="362"/>
      <c r="I7474" s="362"/>
      <c r="J7474" s="362"/>
    </row>
    <row r="7475" spans="1:10" x14ac:dyDescent="0.25">
      <c r="A7475" s="362"/>
      <c r="B7475" s="611">
        <v>44594</v>
      </c>
      <c r="C7475" s="362" t="s">
        <v>81</v>
      </c>
      <c r="D7475" s="562">
        <v>105288610</v>
      </c>
      <c r="E7475" s="562">
        <v>8249120</v>
      </c>
      <c r="F7475" s="562"/>
      <c r="G7475" s="562">
        <f t="shared" si="447"/>
        <v>113537730</v>
      </c>
      <c r="H7475" s="362"/>
      <c r="I7475" s="362"/>
      <c r="J7475" s="362"/>
    </row>
    <row r="7476" spans="1:10" x14ac:dyDescent="0.25">
      <c r="A7476" s="362"/>
      <c r="B7476" s="611">
        <v>44594</v>
      </c>
      <c r="C7476" s="362" t="s">
        <v>84</v>
      </c>
      <c r="D7476" s="562">
        <v>340264252</v>
      </c>
      <c r="E7476" s="562">
        <v>16966478</v>
      </c>
      <c r="F7476" s="562"/>
      <c r="G7476" s="562">
        <f t="shared" si="447"/>
        <v>357230730</v>
      </c>
      <c r="H7476" s="362"/>
      <c r="I7476" s="362"/>
      <c r="J7476" s="362"/>
    </row>
    <row r="7477" spans="1:10" x14ac:dyDescent="0.25">
      <c r="A7477" s="362"/>
      <c r="B7477" s="611">
        <v>44594</v>
      </c>
      <c r="C7477" s="362" t="s">
        <v>4751</v>
      </c>
      <c r="D7477" s="562">
        <v>192417677</v>
      </c>
      <c r="E7477" s="562">
        <v>11768923</v>
      </c>
      <c r="F7477" s="562"/>
      <c r="G7477" s="562">
        <f t="shared" si="447"/>
        <v>204186600</v>
      </c>
      <c r="H7477" s="362"/>
      <c r="I7477" s="362"/>
      <c r="J7477" s="362"/>
    </row>
    <row r="7478" spans="1:10" x14ac:dyDescent="0.25">
      <c r="A7478" s="362"/>
      <c r="B7478" s="611">
        <v>44594</v>
      </c>
      <c r="C7478" s="362" t="s">
        <v>166</v>
      </c>
      <c r="D7478" s="562">
        <v>86544890</v>
      </c>
      <c r="E7478" s="562"/>
      <c r="F7478" s="562"/>
      <c r="G7478" s="562">
        <f t="shared" si="447"/>
        <v>86544890</v>
      </c>
      <c r="H7478" s="362"/>
      <c r="I7478" s="362"/>
      <c r="J7478" s="362"/>
    </row>
    <row r="7479" spans="1:10" x14ac:dyDescent="0.25">
      <c r="A7479" s="362"/>
      <c r="B7479" s="611">
        <v>44594</v>
      </c>
      <c r="C7479" s="362" t="s">
        <v>3435</v>
      </c>
      <c r="D7479" s="562">
        <v>62315810</v>
      </c>
      <c r="E7479" s="562"/>
      <c r="F7479" s="562"/>
      <c r="G7479" s="562">
        <f t="shared" si="447"/>
        <v>62315810</v>
      </c>
      <c r="H7479" s="362"/>
      <c r="I7479" s="362"/>
      <c r="J7479" s="362"/>
    </row>
    <row r="7480" spans="1:10" x14ac:dyDescent="0.25">
      <c r="A7480" s="362"/>
      <c r="B7480" s="611">
        <v>44594</v>
      </c>
      <c r="C7480" s="370" t="s">
        <v>85</v>
      </c>
      <c r="D7480" s="562">
        <v>54850800</v>
      </c>
      <c r="E7480" s="562"/>
      <c r="F7480" s="562"/>
      <c r="G7480" s="562">
        <f t="shared" si="447"/>
        <v>54850800</v>
      </c>
      <c r="H7480" s="362"/>
      <c r="I7480" s="362"/>
      <c r="J7480" s="362"/>
    </row>
    <row r="7481" spans="1:10" x14ac:dyDescent="0.25">
      <c r="A7481" s="532"/>
      <c r="B7481" s="532"/>
      <c r="C7481" s="532"/>
      <c r="D7481" s="564">
        <f>SUM(D7466:D7480)</f>
        <v>2471193704</v>
      </c>
      <c r="E7481" s="564">
        <f t="shared" ref="E7481:G7481" si="450">SUM(E7466:E7480)</f>
        <v>244181489</v>
      </c>
      <c r="F7481" s="564">
        <f t="shared" si="450"/>
        <v>0</v>
      </c>
      <c r="G7481" s="564">
        <f t="shared" si="450"/>
        <v>2715375193</v>
      </c>
      <c r="H7481" s="532"/>
      <c r="I7481" s="532"/>
      <c r="J7481" s="532"/>
    </row>
    <row r="7482" spans="1:10" x14ac:dyDescent="0.25">
      <c r="A7482" s="362"/>
      <c r="B7482" s="611">
        <v>44595</v>
      </c>
      <c r="C7482" s="362" t="s">
        <v>86</v>
      </c>
      <c r="D7482" s="562">
        <v>133339127</v>
      </c>
      <c r="E7482" s="562">
        <v>33151870</v>
      </c>
      <c r="F7482" s="562"/>
      <c r="G7482" s="562">
        <f t="shared" si="447"/>
        <v>166490997</v>
      </c>
      <c r="H7482" s="362"/>
      <c r="I7482" s="362"/>
      <c r="J7482" s="362"/>
    </row>
    <row r="7483" spans="1:10" x14ac:dyDescent="0.25">
      <c r="A7483" s="362"/>
      <c r="B7483" s="611">
        <v>44595</v>
      </c>
      <c r="C7483" s="362" t="s">
        <v>87</v>
      </c>
      <c r="D7483" s="562">
        <v>89417972</v>
      </c>
      <c r="E7483" s="562">
        <v>127192266</v>
      </c>
      <c r="F7483" s="562"/>
      <c r="G7483" s="562">
        <f t="shared" si="447"/>
        <v>216610238</v>
      </c>
      <c r="H7483" s="362"/>
      <c r="I7483" s="362"/>
      <c r="J7483" s="362"/>
    </row>
    <row r="7484" spans="1:10" x14ac:dyDescent="0.25">
      <c r="A7484" s="362"/>
      <c r="B7484" s="611">
        <v>44595</v>
      </c>
      <c r="C7484" s="362" t="s">
        <v>88</v>
      </c>
      <c r="D7484" s="562">
        <v>141892781</v>
      </c>
      <c r="E7484" s="562">
        <v>9012528</v>
      </c>
      <c r="F7484" s="562"/>
      <c r="G7484" s="562">
        <f t="shared" si="447"/>
        <v>150905309</v>
      </c>
      <c r="H7484" s="362"/>
      <c r="I7484" s="362"/>
      <c r="J7484" s="362"/>
    </row>
    <row r="7485" spans="1:10" x14ac:dyDescent="0.25">
      <c r="A7485" s="362"/>
      <c r="B7485" s="611">
        <v>44595</v>
      </c>
      <c r="C7485" s="362" t="s">
        <v>82</v>
      </c>
      <c r="D7485" s="562">
        <v>219541480</v>
      </c>
      <c r="E7485" s="562">
        <v>2388872</v>
      </c>
      <c r="F7485" s="562"/>
      <c r="G7485" s="562">
        <f t="shared" si="447"/>
        <v>221930352</v>
      </c>
      <c r="H7485" s="362"/>
      <c r="I7485" s="362"/>
      <c r="J7485" s="362"/>
    </row>
    <row r="7486" spans="1:10" x14ac:dyDescent="0.25">
      <c r="A7486" s="362"/>
      <c r="B7486" s="611">
        <v>44595</v>
      </c>
      <c r="C7486" s="362" t="s">
        <v>80</v>
      </c>
      <c r="D7486" s="562">
        <v>326449800</v>
      </c>
      <c r="E7486" s="562"/>
      <c r="F7486" s="562"/>
      <c r="G7486" s="562">
        <f t="shared" si="447"/>
        <v>326449800</v>
      </c>
      <c r="H7486" s="362"/>
      <c r="I7486" s="362"/>
      <c r="J7486" s="362"/>
    </row>
    <row r="7487" spans="1:10" x14ac:dyDescent="0.25">
      <c r="A7487" s="362"/>
      <c r="B7487" s="611">
        <v>44595</v>
      </c>
      <c r="C7487" s="362" t="s">
        <v>83</v>
      </c>
      <c r="D7487" s="562">
        <v>120730020</v>
      </c>
      <c r="E7487" s="562">
        <v>14712880</v>
      </c>
      <c r="F7487" s="562"/>
      <c r="G7487" s="562">
        <f t="shared" si="447"/>
        <v>135442900</v>
      </c>
      <c r="H7487" s="362"/>
      <c r="I7487" s="362"/>
      <c r="J7487" s="362"/>
    </row>
    <row r="7488" spans="1:10" x14ac:dyDescent="0.25">
      <c r="A7488" s="362"/>
      <c r="B7488" s="611">
        <v>44595</v>
      </c>
      <c r="C7488" s="362" t="s">
        <v>78</v>
      </c>
      <c r="D7488" s="562">
        <v>120828053</v>
      </c>
      <c r="E7488" s="562">
        <v>3346447</v>
      </c>
      <c r="F7488" s="562"/>
      <c r="G7488" s="562">
        <f t="shared" si="447"/>
        <v>124174500</v>
      </c>
      <c r="H7488" s="362"/>
      <c r="I7488" s="362"/>
      <c r="J7488" s="362"/>
    </row>
    <row r="7489" spans="1:10" x14ac:dyDescent="0.25">
      <c r="A7489" s="362"/>
      <c r="B7489" s="611">
        <v>44595</v>
      </c>
      <c r="C7489" s="362" t="s">
        <v>141</v>
      </c>
      <c r="D7489" s="562">
        <v>96563132</v>
      </c>
      <c r="E7489" s="562"/>
      <c r="F7489" s="562">
        <v>96563200</v>
      </c>
      <c r="G7489" s="562">
        <f t="shared" si="447"/>
        <v>-68</v>
      </c>
      <c r="H7489" s="362"/>
      <c r="I7489" s="362"/>
      <c r="J7489" s="362"/>
    </row>
    <row r="7490" spans="1:10" x14ac:dyDescent="0.25">
      <c r="A7490" s="362"/>
      <c r="B7490" s="611">
        <v>44595</v>
      </c>
      <c r="C7490" s="362" t="s">
        <v>89</v>
      </c>
      <c r="D7490" s="562">
        <v>176203039</v>
      </c>
      <c r="E7490" s="562">
        <v>12537461</v>
      </c>
      <c r="F7490" s="562"/>
      <c r="G7490" s="562">
        <f t="shared" si="447"/>
        <v>188740500</v>
      </c>
      <c r="H7490" s="362"/>
      <c r="I7490" s="362"/>
      <c r="J7490" s="362"/>
    </row>
    <row r="7491" spans="1:10" x14ac:dyDescent="0.25">
      <c r="A7491" s="362"/>
      <c r="B7491" s="611">
        <v>44595</v>
      </c>
      <c r="C7491" s="362" t="s">
        <v>81</v>
      </c>
      <c r="D7491" s="562">
        <v>193812216</v>
      </c>
      <c r="E7491" s="562">
        <v>31178408</v>
      </c>
      <c r="F7491" s="562"/>
      <c r="G7491" s="562">
        <f t="shared" si="447"/>
        <v>224990624</v>
      </c>
      <c r="H7491" s="362"/>
      <c r="I7491" s="362"/>
      <c r="J7491" s="362"/>
    </row>
    <row r="7492" spans="1:10" x14ac:dyDescent="0.25">
      <c r="A7492" s="362"/>
      <c r="B7492" s="611">
        <v>44595</v>
      </c>
      <c r="C7492" s="362" t="s">
        <v>84</v>
      </c>
      <c r="D7492" s="562">
        <v>218967802</v>
      </c>
      <c r="E7492" s="562">
        <v>26675373</v>
      </c>
      <c r="F7492" s="562"/>
      <c r="G7492" s="562">
        <f t="shared" si="447"/>
        <v>245643175</v>
      </c>
      <c r="H7492" s="362"/>
      <c r="I7492" s="362"/>
      <c r="J7492" s="362"/>
    </row>
    <row r="7493" spans="1:10" x14ac:dyDescent="0.25">
      <c r="A7493" s="362"/>
      <c r="B7493" s="611">
        <v>44595</v>
      </c>
      <c r="C7493" s="362" t="s">
        <v>4751</v>
      </c>
      <c r="D7493" s="562">
        <v>188568512</v>
      </c>
      <c r="E7493" s="562">
        <v>11676088</v>
      </c>
      <c r="F7493" s="562"/>
      <c r="G7493" s="562">
        <f t="shared" si="447"/>
        <v>200244600</v>
      </c>
      <c r="H7493" s="362"/>
      <c r="I7493" s="362"/>
      <c r="J7493" s="362"/>
    </row>
    <row r="7494" spans="1:10" x14ac:dyDescent="0.25">
      <c r="A7494" s="362"/>
      <c r="B7494" s="611">
        <v>44595</v>
      </c>
      <c r="C7494" s="362" t="s">
        <v>166</v>
      </c>
      <c r="D7494" s="562">
        <v>110655581</v>
      </c>
      <c r="E7494" s="562"/>
      <c r="F7494" s="562"/>
      <c r="G7494" s="562">
        <f t="shared" si="447"/>
        <v>110655581</v>
      </c>
      <c r="H7494" s="362"/>
      <c r="I7494" s="362"/>
      <c r="J7494" s="362"/>
    </row>
    <row r="7495" spans="1:10" x14ac:dyDescent="0.25">
      <c r="A7495" s="362"/>
      <c r="B7495" s="611">
        <v>44595</v>
      </c>
      <c r="C7495" s="362" t="s">
        <v>3435</v>
      </c>
      <c r="D7495" s="562">
        <v>83622667</v>
      </c>
      <c r="E7495" s="562"/>
      <c r="F7495" s="562"/>
      <c r="G7495" s="562">
        <f t="shared" si="447"/>
        <v>83622667</v>
      </c>
      <c r="H7495" s="362"/>
      <c r="I7495" s="362"/>
      <c r="J7495" s="362"/>
    </row>
    <row r="7496" spans="1:10" x14ac:dyDescent="0.25">
      <c r="A7496" s="362"/>
      <c r="B7496" s="611">
        <v>44595</v>
      </c>
      <c r="C7496" s="370" t="s">
        <v>85</v>
      </c>
      <c r="D7496" s="562">
        <v>27452300</v>
      </c>
      <c r="E7496" s="562"/>
      <c r="F7496" s="562"/>
      <c r="G7496" s="562">
        <f t="shared" si="447"/>
        <v>27452300</v>
      </c>
      <c r="H7496" s="362"/>
      <c r="I7496" s="362"/>
      <c r="J7496" s="362"/>
    </row>
    <row r="7497" spans="1:10" x14ac:dyDescent="0.25">
      <c r="A7497" s="532"/>
      <c r="B7497" s="532"/>
      <c r="C7497" s="532"/>
      <c r="D7497" s="564">
        <f>SUM(D7482:D7496)</f>
        <v>2248044482</v>
      </c>
      <c r="E7497" s="564">
        <f t="shared" ref="E7497:F7497" si="451">SUM(E7482:E7496)</f>
        <v>271872193</v>
      </c>
      <c r="F7497" s="564">
        <f t="shared" si="451"/>
        <v>96563200</v>
      </c>
      <c r="G7497" s="564">
        <f>SUM(G7482:G7496)</f>
        <v>2423353475</v>
      </c>
      <c r="H7497" s="532"/>
      <c r="I7497" s="532"/>
      <c r="J7497" s="532"/>
    </row>
    <row r="7498" spans="1:10" x14ac:dyDescent="0.25">
      <c r="A7498" s="362"/>
      <c r="B7498" s="611">
        <v>44596</v>
      </c>
      <c r="C7498" s="362" t="s">
        <v>86</v>
      </c>
      <c r="D7498" s="562">
        <v>56236671</v>
      </c>
      <c r="E7498" s="562">
        <v>31117600</v>
      </c>
      <c r="F7498" s="562">
        <v>87354400</v>
      </c>
      <c r="G7498" s="562">
        <f t="shared" si="447"/>
        <v>-129</v>
      </c>
      <c r="H7498" s="362"/>
      <c r="I7498" s="362"/>
      <c r="J7498" s="362"/>
    </row>
    <row r="7499" spans="1:10" x14ac:dyDescent="0.25">
      <c r="A7499" s="362"/>
      <c r="B7499" s="611">
        <v>44596</v>
      </c>
      <c r="C7499" s="362" t="s">
        <v>87</v>
      </c>
      <c r="D7499" s="562">
        <v>142791606</v>
      </c>
      <c r="E7499" s="562">
        <v>134670625</v>
      </c>
      <c r="F7499" s="562">
        <v>277462300</v>
      </c>
      <c r="G7499" s="562">
        <f t="shared" si="447"/>
        <v>-69</v>
      </c>
      <c r="H7499" s="362"/>
      <c r="I7499" s="362"/>
      <c r="J7499" s="362"/>
    </row>
    <row r="7500" spans="1:10" x14ac:dyDescent="0.25">
      <c r="A7500" s="362"/>
      <c r="B7500" s="611">
        <v>44596</v>
      </c>
      <c r="C7500" s="362" t="s">
        <v>88</v>
      </c>
      <c r="D7500" s="562">
        <v>105658952</v>
      </c>
      <c r="E7500" s="562">
        <v>39505148</v>
      </c>
      <c r="F7500" s="562">
        <v>145164100</v>
      </c>
      <c r="G7500" s="562">
        <f t="shared" ref="G7500:G7563" si="452">D7500+E7500-F7500</f>
        <v>0</v>
      </c>
      <c r="H7500" s="362"/>
      <c r="I7500" s="362"/>
      <c r="J7500" s="362"/>
    </row>
    <row r="7501" spans="1:10" x14ac:dyDescent="0.25">
      <c r="A7501" s="362"/>
      <c r="B7501" s="611">
        <v>44596</v>
      </c>
      <c r="C7501" s="362" t="s">
        <v>82</v>
      </c>
      <c r="D7501" s="562">
        <v>109492499</v>
      </c>
      <c r="E7501" s="562">
        <v>5308654</v>
      </c>
      <c r="F7501" s="562">
        <v>114801300</v>
      </c>
      <c r="G7501" s="562">
        <f t="shared" si="452"/>
        <v>-147</v>
      </c>
      <c r="H7501" s="362"/>
      <c r="I7501" s="362"/>
      <c r="J7501" s="362"/>
    </row>
    <row r="7502" spans="1:10" x14ac:dyDescent="0.25">
      <c r="A7502" s="362"/>
      <c r="B7502" s="611">
        <v>44596</v>
      </c>
      <c r="C7502" s="362" t="s">
        <v>80</v>
      </c>
      <c r="D7502" s="562">
        <v>394755890</v>
      </c>
      <c r="E7502" s="562">
        <v>10820000</v>
      </c>
      <c r="F7502" s="562">
        <v>405575300</v>
      </c>
      <c r="G7502" s="562">
        <f t="shared" si="452"/>
        <v>590</v>
      </c>
      <c r="H7502" s="362"/>
      <c r="I7502" s="362"/>
      <c r="J7502" s="362"/>
    </row>
    <row r="7503" spans="1:10" x14ac:dyDescent="0.25">
      <c r="A7503" s="362"/>
      <c r="B7503" s="611">
        <v>44596</v>
      </c>
      <c r="C7503" s="362" t="s">
        <v>83</v>
      </c>
      <c r="D7503" s="562">
        <v>119002936</v>
      </c>
      <c r="E7503" s="562">
        <v>16121264</v>
      </c>
      <c r="F7503" s="562">
        <v>135124200</v>
      </c>
      <c r="G7503" s="562">
        <f t="shared" si="452"/>
        <v>0</v>
      </c>
      <c r="H7503" s="362"/>
      <c r="I7503" s="362"/>
      <c r="J7503" s="362"/>
    </row>
    <row r="7504" spans="1:10" x14ac:dyDescent="0.25">
      <c r="A7504" s="362"/>
      <c r="B7504" s="611">
        <v>44596</v>
      </c>
      <c r="C7504" s="362" t="s">
        <v>78</v>
      </c>
      <c r="D7504" s="562">
        <v>153235633</v>
      </c>
      <c r="E7504" s="562">
        <v>3948267</v>
      </c>
      <c r="F7504" s="562">
        <v>157183900</v>
      </c>
      <c r="G7504" s="562">
        <f t="shared" si="452"/>
        <v>0</v>
      </c>
      <c r="H7504" s="362"/>
      <c r="I7504" s="362"/>
      <c r="J7504" s="362"/>
    </row>
    <row r="7505" spans="1:10" x14ac:dyDescent="0.25">
      <c r="A7505" s="362"/>
      <c r="B7505" s="611">
        <v>44596</v>
      </c>
      <c r="C7505" s="362" t="s">
        <v>141</v>
      </c>
      <c r="D7505" s="562">
        <v>126637029</v>
      </c>
      <c r="E7505" s="562"/>
      <c r="F7505" s="562">
        <v>126637100</v>
      </c>
      <c r="G7505" s="562">
        <f t="shared" si="452"/>
        <v>-71</v>
      </c>
      <c r="H7505" s="362"/>
      <c r="I7505" s="362"/>
      <c r="J7505" s="362"/>
    </row>
    <row r="7506" spans="1:10" x14ac:dyDescent="0.25">
      <c r="A7506" s="362"/>
      <c r="B7506" s="611">
        <v>44596</v>
      </c>
      <c r="C7506" s="362" t="s">
        <v>89</v>
      </c>
      <c r="D7506" s="562">
        <v>152836193</v>
      </c>
      <c r="E7506" s="562">
        <v>87741907</v>
      </c>
      <c r="F7506" s="562">
        <v>240578100</v>
      </c>
      <c r="G7506" s="562">
        <f t="shared" si="452"/>
        <v>0</v>
      </c>
      <c r="H7506" s="362"/>
      <c r="I7506" s="362"/>
      <c r="J7506" s="362"/>
    </row>
    <row r="7507" spans="1:10" x14ac:dyDescent="0.25">
      <c r="A7507" s="362"/>
      <c r="B7507" s="611">
        <v>44596</v>
      </c>
      <c r="C7507" s="362" t="s">
        <v>81</v>
      </c>
      <c r="D7507" s="562">
        <v>81127078</v>
      </c>
      <c r="E7507" s="562">
        <v>9964336</v>
      </c>
      <c r="F7507" s="562">
        <v>91091400</v>
      </c>
      <c r="G7507" s="562">
        <f t="shared" si="452"/>
        <v>14</v>
      </c>
      <c r="H7507" s="362"/>
      <c r="I7507" s="362"/>
      <c r="J7507" s="362"/>
    </row>
    <row r="7508" spans="1:10" x14ac:dyDescent="0.25">
      <c r="A7508" s="362"/>
      <c r="B7508" s="611">
        <v>44596</v>
      </c>
      <c r="C7508" s="362" t="s">
        <v>84</v>
      </c>
      <c r="D7508" s="562">
        <v>213681548</v>
      </c>
      <c r="E7508" s="562">
        <v>15925919</v>
      </c>
      <c r="F7508" s="562">
        <v>229607600</v>
      </c>
      <c r="G7508" s="562">
        <f t="shared" si="452"/>
        <v>-133</v>
      </c>
      <c r="H7508" s="362"/>
      <c r="I7508" s="362"/>
      <c r="J7508" s="362"/>
    </row>
    <row r="7509" spans="1:10" x14ac:dyDescent="0.25">
      <c r="A7509" s="362"/>
      <c r="B7509" s="611">
        <v>44596</v>
      </c>
      <c r="C7509" s="362" t="s">
        <v>4751</v>
      </c>
      <c r="D7509" s="562">
        <v>164348331</v>
      </c>
      <c r="E7509" s="562">
        <v>9520469</v>
      </c>
      <c r="F7509" s="562">
        <v>173868800</v>
      </c>
      <c r="G7509" s="562">
        <f t="shared" si="452"/>
        <v>0</v>
      </c>
      <c r="H7509" s="362"/>
      <c r="I7509" s="362"/>
      <c r="J7509" s="362"/>
    </row>
    <row r="7510" spans="1:10" x14ac:dyDescent="0.25">
      <c r="A7510" s="362"/>
      <c r="B7510" s="611">
        <v>44596</v>
      </c>
      <c r="C7510" s="362" t="s">
        <v>166</v>
      </c>
      <c r="D7510" s="562">
        <v>44776838</v>
      </c>
      <c r="E7510" s="562"/>
      <c r="F7510" s="562">
        <v>44777000</v>
      </c>
      <c r="G7510" s="562">
        <f t="shared" si="452"/>
        <v>-162</v>
      </c>
      <c r="H7510" s="362"/>
      <c r="I7510" s="362"/>
      <c r="J7510" s="362"/>
    </row>
    <row r="7511" spans="1:10" x14ac:dyDescent="0.25">
      <c r="A7511" s="362"/>
      <c r="B7511" s="611">
        <v>44596</v>
      </c>
      <c r="C7511" s="362" t="s">
        <v>3435</v>
      </c>
      <c r="D7511" s="562">
        <v>147199589</v>
      </c>
      <c r="E7511" s="562"/>
      <c r="F7511" s="562">
        <v>147199600</v>
      </c>
      <c r="G7511" s="562">
        <f t="shared" si="452"/>
        <v>-11</v>
      </c>
      <c r="H7511" s="362"/>
      <c r="I7511" s="362"/>
      <c r="J7511" s="362"/>
    </row>
    <row r="7512" spans="1:10" x14ac:dyDescent="0.25">
      <c r="A7512" s="362"/>
      <c r="B7512" s="611">
        <v>44596</v>
      </c>
      <c r="C7512" s="370" t="s">
        <v>85</v>
      </c>
      <c r="D7512" s="562">
        <v>23061700</v>
      </c>
      <c r="E7512" s="562"/>
      <c r="F7512" s="562">
        <v>23061700</v>
      </c>
      <c r="G7512" s="562">
        <f t="shared" si="452"/>
        <v>0</v>
      </c>
      <c r="H7512" s="362"/>
      <c r="I7512" s="362"/>
      <c r="J7512" s="362"/>
    </row>
    <row r="7513" spans="1:10" x14ac:dyDescent="0.25">
      <c r="A7513" s="532"/>
      <c r="B7513" s="532"/>
      <c r="C7513" s="532"/>
      <c r="D7513" s="564">
        <f>SUM(D7498:D7512)</f>
        <v>2034842493</v>
      </c>
      <c r="E7513" s="564">
        <f t="shared" ref="E7513:G7513" si="453">SUM(E7498:E7512)</f>
        <v>364644189</v>
      </c>
      <c r="F7513" s="564">
        <f t="shared" si="453"/>
        <v>2399486800</v>
      </c>
      <c r="G7513" s="564">
        <f t="shared" si="453"/>
        <v>-118</v>
      </c>
      <c r="H7513" s="532"/>
      <c r="I7513" s="532"/>
      <c r="J7513" s="532"/>
    </row>
    <row r="7514" spans="1:10" x14ac:dyDescent="0.25">
      <c r="A7514" s="362"/>
      <c r="B7514" s="611">
        <v>44597</v>
      </c>
      <c r="C7514" s="362" t="s">
        <v>86</v>
      </c>
      <c r="D7514" s="562">
        <v>83261747</v>
      </c>
      <c r="E7514" s="562">
        <v>48738870</v>
      </c>
      <c r="F7514" s="562"/>
      <c r="G7514" s="562">
        <f t="shared" si="452"/>
        <v>132000617</v>
      </c>
      <c r="H7514" s="362"/>
      <c r="I7514" s="362"/>
      <c r="J7514" s="362"/>
    </row>
    <row r="7515" spans="1:10" x14ac:dyDescent="0.25">
      <c r="A7515" s="362"/>
      <c r="B7515" s="611">
        <v>44597</v>
      </c>
      <c r="C7515" s="362" t="s">
        <v>87</v>
      </c>
      <c r="D7515" s="562">
        <v>83535223</v>
      </c>
      <c r="E7515" s="562">
        <v>48848204</v>
      </c>
      <c r="F7515" s="562"/>
      <c r="G7515" s="562">
        <f t="shared" si="452"/>
        <v>132383427</v>
      </c>
      <c r="H7515" s="362"/>
      <c r="I7515" s="362"/>
      <c r="J7515" s="362"/>
    </row>
    <row r="7516" spans="1:10" x14ac:dyDescent="0.25">
      <c r="A7516" s="362"/>
      <c r="B7516" s="611">
        <v>44597</v>
      </c>
      <c r="C7516" s="362" t="s">
        <v>88</v>
      </c>
      <c r="D7516" s="562">
        <v>162303516</v>
      </c>
      <c r="E7516" s="562">
        <v>17159655</v>
      </c>
      <c r="F7516" s="562"/>
      <c r="G7516" s="562">
        <f t="shared" si="452"/>
        <v>179463171</v>
      </c>
      <c r="H7516" s="362"/>
      <c r="I7516" s="362"/>
      <c r="J7516" s="362"/>
    </row>
    <row r="7517" spans="1:10" x14ac:dyDescent="0.25">
      <c r="A7517" s="362"/>
      <c r="B7517" s="611">
        <v>44597</v>
      </c>
      <c r="C7517" s="362" t="s">
        <v>82</v>
      </c>
      <c r="D7517" s="562">
        <v>78183771</v>
      </c>
      <c r="E7517" s="562">
        <v>11113639</v>
      </c>
      <c r="F7517" s="562"/>
      <c r="G7517" s="562">
        <f t="shared" si="452"/>
        <v>89297410</v>
      </c>
      <c r="H7517" s="362"/>
      <c r="I7517" s="362"/>
      <c r="J7517" s="362"/>
    </row>
    <row r="7518" spans="1:10" x14ac:dyDescent="0.25">
      <c r="A7518" s="362"/>
      <c r="B7518" s="611">
        <v>44597</v>
      </c>
      <c r="C7518" s="362" t="s">
        <v>80</v>
      </c>
      <c r="D7518" s="562">
        <v>258799005</v>
      </c>
      <c r="E7518" s="562">
        <v>5865195</v>
      </c>
      <c r="F7518" s="562"/>
      <c r="G7518" s="562">
        <f t="shared" si="452"/>
        <v>264664200</v>
      </c>
      <c r="H7518" s="362"/>
      <c r="I7518" s="362"/>
      <c r="J7518" s="362"/>
    </row>
    <row r="7519" spans="1:10" x14ac:dyDescent="0.25">
      <c r="A7519" s="362"/>
      <c r="B7519" s="611">
        <v>44597</v>
      </c>
      <c r="C7519" s="362" t="s">
        <v>83</v>
      </c>
      <c r="D7519" s="562">
        <v>126956226</v>
      </c>
      <c r="E7519" s="562">
        <v>105864357</v>
      </c>
      <c r="F7519" s="562"/>
      <c r="G7519" s="562">
        <f t="shared" si="452"/>
        <v>232820583</v>
      </c>
      <c r="H7519" s="362"/>
      <c r="I7519" s="362"/>
      <c r="J7519" s="362"/>
    </row>
    <row r="7520" spans="1:10" x14ac:dyDescent="0.25">
      <c r="A7520" s="362"/>
      <c r="B7520" s="611">
        <v>44597</v>
      </c>
      <c r="C7520" s="362" t="s">
        <v>78</v>
      </c>
      <c r="D7520" s="562">
        <v>158819359</v>
      </c>
      <c r="E7520" s="562">
        <v>8030241</v>
      </c>
      <c r="F7520" s="562"/>
      <c r="G7520" s="562">
        <f t="shared" si="452"/>
        <v>166849600</v>
      </c>
      <c r="H7520" s="362"/>
      <c r="I7520" s="362"/>
      <c r="J7520" s="362"/>
    </row>
    <row r="7521" spans="1:10" x14ac:dyDescent="0.25">
      <c r="A7521" s="362"/>
      <c r="B7521" s="611">
        <v>44597</v>
      </c>
      <c r="C7521" s="362" t="s">
        <v>141</v>
      </c>
      <c r="D7521" s="562">
        <v>92701190</v>
      </c>
      <c r="E7521" s="562"/>
      <c r="F7521" s="562"/>
      <c r="G7521" s="562">
        <f t="shared" si="452"/>
        <v>92701190</v>
      </c>
      <c r="H7521" s="362"/>
      <c r="I7521" s="362"/>
      <c r="J7521" s="362"/>
    </row>
    <row r="7522" spans="1:10" x14ac:dyDescent="0.25">
      <c r="A7522" s="362"/>
      <c r="B7522" s="611">
        <v>44597</v>
      </c>
      <c r="C7522" s="362" t="s">
        <v>89</v>
      </c>
      <c r="D7522" s="562">
        <v>95557599</v>
      </c>
      <c r="E7522" s="562">
        <v>9852001</v>
      </c>
      <c r="F7522" s="562"/>
      <c r="G7522" s="562">
        <f t="shared" si="452"/>
        <v>105409600</v>
      </c>
      <c r="H7522" s="362"/>
      <c r="I7522" s="362"/>
      <c r="J7522" s="362"/>
    </row>
    <row r="7523" spans="1:10" x14ac:dyDescent="0.25">
      <c r="A7523" s="362"/>
      <c r="B7523" s="611">
        <v>44597</v>
      </c>
      <c r="C7523" s="362" t="s">
        <v>81</v>
      </c>
      <c r="D7523" s="562">
        <v>171531134</v>
      </c>
      <c r="E7523" s="562">
        <v>56902070</v>
      </c>
      <c r="F7523" s="562"/>
      <c r="G7523" s="562">
        <f t="shared" si="452"/>
        <v>228433204</v>
      </c>
      <c r="H7523" s="362"/>
      <c r="I7523" s="362"/>
      <c r="J7523" s="362"/>
    </row>
    <row r="7524" spans="1:10" x14ac:dyDescent="0.25">
      <c r="A7524" s="362"/>
      <c r="B7524" s="611">
        <v>44597</v>
      </c>
      <c r="C7524" s="362" t="s">
        <v>84</v>
      </c>
      <c r="D7524" s="562">
        <v>331956065</v>
      </c>
      <c r="E7524" s="562">
        <v>37779876</v>
      </c>
      <c r="F7524" s="562"/>
      <c r="G7524" s="562">
        <f t="shared" si="452"/>
        <v>369735941</v>
      </c>
      <c r="H7524" s="362"/>
      <c r="I7524" s="362"/>
      <c r="J7524" s="362"/>
    </row>
    <row r="7525" spans="1:10" x14ac:dyDescent="0.25">
      <c r="A7525" s="362"/>
      <c r="B7525" s="611">
        <v>44597</v>
      </c>
      <c r="C7525" s="362" t="s">
        <v>4751</v>
      </c>
      <c r="D7525" s="562">
        <v>201029841</v>
      </c>
      <c r="E7525" s="562">
        <v>11400259</v>
      </c>
      <c r="F7525" s="562"/>
      <c r="G7525" s="562">
        <f t="shared" si="452"/>
        <v>212430100</v>
      </c>
      <c r="H7525" s="362"/>
      <c r="I7525" s="362"/>
      <c r="J7525" s="362"/>
    </row>
    <row r="7526" spans="1:10" x14ac:dyDescent="0.25">
      <c r="A7526" s="362"/>
      <c r="B7526" s="611">
        <v>44597</v>
      </c>
      <c r="C7526" s="362" t="s">
        <v>166</v>
      </c>
      <c r="D7526" s="562"/>
      <c r="E7526" s="562"/>
      <c r="F7526" s="562"/>
      <c r="G7526" s="562">
        <f t="shared" si="452"/>
        <v>0</v>
      </c>
      <c r="H7526" s="362"/>
      <c r="I7526" s="362"/>
      <c r="J7526" s="362"/>
    </row>
    <row r="7527" spans="1:10" x14ac:dyDescent="0.25">
      <c r="A7527" s="362"/>
      <c r="B7527" s="611">
        <v>44597</v>
      </c>
      <c r="C7527" s="362" t="s">
        <v>3435</v>
      </c>
      <c r="D7527" s="562"/>
      <c r="E7527" s="562"/>
      <c r="F7527" s="562"/>
      <c r="G7527" s="562">
        <f t="shared" si="452"/>
        <v>0</v>
      </c>
      <c r="H7527" s="362"/>
      <c r="I7527" s="362"/>
      <c r="J7527" s="362"/>
    </row>
    <row r="7528" spans="1:10" x14ac:dyDescent="0.25">
      <c r="A7528" s="362"/>
      <c r="B7528" s="611">
        <v>44597</v>
      </c>
      <c r="C7528" s="370" t="s">
        <v>85</v>
      </c>
      <c r="D7528" s="562">
        <v>49074200</v>
      </c>
      <c r="E7528" s="562"/>
      <c r="F7528" s="562"/>
      <c r="G7528" s="562">
        <f t="shared" si="452"/>
        <v>49074200</v>
      </c>
      <c r="H7528" s="362"/>
      <c r="I7528" s="362"/>
      <c r="J7528" s="362"/>
    </row>
    <row r="7529" spans="1:10" x14ac:dyDescent="0.25">
      <c r="A7529" s="532"/>
      <c r="B7529" s="532"/>
      <c r="C7529" s="532"/>
      <c r="D7529" s="564">
        <f>SUM(D7514:D7528)</f>
        <v>1893708876</v>
      </c>
      <c r="E7529" s="564">
        <f t="shared" ref="E7529:G7529" si="454">SUM(E7514:E7528)</f>
        <v>361554367</v>
      </c>
      <c r="F7529" s="564">
        <f t="shared" si="454"/>
        <v>0</v>
      </c>
      <c r="G7529" s="564">
        <f t="shared" si="454"/>
        <v>2255263243</v>
      </c>
      <c r="H7529" s="532"/>
      <c r="I7529" s="532"/>
      <c r="J7529" s="532"/>
    </row>
    <row r="7530" spans="1:10" x14ac:dyDescent="0.25">
      <c r="A7530" s="362"/>
      <c r="B7530" s="611">
        <v>44598</v>
      </c>
      <c r="C7530" s="362" t="s">
        <v>86</v>
      </c>
      <c r="D7530" s="562">
        <v>68830920</v>
      </c>
      <c r="E7530" s="562">
        <v>15233700</v>
      </c>
      <c r="F7530" s="562"/>
      <c r="G7530" s="562">
        <f t="shared" si="452"/>
        <v>84064620</v>
      </c>
      <c r="H7530" s="362"/>
      <c r="I7530" s="362"/>
      <c r="J7530" s="362"/>
    </row>
    <row r="7531" spans="1:10" x14ac:dyDescent="0.25">
      <c r="A7531" s="362"/>
      <c r="B7531" s="611">
        <v>44598</v>
      </c>
      <c r="C7531" s="362" t="s">
        <v>87</v>
      </c>
      <c r="D7531" s="562">
        <v>126130938</v>
      </c>
      <c r="E7531" s="562">
        <v>91197985</v>
      </c>
      <c r="F7531" s="562"/>
      <c r="G7531" s="562">
        <f t="shared" si="452"/>
        <v>217328923</v>
      </c>
      <c r="H7531" s="362"/>
      <c r="I7531" s="362"/>
      <c r="J7531" s="362"/>
    </row>
    <row r="7532" spans="1:10" x14ac:dyDescent="0.25">
      <c r="A7532" s="362"/>
      <c r="B7532" s="611">
        <v>44598</v>
      </c>
      <c r="C7532" s="362" t="s">
        <v>88</v>
      </c>
      <c r="D7532" s="562">
        <v>142639466</v>
      </c>
      <c r="E7532" s="562">
        <v>121223694</v>
      </c>
      <c r="F7532" s="562"/>
      <c r="G7532" s="562">
        <f t="shared" si="452"/>
        <v>263863160</v>
      </c>
      <c r="H7532" s="362"/>
      <c r="I7532" s="362"/>
      <c r="J7532" s="362"/>
    </row>
    <row r="7533" spans="1:10" x14ac:dyDescent="0.25">
      <c r="A7533" s="362"/>
      <c r="B7533" s="611">
        <v>44598</v>
      </c>
      <c r="C7533" s="362" t="s">
        <v>82</v>
      </c>
      <c r="D7533" s="562">
        <v>54123343</v>
      </c>
      <c r="E7533" s="562">
        <v>15315844</v>
      </c>
      <c r="F7533" s="562"/>
      <c r="G7533" s="562">
        <f t="shared" si="452"/>
        <v>69439187</v>
      </c>
      <c r="H7533" s="362"/>
      <c r="I7533" s="362"/>
      <c r="J7533" s="362"/>
    </row>
    <row r="7534" spans="1:10" x14ac:dyDescent="0.25">
      <c r="A7534" s="362"/>
      <c r="B7534" s="611">
        <v>44598</v>
      </c>
      <c r="C7534" s="362" t="s">
        <v>80</v>
      </c>
      <c r="D7534" s="562">
        <v>503003000</v>
      </c>
      <c r="E7534" s="562">
        <v>60660420</v>
      </c>
      <c r="F7534" s="562"/>
      <c r="G7534" s="562">
        <f t="shared" si="452"/>
        <v>563663420</v>
      </c>
      <c r="H7534" s="362"/>
      <c r="I7534" s="362"/>
      <c r="J7534" s="362"/>
    </row>
    <row r="7535" spans="1:10" x14ac:dyDescent="0.25">
      <c r="A7535" s="362"/>
      <c r="B7535" s="611">
        <v>44598</v>
      </c>
      <c r="C7535" s="362" t="s">
        <v>83</v>
      </c>
      <c r="D7535" s="562">
        <v>203033592</v>
      </c>
      <c r="E7535" s="562">
        <v>262131085</v>
      </c>
      <c r="F7535" s="562"/>
      <c r="G7535" s="562">
        <f t="shared" si="452"/>
        <v>465164677</v>
      </c>
      <c r="H7535" s="362"/>
      <c r="I7535" s="362"/>
      <c r="J7535" s="362"/>
    </row>
    <row r="7536" spans="1:10" x14ac:dyDescent="0.25">
      <c r="A7536" s="362"/>
      <c r="B7536" s="611">
        <v>44598</v>
      </c>
      <c r="C7536" s="362" t="s">
        <v>78</v>
      </c>
      <c r="D7536" s="562">
        <v>120684724</v>
      </c>
      <c r="E7536" s="562">
        <v>2530376</v>
      </c>
      <c r="F7536" s="562"/>
      <c r="G7536" s="562">
        <f t="shared" si="452"/>
        <v>123215100</v>
      </c>
      <c r="H7536" s="362"/>
      <c r="I7536" s="362"/>
      <c r="J7536" s="362"/>
    </row>
    <row r="7537" spans="1:10" x14ac:dyDescent="0.25">
      <c r="A7537" s="362"/>
      <c r="B7537" s="611">
        <v>44598</v>
      </c>
      <c r="C7537" s="362" t="s">
        <v>141</v>
      </c>
      <c r="D7537" s="562">
        <v>153653049</v>
      </c>
      <c r="E7537" s="562"/>
      <c r="F7537" s="562"/>
      <c r="G7537" s="562">
        <f t="shared" si="452"/>
        <v>153653049</v>
      </c>
      <c r="H7537" s="362"/>
      <c r="I7537" s="362"/>
      <c r="J7537" s="362"/>
    </row>
    <row r="7538" spans="1:10" x14ac:dyDescent="0.25">
      <c r="A7538" s="362"/>
      <c r="B7538" s="611">
        <v>44598</v>
      </c>
      <c r="C7538" s="362" t="s">
        <v>89</v>
      </c>
      <c r="D7538" s="562">
        <v>130294143</v>
      </c>
      <c r="E7538" s="562">
        <v>115171157</v>
      </c>
      <c r="F7538" s="562"/>
      <c r="G7538" s="562">
        <f t="shared" si="452"/>
        <v>245465300</v>
      </c>
      <c r="H7538" s="362"/>
      <c r="I7538" s="362"/>
      <c r="J7538" s="362"/>
    </row>
    <row r="7539" spans="1:10" x14ac:dyDescent="0.25">
      <c r="A7539" s="362"/>
      <c r="B7539" s="611">
        <v>44598</v>
      </c>
      <c r="C7539" s="362" t="s">
        <v>81</v>
      </c>
      <c r="D7539" s="562">
        <v>141761018</v>
      </c>
      <c r="E7539" s="562">
        <v>10132056</v>
      </c>
      <c r="F7539" s="562"/>
      <c r="G7539" s="562">
        <f t="shared" si="452"/>
        <v>151893074</v>
      </c>
      <c r="H7539" s="362"/>
      <c r="I7539" s="362"/>
      <c r="J7539" s="362"/>
    </row>
    <row r="7540" spans="1:10" x14ac:dyDescent="0.25">
      <c r="A7540" s="362"/>
      <c r="B7540" s="611">
        <v>44598</v>
      </c>
      <c r="C7540" s="362" t="s">
        <v>84</v>
      </c>
      <c r="D7540" s="562">
        <v>314107737</v>
      </c>
      <c r="E7540" s="562">
        <v>31473801</v>
      </c>
      <c r="F7540" s="562"/>
      <c r="G7540" s="562">
        <f t="shared" si="452"/>
        <v>345581538</v>
      </c>
      <c r="H7540" s="362"/>
      <c r="I7540" s="362"/>
      <c r="J7540" s="362"/>
    </row>
    <row r="7541" spans="1:10" x14ac:dyDescent="0.25">
      <c r="A7541" s="362"/>
      <c r="B7541" s="611">
        <v>44598</v>
      </c>
      <c r="C7541" s="362" t="s">
        <v>4751</v>
      </c>
      <c r="D7541" s="562">
        <v>203363483</v>
      </c>
      <c r="E7541" s="562">
        <v>11261017</v>
      </c>
      <c r="F7541" s="562"/>
      <c r="G7541" s="562">
        <f t="shared" si="452"/>
        <v>214624500</v>
      </c>
      <c r="H7541" s="362"/>
      <c r="I7541" s="362"/>
      <c r="J7541" s="362"/>
    </row>
    <row r="7542" spans="1:10" x14ac:dyDescent="0.25">
      <c r="A7542" s="362"/>
      <c r="B7542" s="611">
        <v>44598</v>
      </c>
      <c r="C7542" s="362" t="s">
        <v>166</v>
      </c>
      <c r="D7542" s="562">
        <v>62119789</v>
      </c>
      <c r="E7542" s="562"/>
      <c r="F7542" s="562"/>
      <c r="G7542" s="562">
        <f t="shared" si="452"/>
        <v>62119789</v>
      </c>
      <c r="H7542" s="362"/>
      <c r="I7542" s="362"/>
      <c r="J7542" s="362"/>
    </row>
    <row r="7543" spans="1:10" x14ac:dyDescent="0.25">
      <c r="A7543" s="362"/>
      <c r="B7543" s="611">
        <v>44598</v>
      </c>
      <c r="C7543" s="362" t="s">
        <v>3435</v>
      </c>
      <c r="D7543" s="562">
        <v>20764069</v>
      </c>
      <c r="E7543" s="562"/>
      <c r="F7543" s="562"/>
      <c r="G7543" s="562">
        <f t="shared" si="452"/>
        <v>20764069</v>
      </c>
      <c r="H7543" s="362"/>
      <c r="I7543" s="362"/>
      <c r="J7543" s="362"/>
    </row>
    <row r="7544" spans="1:10" x14ac:dyDescent="0.25">
      <c r="A7544" s="362"/>
      <c r="B7544" s="611">
        <v>44598</v>
      </c>
      <c r="C7544" s="370" t="s">
        <v>85</v>
      </c>
      <c r="D7544" s="562">
        <v>63739300</v>
      </c>
      <c r="E7544" s="562"/>
      <c r="F7544" s="562"/>
      <c r="G7544" s="562">
        <f t="shared" si="452"/>
        <v>63739300</v>
      </c>
      <c r="H7544" s="362"/>
      <c r="I7544" s="362"/>
      <c r="J7544" s="362"/>
    </row>
    <row r="7545" spans="1:10" x14ac:dyDescent="0.25">
      <c r="A7545" s="532"/>
      <c r="B7545" s="532"/>
      <c r="C7545" s="532"/>
      <c r="D7545" s="564">
        <f>SUM(D7530:D7544)</f>
        <v>2308248571</v>
      </c>
      <c r="E7545" s="564">
        <f t="shared" ref="E7545:G7545" si="455">SUM(E7530:E7544)</f>
        <v>736331135</v>
      </c>
      <c r="F7545" s="564">
        <f t="shared" si="455"/>
        <v>0</v>
      </c>
      <c r="G7545" s="564">
        <f t="shared" si="455"/>
        <v>3044579706</v>
      </c>
      <c r="H7545" s="532"/>
      <c r="I7545" s="532"/>
      <c r="J7545" s="532"/>
    </row>
    <row r="7546" spans="1:10" x14ac:dyDescent="0.25">
      <c r="A7546" s="362"/>
      <c r="B7546" s="611">
        <v>44600</v>
      </c>
      <c r="C7546" s="362" t="s">
        <v>86</v>
      </c>
      <c r="D7546" s="562">
        <v>106960418</v>
      </c>
      <c r="E7546" s="562">
        <v>120102700</v>
      </c>
      <c r="F7546" s="562"/>
      <c r="G7546" s="562">
        <f t="shared" si="452"/>
        <v>227063118</v>
      </c>
      <c r="H7546" s="362"/>
      <c r="I7546" s="362"/>
      <c r="J7546" s="362"/>
    </row>
    <row r="7547" spans="1:10" x14ac:dyDescent="0.25">
      <c r="A7547" s="362"/>
      <c r="B7547" s="611">
        <v>44600</v>
      </c>
      <c r="C7547" s="362" t="s">
        <v>87</v>
      </c>
      <c r="D7547" s="562">
        <v>89827809</v>
      </c>
      <c r="E7547" s="562">
        <v>179360076</v>
      </c>
      <c r="F7547" s="562"/>
      <c r="G7547" s="562">
        <f t="shared" si="452"/>
        <v>269187885</v>
      </c>
      <c r="H7547" s="362"/>
      <c r="I7547" s="362"/>
      <c r="J7547" s="362"/>
    </row>
    <row r="7548" spans="1:10" x14ac:dyDescent="0.25">
      <c r="A7548" s="362"/>
      <c r="B7548" s="611">
        <v>44600</v>
      </c>
      <c r="C7548" s="362" t="s">
        <v>88</v>
      </c>
      <c r="D7548" s="562">
        <v>187857733</v>
      </c>
      <c r="E7548" s="562">
        <v>81594155</v>
      </c>
      <c r="F7548" s="562"/>
      <c r="G7548" s="562">
        <f t="shared" si="452"/>
        <v>269451888</v>
      </c>
      <c r="H7548" s="362"/>
      <c r="I7548" s="362"/>
      <c r="J7548" s="362"/>
    </row>
    <row r="7549" spans="1:10" x14ac:dyDescent="0.25">
      <c r="A7549" s="362"/>
      <c r="B7549" s="611">
        <v>44600</v>
      </c>
      <c r="C7549" s="362" t="s">
        <v>82</v>
      </c>
      <c r="D7549" s="562">
        <v>90287976</v>
      </c>
      <c r="E7549" s="562">
        <v>3074132</v>
      </c>
      <c r="F7549" s="562"/>
      <c r="G7549" s="562">
        <f t="shared" si="452"/>
        <v>93362108</v>
      </c>
      <c r="H7549" s="362"/>
      <c r="I7549" s="362"/>
      <c r="J7549" s="362"/>
    </row>
    <row r="7550" spans="1:10" x14ac:dyDescent="0.25">
      <c r="A7550" s="362"/>
      <c r="B7550" s="611">
        <v>44600</v>
      </c>
      <c r="C7550" s="362" t="s">
        <v>80</v>
      </c>
      <c r="D7550" s="562">
        <v>304376616</v>
      </c>
      <c r="E7550" s="562">
        <v>390400000</v>
      </c>
      <c r="F7550" s="562"/>
      <c r="G7550" s="562">
        <f t="shared" si="452"/>
        <v>694776616</v>
      </c>
      <c r="H7550" s="362"/>
      <c r="I7550" s="362"/>
      <c r="J7550" s="362"/>
    </row>
    <row r="7551" spans="1:10" x14ac:dyDescent="0.25">
      <c r="A7551" s="362"/>
      <c r="B7551" s="611">
        <v>44600</v>
      </c>
      <c r="C7551" s="362" t="s">
        <v>83</v>
      </c>
      <c r="D7551" s="562">
        <v>157583538</v>
      </c>
      <c r="E7551" s="562">
        <v>24902956</v>
      </c>
      <c r="F7551" s="562"/>
      <c r="G7551" s="562">
        <f t="shared" si="452"/>
        <v>182486494</v>
      </c>
      <c r="H7551" s="362"/>
      <c r="I7551" s="362"/>
      <c r="J7551" s="362"/>
    </row>
    <row r="7552" spans="1:10" x14ac:dyDescent="0.25">
      <c r="A7552" s="362"/>
      <c r="B7552" s="611">
        <v>44600</v>
      </c>
      <c r="C7552" s="362" t="s">
        <v>78</v>
      </c>
      <c r="D7552" s="562">
        <v>171073567</v>
      </c>
      <c r="E7552" s="562">
        <v>2605433</v>
      </c>
      <c r="F7552" s="562"/>
      <c r="G7552" s="562">
        <f t="shared" si="452"/>
        <v>173679000</v>
      </c>
      <c r="H7552" s="362"/>
      <c r="I7552" s="362"/>
      <c r="J7552" s="362"/>
    </row>
    <row r="7553" spans="1:10" x14ac:dyDescent="0.25">
      <c r="A7553" s="362"/>
      <c r="B7553" s="611">
        <v>44600</v>
      </c>
      <c r="C7553" s="362" t="s">
        <v>141</v>
      </c>
      <c r="D7553" s="562">
        <v>147473144</v>
      </c>
      <c r="E7553" s="562"/>
      <c r="F7553" s="562"/>
      <c r="G7553" s="562">
        <f t="shared" si="452"/>
        <v>147473144</v>
      </c>
      <c r="H7553" s="362"/>
      <c r="I7553" s="362"/>
      <c r="J7553" s="362"/>
    </row>
    <row r="7554" spans="1:10" x14ac:dyDescent="0.25">
      <c r="A7554" s="362"/>
      <c r="B7554" s="611">
        <v>44600</v>
      </c>
      <c r="C7554" s="362" t="s">
        <v>89</v>
      </c>
      <c r="D7554" s="562">
        <v>232800830</v>
      </c>
      <c r="E7554" s="562">
        <v>16077670</v>
      </c>
      <c r="F7554" s="562"/>
      <c r="G7554" s="562">
        <f t="shared" si="452"/>
        <v>248878500</v>
      </c>
      <c r="H7554" s="362"/>
      <c r="I7554" s="362"/>
      <c r="J7554" s="362"/>
    </row>
    <row r="7555" spans="1:10" x14ac:dyDescent="0.25">
      <c r="A7555" s="362"/>
      <c r="B7555" s="611">
        <v>44600</v>
      </c>
      <c r="C7555" s="362" t="s">
        <v>81</v>
      </c>
      <c r="D7555" s="562">
        <v>154401075</v>
      </c>
      <c r="E7555" s="562">
        <v>6011096</v>
      </c>
      <c r="F7555" s="562"/>
      <c r="G7555" s="562">
        <f t="shared" si="452"/>
        <v>160412171</v>
      </c>
      <c r="H7555" s="362"/>
      <c r="I7555" s="362"/>
      <c r="J7555" s="362"/>
    </row>
    <row r="7556" spans="1:10" x14ac:dyDescent="0.25">
      <c r="A7556" s="362"/>
      <c r="B7556" s="611">
        <v>44600</v>
      </c>
      <c r="C7556" s="362" t="s">
        <v>84</v>
      </c>
      <c r="D7556" s="562">
        <v>472827138</v>
      </c>
      <c r="E7556" s="562">
        <v>34472282</v>
      </c>
      <c r="F7556" s="562"/>
      <c r="G7556" s="562">
        <f t="shared" si="452"/>
        <v>507299420</v>
      </c>
      <c r="H7556" s="362"/>
      <c r="I7556" s="362"/>
      <c r="J7556" s="362"/>
    </row>
    <row r="7557" spans="1:10" x14ac:dyDescent="0.25">
      <c r="A7557" s="362"/>
      <c r="B7557" s="611">
        <v>44600</v>
      </c>
      <c r="C7557" s="362" t="s">
        <v>4751</v>
      </c>
      <c r="D7557" s="562">
        <v>299563380</v>
      </c>
      <c r="E7557" s="562">
        <v>22677020</v>
      </c>
      <c r="F7557" s="562"/>
      <c r="G7557" s="562">
        <f t="shared" si="452"/>
        <v>322240400</v>
      </c>
      <c r="H7557" s="362"/>
      <c r="I7557" s="362"/>
      <c r="J7557" s="362"/>
    </row>
    <row r="7558" spans="1:10" x14ac:dyDescent="0.25">
      <c r="A7558" s="362"/>
      <c r="B7558" s="611">
        <v>44600</v>
      </c>
      <c r="C7558" s="362" t="s">
        <v>166</v>
      </c>
      <c r="D7558" s="562">
        <v>96526647</v>
      </c>
      <c r="E7558" s="562">
        <v>51290000</v>
      </c>
      <c r="F7558" s="562"/>
      <c r="G7558" s="562">
        <f t="shared" si="452"/>
        <v>147816647</v>
      </c>
      <c r="H7558" s="362"/>
      <c r="I7558" s="362"/>
      <c r="J7558" s="362"/>
    </row>
    <row r="7559" spans="1:10" x14ac:dyDescent="0.25">
      <c r="A7559" s="362"/>
      <c r="B7559" s="611">
        <v>44600</v>
      </c>
      <c r="C7559" s="362" t="s">
        <v>3435</v>
      </c>
      <c r="D7559" s="562">
        <v>34197756</v>
      </c>
      <c r="E7559" s="562"/>
      <c r="F7559" s="562"/>
      <c r="G7559" s="562">
        <f t="shared" si="452"/>
        <v>34197756</v>
      </c>
      <c r="H7559" s="362"/>
      <c r="I7559" s="362"/>
      <c r="J7559" s="362"/>
    </row>
    <row r="7560" spans="1:10" x14ac:dyDescent="0.25">
      <c r="A7560" s="362"/>
      <c r="B7560" s="611">
        <v>44600</v>
      </c>
      <c r="C7560" s="370" t="s">
        <v>85</v>
      </c>
      <c r="D7560" s="562">
        <v>47521000</v>
      </c>
      <c r="E7560" s="562"/>
      <c r="F7560" s="562"/>
      <c r="G7560" s="562">
        <f t="shared" si="452"/>
        <v>47521000</v>
      </c>
      <c r="H7560" s="362"/>
      <c r="I7560" s="362"/>
      <c r="J7560" s="362"/>
    </row>
    <row r="7561" spans="1:10" x14ac:dyDescent="0.25">
      <c r="A7561" s="532"/>
      <c r="B7561" s="532"/>
      <c r="C7561" s="532"/>
      <c r="D7561" s="564">
        <f>SUM(D7546:D7560)</f>
        <v>2593278627</v>
      </c>
      <c r="E7561" s="564">
        <f t="shared" ref="E7561:G7561" si="456">SUM(E7546:E7560)</f>
        <v>932567520</v>
      </c>
      <c r="F7561" s="564">
        <f t="shared" si="456"/>
        <v>0</v>
      </c>
      <c r="G7561" s="564">
        <f t="shared" si="456"/>
        <v>3525846147</v>
      </c>
      <c r="H7561" s="532"/>
      <c r="I7561" s="532"/>
      <c r="J7561" s="532"/>
    </row>
    <row r="7562" spans="1:10" x14ac:dyDescent="0.25">
      <c r="A7562" s="362"/>
      <c r="B7562" s="611">
        <v>44601</v>
      </c>
      <c r="C7562" s="362" t="s">
        <v>86</v>
      </c>
      <c r="D7562" s="562">
        <v>90912877</v>
      </c>
      <c r="E7562" s="562">
        <v>52766650</v>
      </c>
      <c r="F7562" s="562"/>
      <c r="G7562" s="562">
        <f t="shared" si="452"/>
        <v>143679527</v>
      </c>
      <c r="H7562" s="362"/>
      <c r="I7562" s="362"/>
      <c r="J7562" s="362"/>
    </row>
    <row r="7563" spans="1:10" x14ac:dyDescent="0.25">
      <c r="A7563" s="362"/>
      <c r="B7563" s="611">
        <v>44601</v>
      </c>
      <c r="C7563" s="362" t="s">
        <v>87</v>
      </c>
      <c r="D7563" s="562">
        <v>102450649</v>
      </c>
      <c r="E7563" s="562">
        <v>192795670</v>
      </c>
      <c r="F7563" s="562"/>
      <c r="G7563" s="562">
        <f t="shared" si="452"/>
        <v>295246319</v>
      </c>
      <c r="H7563" s="362"/>
      <c r="I7563" s="362"/>
      <c r="J7563" s="362"/>
    </row>
    <row r="7564" spans="1:10" x14ac:dyDescent="0.25">
      <c r="A7564" s="362"/>
      <c r="B7564" s="611">
        <v>44601</v>
      </c>
      <c r="C7564" s="362" t="s">
        <v>88</v>
      </c>
      <c r="D7564" s="562">
        <v>163461394</v>
      </c>
      <c r="E7564" s="562">
        <v>85573992</v>
      </c>
      <c r="F7564" s="562"/>
      <c r="G7564" s="562">
        <f t="shared" ref="G7564:G7627" si="457">D7564+E7564-F7564</f>
        <v>249035386</v>
      </c>
      <c r="H7564" s="362"/>
      <c r="I7564" s="362"/>
      <c r="J7564" s="362"/>
    </row>
    <row r="7565" spans="1:10" x14ac:dyDescent="0.25">
      <c r="A7565" s="362"/>
      <c r="B7565" s="611">
        <v>44601</v>
      </c>
      <c r="C7565" s="362" t="s">
        <v>82</v>
      </c>
      <c r="D7565" s="562">
        <v>87884120</v>
      </c>
      <c r="E7565" s="562">
        <v>1806648</v>
      </c>
      <c r="F7565" s="562"/>
      <c r="G7565" s="562">
        <f t="shared" si="457"/>
        <v>89690768</v>
      </c>
      <c r="H7565" s="362"/>
      <c r="I7565" s="362"/>
      <c r="J7565" s="362"/>
    </row>
    <row r="7566" spans="1:10" x14ac:dyDescent="0.25">
      <c r="A7566" s="362"/>
      <c r="B7566" s="611">
        <v>44601</v>
      </c>
      <c r="C7566" s="362" t="s">
        <v>80</v>
      </c>
      <c r="D7566" s="562">
        <v>415628176</v>
      </c>
      <c r="E7566" s="562">
        <v>12610000</v>
      </c>
      <c r="F7566" s="562"/>
      <c r="G7566" s="562">
        <f t="shared" si="457"/>
        <v>428238176</v>
      </c>
      <c r="H7566" s="362"/>
      <c r="I7566" s="362"/>
      <c r="J7566" s="362"/>
    </row>
    <row r="7567" spans="1:10" x14ac:dyDescent="0.25">
      <c r="A7567" s="362"/>
      <c r="B7567" s="611">
        <v>44601</v>
      </c>
      <c r="C7567" s="362" t="s">
        <v>83</v>
      </c>
      <c r="D7567" s="562">
        <v>127110252</v>
      </c>
      <c r="E7567" s="562">
        <v>12367647</v>
      </c>
      <c r="F7567" s="562"/>
      <c r="G7567" s="562">
        <f t="shared" si="457"/>
        <v>139477899</v>
      </c>
      <c r="H7567" s="362"/>
      <c r="I7567" s="362"/>
      <c r="J7567" s="362"/>
    </row>
    <row r="7568" spans="1:10" x14ac:dyDescent="0.25">
      <c r="A7568" s="362"/>
      <c r="B7568" s="611">
        <v>44601</v>
      </c>
      <c r="C7568" s="362" t="s">
        <v>78</v>
      </c>
      <c r="D7568" s="562">
        <v>107004820</v>
      </c>
      <c r="E7568" s="562">
        <v>12101680</v>
      </c>
      <c r="F7568" s="562"/>
      <c r="G7568" s="562">
        <f t="shared" si="457"/>
        <v>119106500</v>
      </c>
      <c r="H7568" s="362"/>
      <c r="I7568" s="362"/>
      <c r="J7568" s="362"/>
    </row>
    <row r="7569" spans="1:10" x14ac:dyDescent="0.25">
      <c r="A7569" s="362"/>
      <c r="B7569" s="611">
        <v>44601</v>
      </c>
      <c r="C7569" s="362" t="s">
        <v>141</v>
      </c>
      <c r="D7569" s="562">
        <v>145548459</v>
      </c>
      <c r="E7569" s="562"/>
      <c r="F7569" s="562"/>
      <c r="G7569" s="562">
        <f t="shared" si="457"/>
        <v>145548459</v>
      </c>
      <c r="H7569" s="362"/>
      <c r="I7569" s="362"/>
      <c r="J7569" s="362"/>
    </row>
    <row r="7570" spans="1:10" x14ac:dyDescent="0.25">
      <c r="A7570" s="362"/>
      <c r="B7570" s="611">
        <v>44601</v>
      </c>
      <c r="C7570" s="362" t="s">
        <v>89</v>
      </c>
      <c r="D7570" s="562">
        <v>133625370</v>
      </c>
      <c r="E7570" s="562">
        <v>48257830</v>
      </c>
      <c r="F7570" s="562"/>
      <c r="G7570" s="562">
        <f t="shared" si="457"/>
        <v>181883200</v>
      </c>
      <c r="H7570" s="362"/>
      <c r="I7570" s="362"/>
      <c r="J7570" s="362"/>
    </row>
    <row r="7571" spans="1:10" x14ac:dyDescent="0.25">
      <c r="A7571" s="362"/>
      <c r="B7571" s="611">
        <v>44601</v>
      </c>
      <c r="C7571" s="362" t="s">
        <v>81</v>
      </c>
      <c r="D7571" s="562">
        <v>158904936</v>
      </c>
      <c r="E7571" s="562">
        <v>9413714</v>
      </c>
      <c r="F7571" s="562"/>
      <c r="G7571" s="562">
        <f t="shared" si="457"/>
        <v>168318650</v>
      </c>
      <c r="H7571" s="362"/>
      <c r="I7571" s="362"/>
      <c r="J7571" s="362"/>
    </row>
    <row r="7572" spans="1:10" x14ac:dyDescent="0.25">
      <c r="A7572" s="362"/>
      <c r="B7572" s="611">
        <v>44601</v>
      </c>
      <c r="C7572" s="362" t="s">
        <v>84</v>
      </c>
      <c r="D7572" s="562">
        <v>285743636</v>
      </c>
      <c r="E7572" s="562">
        <v>14263913</v>
      </c>
      <c r="F7572" s="562"/>
      <c r="G7572" s="562">
        <f t="shared" si="457"/>
        <v>300007549</v>
      </c>
      <c r="H7572" s="362"/>
      <c r="I7572" s="362"/>
      <c r="J7572" s="362"/>
    </row>
    <row r="7573" spans="1:10" x14ac:dyDescent="0.25">
      <c r="A7573" s="362"/>
      <c r="B7573" s="611">
        <v>44601</v>
      </c>
      <c r="C7573" s="362" t="s">
        <v>4751</v>
      </c>
      <c r="D7573" s="562">
        <v>212680911</v>
      </c>
      <c r="E7573" s="562">
        <v>47270089</v>
      </c>
      <c r="F7573" s="562"/>
      <c r="G7573" s="562">
        <f t="shared" si="457"/>
        <v>259951000</v>
      </c>
      <c r="H7573" s="362"/>
      <c r="I7573" s="362"/>
      <c r="J7573" s="362"/>
    </row>
    <row r="7574" spans="1:10" x14ac:dyDescent="0.25">
      <c r="A7574" s="362"/>
      <c r="B7574" s="611">
        <v>44601</v>
      </c>
      <c r="C7574" s="362" t="s">
        <v>166</v>
      </c>
      <c r="D7574" s="562">
        <v>105976300</v>
      </c>
      <c r="E7574" s="562"/>
      <c r="F7574" s="562"/>
      <c r="G7574" s="562">
        <f t="shared" si="457"/>
        <v>105976300</v>
      </c>
      <c r="H7574" s="362"/>
      <c r="I7574" s="362"/>
      <c r="J7574" s="362"/>
    </row>
    <row r="7575" spans="1:10" x14ac:dyDescent="0.25">
      <c r="A7575" s="362"/>
      <c r="B7575" s="611">
        <v>44601</v>
      </c>
      <c r="C7575" s="362" t="s">
        <v>3435</v>
      </c>
      <c r="D7575" s="562">
        <v>132742756</v>
      </c>
      <c r="E7575" s="562"/>
      <c r="F7575" s="562"/>
      <c r="G7575" s="562">
        <f t="shared" si="457"/>
        <v>132742756</v>
      </c>
      <c r="H7575" s="362"/>
      <c r="I7575" s="362"/>
      <c r="J7575" s="362"/>
    </row>
    <row r="7576" spans="1:10" x14ac:dyDescent="0.25">
      <c r="A7576" s="362"/>
      <c r="B7576" s="611">
        <v>44601</v>
      </c>
      <c r="C7576" s="370" t="s">
        <v>85</v>
      </c>
      <c r="D7576" s="562">
        <v>49872500</v>
      </c>
      <c r="E7576" s="562"/>
      <c r="F7576" s="562"/>
      <c r="G7576" s="562">
        <f t="shared" si="457"/>
        <v>49872500</v>
      </c>
      <c r="H7576" s="362"/>
      <c r="I7576" s="362"/>
      <c r="J7576" s="362"/>
    </row>
    <row r="7577" spans="1:10" x14ac:dyDescent="0.25">
      <c r="A7577" s="532"/>
      <c r="B7577" s="532"/>
      <c r="C7577" s="532"/>
      <c r="D7577" s="564">
        <f>SUM(D7562:D7576)</f>
        <v>2319547156</v>
      </c>
      <c r="E7577" s="564">
        <f t="shared" ref="E7577:G7577" si="458">SUM(E7562:E7576)</f>
        <v>489227833</v>
      </c>
      <c r="F7577" s="564">
        <f t="shared" si="458"/>
        <v>0</v>
      </c>
      <c r="G7577" s="564">
        <f t="shared" si="458"/>
        <v>2808774989</v>
      </c>
      <c r="H7577" s="532"/>
      <c r="I7577" s="532"/>
      <c r="J7577" s="532"/>
    </row>
    <row r="7578" spans="1:10" x14ac:dyDescent="0.25">
      <c r="A7578" s="362"/>
      <c r="B7578" s="611">
        <v>44602</v>
      </c>
      <c r="C7578" s="362" t="s">
        <v>86</v>
      </c>
      <c r="D7578" s="562">
        <v>74191445</v>
      </c>
      <c r="E7578" s="562">
        <v>128443300</v>
      </c>
      <c r="F7578" s="562"/>
      <c r="G7578" s="562">
        <f t="shared" si="457"/>
        <v>202634745</v>
      </c>
      <c r="H7578" s="362"/>
      <c r="I7578" s="362"/>
      <c r="J7578" s="362"/>
    </row>
    <row r="7579" spans="1:10" x14ac:dyDescent="0.25">
      <c r="A7579" s="362"/>
      <c r="B7579" s="611">
        <v>44602</v>
      </c>
      <c r="C7579" s="362" t="s">
        <v>87</v>
      </c>
      <c r="D7579" s="562">
        <v>88199288</v>
      </c>
      <c r="E7579" s="562">
        <v>107851722</v>
      </c>
      <c r="F7579" s="562"/>
      <c r="G7579" s="562">
        <f t="shared" si="457"/>
        <v>196051010</v>
      </c>
      <c r="H7579" s="362"/>
      <c r="I7579" s="362"/>
      <c r="J7579" s="362"/>
    </row>
    <row r="7580" spans="1:10" x14ac:dyDescent="0.25">
      <c r="A7580" s="362"/>
      <c r="B7580" s="611">
        <v>44602</v>
      </c>
      <c r="C7580" s="362" t="s">
        <v>88</v>
      </c>
      <c r="D7580" s="562">
        <v>246592908</v>
      </c>
      <c r="E7580" s="562">
        <v>16497992</v>
      </c>
      <c r="F7580" s="562"/>
      <c r="G7580" s="562">
        <f t="shared" si="457"/>
        <v>263090900</v>
      </c>
      <c r="H7580" s="362"/>
      <c r="I7580" s="362"/>
      <c r="J7580" s="362"/>
    </row>
    <row r="7581" spans="1:10" x14ac:dyDescent="0.25">
      <c r="A7581" s="362"/>
      <c r="B7581" s="611">
        <v>44602</v>
      </c>
      <c r="C7581" s="362" t="s">
        <v>82</v>
      </c>
      <c r="D7581" s="562">
        <v>105129204</v>
      </c>
      <c r="E7581" s="562">
        <v>5727108</v>
      </c>
      <c r="F7581" s="562"/>
      <c r="G7581" s="562">
        <f t="shared" si="457"/>
        <v>110856312</v>
      </c>
      <c r="H7581" s="362"/>
      <c r="I7581" s="362"/>
      <c r="J7581" s="362"/>
    </row>
    <row r="7582" spans="1:10" x14ac:dyDescent="0.25">
      <c r="A7582" s="362"/>
      <c r="B7582" s="611">
        <v>44602</v>
      </c>
      <c r="C7582" s="362" t="s">
        <v>80</v>
      </c>
      <c r="D7582" s="562">
        <v>251526450</v>
      </c>
      <c r="E7582" s="562">
        <v>3170100</v>
      </c>
      <c r="F7582" s="562"/>
      <c r="G7582" s="562">
        <f t="shared" si="457"/>
        <v>254696550</v>
      </c>
      <c r="H7582" s="362"/>
      <c r="I7582" s="362"/>
      <c r="J7582" s="362"/>
    </row>
    <row r="7583" spans="1:10" x14ac:dyDescent="0.25">
      <c r="A7583" s="362"/>
      <c r="B7583" s="611">
        <v>44602</v>
      </c>
      <c r="C7583" s="362" t="s">
        <v>83</v>
      </c>
      <c r="D7583" s="562">
        <v>148737057</v>
      </c>
      <c r="E7583" s="562">
        <v>7185868</v>
      </c>
      <c r="F7583" s="562"/>
      <c r="G7583" s="562">
        <f t="shared" si="457"/>
        <v>155922925</v>
      </c>
      <c r="H7583" s="362"/>
      <c r="I7583" s="362"/>
      <c r="J7583" s="362"/>
    </row>
    <row r="7584" spans="1:10" x14ac:dyDescent="0.25">
      <c r="A7584" s="362"/>
      <c r="B7584" s="611">
        <v>44602</v>
      </c>
      <c r="C7584" s="362" t="s">
        <v>78</v>
      </c>
      <c r="D7584" s="562">
        <v>177580466</v>
      </c>
      <c r="E7584" s="562">
        <v>2225434</v>
      </c>
      <c r="F7584" s="562"/>
      <c r="G7584" s="562">
        <f t="shared" si="457"/>
        <v>179805900</v>
      </c>
      <c r="H7584" s="362"/>
      <c r="I7584" s="362"/>
      <c r="J7584" s="362"/>
    </row>
    <row r="7585" spans="1:10" x14ac:dyDescent="0.25">
      <c r="A7585" s="362"/>
      <c r="B7585" s="611">
        <v>44602</v>
      </c>
      <c r="C7585" s="362" t="s">
        <v>141</v>
      </c>
      <c r="D7585" s="562">
        <v>68259033</v>
      </c>
      <c r="E7585" s="562"/>
      <c r="F7585" s="562"/>
      <c r="G7585" s="562">
        <f t="shared" si="457"/>
        <v>68259033</v>
      </c>
      <c r="H7585" s="362"/>
      <c r="I7585" s="362"/>
      <c r="J7585" s="362"/>
    </row>
    <row r="7586" spans="1:10" x14ac:dyDescent="0.25">
      <c r="A7586" s="362"/>
      <c r="B7586" s="611">
        <v>44602</v>
      </c>
      <c r="C7586" s="362" t="s">
        <v>89</v>
      </c>
      <c r="D7586" s="562">
        <v>164691300</v>
      </c>
      <c r="E7586" s="562">
        <v>19088900</v>
      </c>
      <c r="F7586" s="562"/>
      <c r="G7586" s="562">
        <f t="shared" si="457"/>
        <v>183780200</v>
      </c>
      <c r="H7586" s="362"/>
      <c r="I7586" s="362"/>
      <c r="J7586" s="362"/>
    </row>
    <row r="7587" spans="1:10" x14ac:dyDescent="0.25">
      <c r="A7587" s="362"/>
      <c r="B7587" s="611">
        <v>44602</v>
      </c>
      <c r="C7587" s="362" t="s">
        <v>81</v>
      </c>
      <c r="D7587" s="562">
        <v>95351692</v>
      </c>
      <c r="E7587" s="562">
        <v>31055246</v>
      </c>
      <c r="F7587" s="562"/>
      <c r="G7587" s="562">
        <f t="shared" si="457"/>
        <v>126406938</v>
      </c>
      <c r="H7587" s="362"/>
      <c r="I7587" s="362"/>
      <c r="J7587" s="362"/>
    </row>
    <row r="7588" spans="1:10" x14ac:dyDescent="0.25">
      <c r="A7588" s="362"/>
      <c r="B7588" s="611">
        <v>44602</v>
      </c>
      <c r="C7588" s="362" t="s">
        <v>84</v>
      </c>
      <c r="D7588" s="562">
        <v>384768593</v>
      </c>
      <c r="E7588" s="562">
        <v>49387255</v>
      </c>
      <c r="F7588" s="562"/>
      <c r="G7588" s="562">
        <f t="shared" si="457"/>
        <v>434155848</v>
      </c>
      <c r="H7588" s="362"/>
      <c r="I7588" s="362"/>
      <c r="J7588" s="362"/>
    </row>
    <row r="7589" spans="1:10" x14ac:dyDescent="0.25">
      <c r="A7589" s="362"/>
      <c r="B7589" s="611">
        <v>44602</v>
      </c>
      <c r="C7589" s="362" t="s">
        <v>4751</v>
      </c>
      <c r="D7589" s="562">
        <v>289949138</v>
      </c>
      <c r="E7589" s="562">
        <v>13681262</v>
      </c>
      <c r="F7589" s="562"/>
      <c r="G7589" s="562">
        <f t="shared" si="457"/>
        <v>303630400</v>
      </c>
      <c r="H7589" s="362"/>
      <c r="I7589" s="362"/>
      <c r="J7589" s="362"/>
    </row>
    <row r="7590" spans="1:10" x14ac:dyDescent="0.25">
      <c r="A7590" s="362"/>
      <c r="B7590" s="611">
        <v>44602</v>
      </c>
      <c r="C7590" s="362" t="s">
        <v>166</v>
      </c>
      <c r="D7590" s="562">
        <v>104821522</v>
      </c>
      <c r="E7590" s="562"/>
      <c r="F7590" s="562"/>
      <c r="G7590" s="562">
        <f t="shared" si="457"/>
        <v>104821522</v>
      </c>
      <c r="H7590" s="362"/>
      <c r="I7590" s="362"/>
      <c r="J7590" s="362"/>
    </row>
    <row r="7591" spans="1:10" x14ac:dyDescent="0.25">
      <c r="A7591" s="362"/>
      <c r="B7591" s="611">
        <v>44602</v>
      </c>
      <c r="C7591" s="362" t="s">
        <v>3435</v>
      </c>
      <c r="D7591" s="562">
        <v>39003849</v>
      </c>
      <c r="E7591" s="562"/>
      <c r="F7591" s="562"/>
      <c r="G7591" s="562">
        <f t="shared" si="457"/>
        <v>39003849</v>
      </c>
      <c r="H7591" s="362"/>
      <c r="I7591" s="362"/>
      <c r="J7591" s="362"/>
    </row>
    <row r="7592" spans="1:10" x14ac:dyDescent="0.25">
      <c r="A7592" s="362"/>
      <c r="B7592" s="611">
        <v>44602</v>
      </c>
      <c r="C7592" s="370" t="s">
        <v>85</v>
      </c>
      <c r="D7592" s="562">
        <v>37520800</v>
      </c>
      <c r="E7592" s="562"/>
      <c r="F7592" s="562"/>
      <c r="G7592" s="562">
        <f t="shared" si="457"/>
        <v>37520800</v>
      </c>
      <c r="H7592" s="362"/>
      <c r="I7592" s="362"/>
      <c r="J7592" s="362"/>
    </row>
    <row r="7593" spans="1:10" x14ac:dyDescent="0.25">
      <c r="A7593" s="532"/>
      <c r="B7593" s="532"/>
      <c r="C7593" s="532"/>
      <c r="D7593" s="564">
        <f>SUM(D7578:D7592)</f>
        <v>2276322745</v>
      </c>
      <c r="E7593" s="564">
        <f t="shared" ref="E7593:G7593" si="459">SUM(E7578:E7592)</f>
        <v>384314187</v>
      </c>
      <c r="F7593" s="564">
        <f t="shared" si="459"/>
        <v>0</v>
      </c>
      <c r="G7593" s="564">
        <f t="shared" si="459"/>
        <v>2660636932</v>
      </c>
      <c r="H7593" s="532"/>
      <c r="I7593" s="532"/>
      <c r="J7593" s="532"/>
    </row>
    <row r="7594" spans="1:10" x14ac:dyDescent="0.25">
      <c r="A7594" s="362"/>
      <c r="B7594" s="611">
        <v>44603</v>
      </c>
      <c r="C7594" s="362" t="s">
        <v>86</v>
      </c>
      <c r="D7594" s="562">
        <v>43416619</v>
      </c>
      <c r="E7594" s="562">
        <v>39005500</v>
      </c>
      <c r="F7594" s="562"/>
      <c r="G7594" s="562">
        <f t="shared" si="457"/>
        <v>82422119</v>
      </c>
      <c r="H7594" s="362"/>
      <c r="I7594" s="362"/>
      <c r="J7594" s="362"/>
    </row>
    <row r="7595" spans="1:10" x14ac:dyDescent="0.25">
      <c r="A7595" s="362"/>
      <c r="B7595" s="611">
        <v>44603</v>
      </c>
      <c r="C7595" s="362" t="s">
        <v>87</v>
      </c>
      <c r="D7595" s="562">
        <v>106916598</v>
      </c>
      <c r="E7595" s="562">
        <v>129836180</v>
      </c>
      <c r="F7595" s="562"/>
      <c r="G7595" s="562">
        <f t="shared" si="457"/>
        <v>236752778</v>
      </c>
      <c r="H7595" s="362"/>
      <c r="I7595" s="362"/>
      <c r="J7595" s="362"/>
    </row>
    <row r="7596" spans="1:10" x14ac:dyDescent="0.25">
      <c r="A7596" s="362"/>
      <c r="B7596" s="611">
        <v>44603</v>
      </c>
      <c r="C7596" s="362" t="s">
        <v>88</v>
      </c>
      <c r="D7596" s="562">
        <v>98917275</v>
      </c>
      <c r="E7596" s="562">
        <v>40283682</v>
      </c>
      <c r="F7596" s="562"/>
      <c r="G7596" s="562">
        <f t="shared" si="457"/>
        <v>139200957</v>
      </c>
      <c r="H7596" s="362"/>
      <c r="I7596" s="362"/>
      <c r="J7596" s="362"/>
    </row>
    <row r="7597" spans="1:10" x14ac:dyDescent="0.25">
      <c r="A7597" s="362"/>
      <c r="B7597" s="611">
        <v>44603</v>
      </c>
      <c r="C7597" s="362" t="s">
        <v>82</v>
      </c>
      <c r="D7597" s="562">
        <v>76234924</v>
      </c>
      <c r="E7597" s="562">
        <v>14305546</v>
      </c>
      <c r="F7597" s="562"/>
      <c r="G7597" s="562">
        <f t="shared" si="457"/>
        <v>90540470</v>
      </c>
      <c r="H7597" s="362"/>
      <c r="I7597" s="362"/>
      <c r="J7597" s="362"/>
    </row>
    <row r="7598" spans="1:10" x14ac:dyDescent="0.25">
      <c r="A7598" s="362"/>
      <c r="B7598" s="611">
        <v>44603</v>
      </c>
      <c r="C7598" s="362" t="s">
        <v>80</v>
      </c>
      <c r="D7598" s="562">
        <v>164042526</v>
      </c>
      <c r="E7598" s="562"/>
      <c r="F7598" s="562"/>
      <c r="G7598" s="562">
        <f t="shared" si="457"/>
        <v>164042526</v>
      </c>
      <c r="H7598" s="362"/>
      <c r="I7598" s="362"/>
      <c r="J7598" s="362"/>
    </row>
    <row r="7599" spans="1:10" x14ac:dyDescent="0.25">
      <c r="A7599" s="362"/>
      <c r="B7599" s="611">
        <v>44603</v>
      </c>
      <c r="C7599" s="362" t="s">
        <v>83</v>
      </c>
      <c r="D7599" s="562">
        <v>128137652</v>
      </c>
      <c r="E7599" s="562">
        <v>11425915</v>
      </c>
      <c r="F7599" s="562"/>
      <c r="G7599" s="562">
        <f t="shared" si="457"/>
        <v>139563567</v>
      </c>
      <c r="H7599" s="362"/>
      <c r="I7599" s="362"/>
      <c r="J7599" s="362"/>
    </row>
    <row r="7600" spans="1:10" x14ac:dyDescent="0.25">
      <c r="A7600" s="362"/>
      <c r="B7600" s="611">
        <v>44603</v>
      </c>
      <c r="C7600" s="362" t="s">
        <v>78</v>
      </c>
      <c r="D7600" s="562">
        <v>156876794</v>
      </c>
      <c r="E7600" s="562">
        <v>3116806</v>
      </c>
      <c r="F7600" s="562"/>
      <c r="G7600" s="562">
        <f t="shared" si="457"/>
        <v>159993600</v>
      </c>
      <c r="H7600" s="362"/>
      <c r="I7600" s="362"/>
      <c r="J7600" s="362"/>
    </row>
    <row r="7601" spans="1:10" x14ac:dyDescent="0.25">
      <c r="A7601" s="362"/>
      <c r="B7601" s="611">
        <v>44603</v>
      </c>
      <c r="C7601" s="362" t="s">
        <v>141</v>
      </c>
      <c r="D7601" s="562">
        <v>73730019</v>
      </c>
      <c r="E7601" s="562">
        <v>702800</v>
      </c>
      <c r="F7601" s="562"/>
      <c r="G7601" s="562">
        <f t="shared" si="457"/>
        <v>74432819</v>
      </c>
      <c r="H7601" s="362"/>
      <c r="I7601" s="362"/>
      <c r="J7601" s="362"/>
    </row>
    <row r="7602" spans="1:10" x14ac:dyDescent="0.25">
      <c r="A7602" s="362"/>
      <c r="B7602" s="611">
        <v>44603</v>
      </c>
      <c r="C7602" s="362" t="s">
        <v>89</v>
      </c>
      <c r="D7602" s="562">
        <v>168520848</v>
      </c>
      <c r="E7602" s="562">
        <v>91186352</v>
      </c>
      <c r="F7602" s="562"/>
      <c r="G7602" s="562">
        <f t="shared" si="457"/>
        <v>259707200</v>
      </c>
      <c r="H7602" s="362"/>
      <c r="I7602" s="362"/>
      <c r="J7602" s="362"/>
    </row>
    <row r="7603" spans="1:10" x14ac:dyDescent="0.25">
      <c r="A7603" s="362"/>
      <c r="B7603" s="611">
        <v>44603</v>
      </c>
      <c r="C7603" s="362" t="s">
        <v>81</v>
      </c>
      <c r="D7603" s="562">
        <v>117124838</v>
      </c>
      <c r="E7603" s="562">
        <v>18135854</v>
      </c>
      <c r="F7603" s="562"/>
      <c r="G7603" s="562">
        <f t="shared" si="457"/>
        <v>135260692</v>
      </c>
      <c r="H7603" s="362"/>
      <c r="I7603" s="362"/>
      <c r="J7603" s="362"/>
    </row>
    <row r="7604" spans="1:10" x14ac:dyDescent="0.25">
      <c r="A7604" s="362"/>
      <c r="B7604" s="611">
        <v>44603</v>
      </c>
      <c r="C7604" s="362" t="s">
        <v>84</v>
      </c>
      <c r="D7604" s="562">
        <v>282004474</v>
      </c>
      <c r="E7604" s="562">
        <v>16205476</v>
      </c>
      <c r="F7604" s="562"/>
      <c r="G7604" s="562">
        <f t="shared" si="457"/>
        <v>298209950</v>
      </c>
      <c r="H7604" s="362"/>
      <c r="I7604" s="362"/>
      <c r="J7604" s="362"/>
    </row>
    <row r="7605" spans="1:10" x14ac:dyDescent="0.25">
      <c r="A7605" s="362"/>
      <c r="B7605" s="611">
        <v>44603</v>
      </c>
      <c r="C7605" s="362" t="s">
        <v>4751</v>
      </c>
      <c r="D7605" s="562">
        <v>147552925</v>
      </c>
      <c r="E7605" s="562">
        <v>11925875</v>
      </c>
      <c r="F7605" s="562"/>
      <c r="G7605" s="562">
        <f t="shared" si="457"/>
        <v>159478800</v>
      </c>
      <c r="H7605" s="362"/>
      <c r="I7605" s="362"/>
      <c r="J7605" s="362"/>
    </row>
    <row r="7606" spans="1:10" x14ac:dyDescent="0.25">
      <c r="A7606" s="362"/>
      <c r="B7606" s="611">
        <v>44603</v>
      </c>
      <c r="C7606" s="362" t="s">
        <v>166</v>
      </c>
      <c r="D7606" s="562">
        <v>41869640</v>
      </c>
      <c r="E7606" s="562"/>
      <c r="F7606" s="562"/>
      <c r="G7606" s="562">
        <f t="shared" si="457"/>
        <v>41869640</v>
      </c>
      <c r="H7606" s="362"/>
      <c r="I7606" s="362"/>
      <c r="J7606" s="362"/>
    </row>
    <row r="7607" spans="1:10" x14ac:dyDescent="0.25">
      <c r="A7607" s="362"/>
      <c r="B7607" s="611">
        <v>44603</v>
      </c>
      <c r="C7607" s="362" t="s">
        <v>3435</v>
      </c>
      <c r="D7607" s="562">
        <v>14115560</v>
      </c>
      <c r="E7607" s="562"/>
      <c r="F7607" s="562"/>
      <c r="G7607" s="562">
        <f t="shared" si="457"/>
        <v>14115560</v>
      </c>
      <c r="H7607" s="362"/>
      <c r="I7607" s="362"/>
      <c r="J7607" s="362"/>
    </row>
    <row r="7608" spans="1:10" x14ac:dyDescent="0.25">
      <c r="A7608" s="362"/>
      <c r="B7608" s="611">
        <v>44603</v>
      </c>
      <c r="C7608" s="370" t="s">
        <v>85</v>
      </c>
      <c r="D7608" s="562">
        <v>34226700</v>
      </c>
      <c r="E7608" s="562"/>
      <c r="F7608" s="562"/>
      <c r="G7608" s="562">
        <f t="shared" si="457"/>
        <v>34226700</v>
      </c>
      <c r="H7608" s="362"/>
      <c r="I7608" s="362"/>
      <c r="J7608" s="362"/>
    </row>
    <row r="7609" spans="1:10" x14ac:dyDescent="0.25">
      <c r="A7609" s="532"/>
      <c r="B7609" s="532"/>
      <c r="C7609" s="532"/>
      <c r="D7609" s="564">
        <f>SUM(D7594:D7608)</f>
        <v>1653687392</v>
      </c>
      <c r="E7609" s="564">
        <f t="shared" ref="E7609:G7609" si="460">SUM(E7594:E7608)</f>
        <v>376129986</v>
      </c>
      <c r="F7609" s="564">
        <f t="shared" si="460"/>
        <v>0</v>
      </c>
      <c r="G7609" s="564">
        <f t="shared" si="460"/>
        <v>2029817378</v>
      </c>
      <c r="H7609" s="532"/>
      <c r="I7609" s="532"/>
      <c r="J7609" s="532"/>
    </row>
    <row r="7610" spans="1:10" x14ac:dyDescent="0.25">
      <c r="A7610" s="362"/>
      <c r="B7610" s="611">
        <v>44604</v>
      </c>
      <c r="C7610" s="362" t="s">
        <v>86</v>
      </c>
      <c r="D7610" s="562">
        <v>30439241</v>
      </c>
      <c r="E7610" s="562">
        <v>81049900</v>
      </c>
      <c r="F7610" s="562"/>
      <c r="G7610" s="562">
        <f t="shared" si="457"/>
        <v>111489141</v>
      </c>
      <c r="H7610" s="362"/>
      <c r="I7610" s="362"/>
      <c r="J7610" s="362"/>
    </row>
    <row r="7611" spans="1:10" x14ac:dyDescent="0.25">
      <c r="A7611" s="362"/>
      <c r="B7611" s="611">
        <v>44604</v>
      </c>
      <c r="C7611" s="362" t="s">
        <v>87</v>
      </c>
      <c r="D7611" s="562">
        <v>62472123</v>
      </c>
      <c r="E7611" s="562">
        <v>64691431</v>
      </c>
      <c r="F7611" s="562"/>
      <c r="G7611" s="562">
        <f t="shared" si="457"/>
        <v>127163554</v>
      </c>
      <c r="H7611" s="362"/>
      <c r="I7611" s="362"/>
      <c r="J7611" s="362"/>
    </row>
    <row r="7612" spans="1:10" x14ac:dyDescent="0.25">
      <c r="A7612" s="362"/>
      <c r="B7612" s="611">
        <v>44604</v>
      </c>
      <c r="C7612" s="362" t="s">
        <v>88</v>
      </c>
      <c r="D7612" s="562">
        <v>83428042</v>
      </c>
      <c r="E7612" s="562">
        <v>54151695</v>
      </c>
      <c r="F7612" s="562"/>
      <c r="G7612" s="562">
        <f t="shared" si="457"/>
        <v>137579737</v>
      </c>
      <c r="H7612" s="362"/>
      <c r="I7612" s="362"/>
      <c r="J7612" s="362"/>
    </row>
    <row r="7613" spans="1:10" x14ac:dyDescent="0.25">
      <c r="A7613" s="362"/>
      <c r="B7613" s="611">
        <v>44604</v>
      </c>
      <c r="C7613" s="362" t="s">
        <v>82</v>
      </c>
      <c r="D7613" s="562">
        <v>142797022</v>
      </c>
      <c r="E7613" s="562">
        <v>12008676</v>
      </c>
      <c r="F7613" s="562"/>
      <c r="G7613" s="562">
        <f t="shared" si="457"/>
        <v>154805698</v>
      </c>
      <c r="H7613" s="362"/>
      <c r="I7613" s="362"/>
      <c r="J7613" s="362"/>
    </row>
    <row r="7614" spans="1:10" x14ac:dyDescent="0.25">
      <c r="A7614" s="362"/>
      <c r="B7614" s="611">
        <v>44604</v>
      </c>
      <c r="C7614" s="362" t="s">
        <v>80</v>
      </c>
      <c r="D7614" s="562">
        <v>239107482</v>
      </c>
      <c r="E7614" s="562">
        <v>49043343</v>
      </c>
      <c r="F7614" s="562"/>
      <c r="G7614" s="562">
        <f t="shared" si="457"/>
        <v>288150825</v>
      </c>
      <c r="H7614" s="362"/>
      <c r="I7614" s="362"/>
      <c r="J7614" s="362"/>
    </row>
    <row r="7615" spans="1:10" x14ac:dyDescent="0.25">
      <c r="A7615" s="362"/>
      <c r="B7615" s="611">
        <v>44604</v>
      </c>
      <c r="C7615" s="362" t="s">
        <v>83</v>
      </c>
      <c r="D7615" s="562">
        <v>114691980</v>
      </c>
      <c r="E7615" s="562">
        <v>248551720</v>
      </c>
      <c r="F7615" s="562"/>
      <c r="G7615" s="562">
        <f t="shared" si="457"/>
        <v>363243700</v>
      </c>
      <c r="H7615" s="362"/>
      <c r="I7615" s="362"/>
      <c r="J7615" s="362"/>
    </row>
    <row r="7616" spans="1:10" x14ac:dyDescent="0.25">
      <c r="A7616" s="362"/>
      <c r="B7616" s="611">
        <v>44604</v>
      </c>
      <c r="C7616" s="362" t="s">
        <v>78</v>
      </c>
      <c r="D7616" s="562">
        <v>145675755</v>
      </c>
      <c r="E7616" s="562">
        <v>11692345</v>
      </c>
      <c r="F7616" s="562"/>
      <c r="G7616" s="562">
        <f t="shared" si="457"/>
        <v>157368100</v>
      </c>
      <c r="H7616" s="362"/>
      <c r="I7616" s="362"/>
      <c r="J7616" s="362"/>
    </row>
    <row r="7617" spans="1:10" x14ac:dyDescent="0.25">
      <c r="A7617" s="362"/>
      <c r="B7617" s="611">
        <v>44604</v>
      </c>
      <c r="C7617" s="362" t="s">
        <v>141</v>
      </c>
      <c r="D7617" s="562">
        <v>88139921</v>
      </c>
      <c r="E7617" s="562">
        <v>1580200</v>
      </c>
      <c r="F7617" s="562"/>
      <c r="G7617" s="562">
        <f t="shared" si="457"/>
        <v>89720121</v>
      </c>
      <c r="H7617" s="362"/>
      <c r="I7617" s="362"/>
      <c r="J7617" s="362"/>
    </row>
    <row r="7618" spans="1:10" x14ac:dyDescent="0.25">
      <c r="A7618" s="362"/>
      <c r="B7618" s="611">
        <v>44604</v>
      </c>
      <c r="C7618" s="362" t="s">
        <v>89</v>
      </c>
      <c r="D7618" s="562">
        <v>145606640</v>
      </c>
      <c r="E7618" s="562">
        <v>69150260</v>
      </c>
      <c r="F7618" s="562"/>
      <c r="G7618" s="562">
        <f t="shared" si="457"/>
        <v>214756900</v>
      </c>
      <c r="H7618" s="362"/>
      <c r="I7618" s="362"/>
      <c r="J7618" s="362"/>
    </row>
    <row r="7619" spans="1:10" x14ac:dyDescent="0.25">
      <c r="A7619" s="362"/>
      <c r="B7619" s="611">
        <v>44604</v>
      </c>
      <c r="C7619" s="362" t="s">
        <v>81</v>
      </c>
      <c r="D7619" s="562">
        <v>161368679</v>
      </c>
      <c r="E7619" s="562">
        <v>32495592</v>
      </c>
      <c r="F7619" s="562"/>
      <c r="G7619" s="562">
        <f t="shared" si="457"/>
        <v>193864271</v>
      </c>
      <c r="H7619" s="362"/>
      <c r="I7619" s="362"/>
      <c r="J7619" s="362"/>
    </row>
    <row r="7620" spans="1:10" x14ac:dyDescent="0.25">
      <c r="A7620" s="362"/>
      <c r="B7620" s="611">
        <v>44604</v>
      </c>
      <c r="C7620" s="362" t="s">
        <v>84</v>
      </c>
      <c r="D7620" s="562">
        <v>181069429</v>
      </c>
      <c r="E7620" s="562">
        <v>21171464</v>
      </c>
      <c r="F7620" s="562"/>
      <c r="G7620" s="562">
        <f t="shared" si="457"/>
        <v>202240893</v>
      </c>
      <c r="H7620" s="362"/>
      <c r="I7620" s="362"/>
      <c r="J7620" s="362"/>
    </row>
    <row r="7621" spans="1:10" x14ac:dyDescent="0.25">
      <c r="A7621" s="362"/>
      <c r="B7621" s="611">
        <v>44604</v>
      </c>
      <c r="C7621" s="362" t="s">
        <v>4751</v>
      </c>
      <c r="D7621" s="562">
        <v>298922941</v>
      </c>
      <c r="E7621" s="562">
        <v>14747059</v>
      </c>
      <c r="F7621" s="562"/>
      <c r="G7621" s="562">
        <f t="shared" si="457"/>
        <v>313670000</v>
      </c>
      <c r="H7621" s="362"/>
      <c r="I7621" s="362"/>
      <c r="J7621" s="362"/>
    </row>
    <row r="7622" spans="1:10" x14ac:dyDescent="0.25">
      <c r="A7622" s="362"/>
      <c r="B7622" s="611">
        <v>44604</v>
      </c>
      <c r="C7622" s="362" t="s">
        <v>166</v>
      </c>
      <c r="D7622" s="562"/>
      <c r="E7622" s="562"/>
      <c r="F7622" s="562"/>
      <c r="G7622" s="562">
        <f t="shared" si="457"/>
        <v>0</v>
      </c>
      <c r="H7622" s="362"/>
      <c r="I7622" s="362"/>
      <c r="J7622" s="362"/>
    </row>
    <row r="7623" spans="1:10" x14ac:dyDescent="0.25">
      <c r="A7623" s="362"/>
      <c r="B7623" s="611">
        <v>44604</v>
      </c>
      <c r="C7623" s="362" t="s">
        <v>3435</v>
      </c>
      <c r="D7623" s="562"/>
      <c r="E7623" s="562"/>
      <c r="F7623" s="562"/>
      <c r="G7623" s="562">
        <f t="shared" si="457"/>
        <v>0</v>
      </c>
      <c r="H7623" s="362"/>
      <c r="I7623" s="362"/>
      <c r="J7623" s="362"/>
    </row>
    <row r="7624" spans="1:10" x14ac:dyDescent="0.25">
      <c r="A7624" s="362"/>
      <c r="B7624" s="611">
        <v>44604</v>
      </c>
      <c r="C7624" s="370" t="s">
        <v>85</v>
      </c>
      <c r="D7624" s="562">
        <v>23657700</v>
      </c>
      <c r="E7624" s="562"/>
      <c r="F7624" s="562"/>
      <c r="G7624" s="562">
        <f t="shared" si="457"/>
        <v>23657700</v>
      </c>
      <c r="H7624" s="362"/>
      <c r="I7624" s="362"/>
      <c r="J7624" s="362"/>
    </row>
    <row r="7625" spans="1:10" x14ac:dyDescent="0.25">
      <c r="A7625" s="532"/>
      <c r="B7625" s="532"/>
      <c r="C7625" s="532"/>
      <c r="D7625" s="564">
        <f>SUM(D7610:D7624)</f>
        <v>1717376955</v>
      </c>
      <c r="E7625" s="564">
        <f t="shared" ref="E7625:G7625" si="461">SUM(E7610:E7624)</f>
        <v>660333685</v>
      </c>
      <c r="F7625" s="564">
        <f t="shared" si="461"/>
        <v>0</v>
      </c>
      <c r="G7625" s="564">
        <f t="shared" si="461"/>
        <v>2377710640</v>
      </c>
      <c r="H7625" s="532"/>
      <c r="I7625" s="532"/>
      <c r="J7625" s="532"/>
    </row>
    <row r="7626" spans="1:10" x14ac:dyDescent="0.25">
      <c r="A7626" s="362"/>
      <c r="B7626" s="611">
        <v>44606</v>
      </c>
      <c r="C7626" s="362" t="s">
        <v>86</v>
      </c>
      <c r="D7626" s="562">
        <v>202934361</v>
      </c>
      <c r="E7626" s="562"/>
      <c r="F7626" s="562"/>
      <c r="G7626" s="562">
        <f t="shared" si="457"/>
        <v>202934361</v>
      </c>
      <c r="H7626" s="362"/>
      <c r="I7626" s="362"/>
      <c r="J7626" s="362"/>
    </row>
    <row r="7627" spans="1:10" x14ac:dyDescent="0.25">
      <c r="A7627" s="362"/>
      <c r="B7627" s="611">
        <v>44606</v>
      </c>
      <c r="C7627" s="362" t="s">
        <v>87</v>
      </c>
      <c r="D7627" s="562">
        <v>157508520</v>
      </c>
      <c r="E7627" s="562"/>
      <c r="F7627" s="562"/>
      <c r="G7627" s="562">
        <f t="shared" si="457"/>
        <v>157508520</v>
      </c>
      <c r="H7627" s="362"/>
      <c r="I7627" s="362"/>
      <c r="J7627" s="362"/>
    </row>
    <row r="7628" spans="1:10" x14ac:dyDescent="0.25">
      <c r="A7628" s="362"/>
      <c r="B7628" s="611">
        <v>44606</v>
      </c>
      <c r="C7628" s="362" t="s">
        <v>88</v>
      </c>
      <c r="D7628" s="562">
        <v>251261182</v>
      </c>
      <c r="E7628" s="562"/>
      <c r="F7628" s="562"/>
      <c r="G7628" s="562">
        <f t="shared" ref="G7628:G7691" si="462">D7628+E7628-F7628</f>
        <v>251261182</v>
      </c>
      <c r="H7628" s="362"/>
      <c r="I7628" s="362"/>
      <c r="J7628" s="362"/>
    </row>
    <row r="7629" spans="1:10" x14ac:dyDescent="0.25">
      <c r="A7629" s="362"/>
      <c r="B7629" s="611">
        <v>44606</v>
      </c>
      <c r="C7629" s="362" t="s">
        <v>82</v>
      </c>
      <c r="D7629" s="562">
        <v>90038510</v>
      </c>
      <c r="E7629" s="562"/>
      <c r="F7629" s="562"/>
      <c r="G7629" s="562">
        <f t="shared" si="462"/>
        <v>90038510</v>
      </c>
      <c r="H7629" s="362"/>
      <c r="I7629" s="362"/>
      <c r="J7629" s="362"/>
    </row>
    <row r="7630" spans="1:10" x14ac:dyDescent="0.25">
      <c r="A7630" s="362"/>
      <c r="B7630" s="611">
        <v>44606</v>
      </c>
      <c r="C7630" s="362" t="s">
        <v>80</v>
      </c>
      <c r="D7630" s="562">
        <v>289327346</v>
      </c>
      <c r="E7630" s="562"/>
      <c r="F7630" s="562"/>
      <c r="G7630" s="562">
        <f t="shared" si="462"/>
        <v>289327346</v>
      </c>
      <c r="H7630" s="362"/>
      <c r="I7630" s="362"/>
      <c r="J7630" s="362"/>
    </row>
    <row r="7631" spans="1:10" x14ac:dyDescent="0.25">
      <c r="A7631" s="362"/>
      <c r="B7631" s="611">
        <v>44606</v>
      </c>
      <c r="C7631" s="362" t="s">
        <v>83</v>
      </c>
      <c r="D7631" s="562">
        <v>168675487</v>
      </c>
      <c r="E7631" s="562"/>
      <c r="F7631" s="562"/>
      <c r="G7631" s="562">
        <f t="shared" si="462"/>
        <v>168675487</v>
      </c>
      <c r="H7631" s="362"/>
      <c r="I7631" s="362"/>
      <c r="J7631" s="362"/>
    </row>
    <row r="7632" spans="1:10" x14ac:dyDescent="0.25">
      <c r="A7632" s="362"/>
      <c r="B7632" s="611">
        <v>44606</v>
      </c>
      <c r="C7632" s="362" t="s">
        <v>78</v>
      </c>
      <c r="D7632" s="562">
        <v>128168282</v>
      </c>
      <c r="E7632" s="562"/>
      <c r="F7632" s="562"/>
      <c r="G7632" s="562">
        <f t="shared" si="462"/>
        <v>128168282</v>
      </c>
      <c r="H7632" s="362"/>
      <c r="I7632" s="362"/>
      <c r="J7632" s="362"/>
    </row>
    <row r="7633" spans="1:10" x14ac:dyDescent="0.25">
      <c r="A7633" s="362"/>
      <c r="B7633" s="611">
        <v>44606</v>
      </c>
      <c r="C7633" s="362" t="s">
        <v>141</v>
      </c>
      <c r="D7633" s="562">
        <v>103733479</v>
      </c>
      <c r="E7633" s="562"/>
      <c r="F7633" s="562"/>
      <c r="G7633" s="562">
        <f t="shared" si="462"/>
        <v>103733479</v>
      </c>
      <c r="H7633" s="362"/>
      <c r="I7633" s="362"/>
      <c r="J7633" s="362"/>
    </row>
    <row r="7634" spans="1:10" x14ac:dyDescent="0.25">
      <c r="A7634" s="362"/>
      <c r="B7634" s="611">
        <v>44606</v>
      </c>
      <c r="C7634" s="362" t="s">
        <v>89</v>
      </c>
      <c r="D7634" s="562">
        <v>166520300</v>
      </c>
      <c r="E7634" s="562"/>
      <c r="F7634" s="562"/>
      <c r="G7634" s="562">
        <f t="shared" si="462"/>
        <v>166520300</v>
      </c>
      <c r="H7634" s="362"/>
      <c r="I7634" s="362"/>
      <c r="J7634" s="362"/>
    </row>
    <row r="7635" spans="1:10" x14ac:dyDescent="0.25">
      <c r="A7635" s="362"/>
      <c r="B7635" s="611">
        <v>44606</v>
      </c>
      <c r="C7635" s="362" t="s">
        <v>81</v>
      </c>
      <c r="D7635" s="562">
        <v>85022191</v>
      </c>
      <c r="E7635" s="562"/>
      <c r="F7635" s="562"/>
      <c r="G7635" s="562">
        <f t="shared" si="462"/>
        <v>85022191</v>
      </c>
      <c r="H7635" s="362"/>
      <c r="I7635" s="362"/>
      <c r="J7635" s="362"/>
    </row>
    <row r="7636" spans="1:10" x14ac:dyDescent="0.25">
      <c r="A7636" s="362"/>
      <c r="B7636" s="611">
        <v>44606</v>
      </c>
      <c r="C7636" s="362" t="s">
        <v>84</v>
      </c>
      <c r="D7636" s="562">
        <v>361264031</v>
      </c>
      <c r="E7636" s="562"/>
      <c r="F7636" s="562"/>
      <c r="G7636" s="562">
        <f t="shared" si="462"/>
        <v>361264031</v>
      </c>
      <c r="H7636" s="362"/>
      <c r="I7636" s="362"/>
      <c r="J7636" s="362"/>
    </row>
    <row r="7637" spans="1:10" x14ac:dyDescent="0.25">
      <c r="A7637" s="362"/>
      <c r="B7637" s="611">
        <v>44606</v>
      </c>
      <c r="C7637" s="362" t="s">
        <v>4751</v>
      </c>
      <c r="D7637" s="562">
        <v>243494900</v>
      </c>
      <c r="E7637" s="562"/>
      <c r="F7637" s="562"/>
      <c r="G7637" s="562">
        <f t="shared" si="462"/>
        <v>243494900</v>
      </c>
      <c r="H7637" s="362"/>
      <c r="I7637" s="362"/>
      <c r="J7637" s="362"/>
    </row>
    <row r="7638" spans="1:10" x14ac:dyDescent="0.25">
      <c r="A7638" s="362"/>
      <c r="B7638" s="611">
        <v>44606</v>
      </c>
      <c r="C7638" s="362" t="s">
        <v>166</v>
      </c>
      <c r="D7638" s="562">
        <v>59329885</v>
      </c>
      <c r="E7638" s="562"/>
      <c r="F7638" s="562"/>
      <c r="G7638" s="562">
        <f t="shared" si="462"/>
        <v>59329885</v>
      </c>
      <c r="H7638" s="362"/>
      <c r="I7638" s="362"/>
      <c r="J7638" s="362"/>
    </row>
    <row r="7639" spans="1:10" x14ac:dyDescent="0.25">
      <c r="A7639" s="362"/>
      <c r="B7639" s="611">
        <v>44606</v>
      </c>
      <c r="C7639" s="362" t="s">
        <v>3435</v>
      </c>
      <c r="D7639" s="562">
        <v>11846663</v>
      </c>
      <c r="E7639" s="562"/>
      <c r="F7639" s="562"/>
      <c r="G7639" s="562">
        <f t="shared" si="462"/>
        <v>11846663</v>
      </c>
      <c r="H7639" s="362"/>
      <c r="I7639" s="362"/>
      <c r="J7639" s="362"/>
    </row>
    <row r="7640" spans="1:10" x14ac:dyDescent="0.25">
      <c r="A7640" s="362"/>
      <c r="B7640" s="611">
        <v>44606</v>
      </c>
      <c r="C7640" s="370" t="s">
        <v>85</v>
      </c>
      <c r="D7640" s="562">
        <v>65607900</v>
      </c>
      <c r="E7640" s="562"/>
      <c r="F7640" s="562"/>
      <c r="G7640" s="562">
        <f t="shared" si="462"/>
        <v>65607900</v>
      </c>
      <c r="H7640" s="362"/>
      <c r="I7640" s="362"/>
      <c r="J7640" s="362"/>
    </row>
    <row r="7641" spans="1:10" x14ac:dyDescent="0.25">
      <c r="A7641" s="532"/>
      <c r="B7641" s="532"/>
      <c r="C7641" s="532"/>
      <c r="D7641" s="564">
        <f>SUM(D7626:D7640)</f>
        <v>2384733037</v>
      </c>
      <c r="E7641" s="564">
        <f t="shared" ref="E7641:G7641" si="463">SUM(E7626:E7640)</f>
        <v>0</v>
      </c>
      <c r="F7641" s="564">
        <f t="shared" si="463"/>
        <v>0</v>
      </c>
      <c r="G7641" s="564">
        <f t="shared" si="463"/>
        <v>2384733037</v>
      </c>
      <c r="H7641" s="532"/>
      <c r="I7641" s="532"/>
      <c r="J7641" s="532"/>
    </row>
    <row r="7642" spans="1:10" x14ac:dyDescent="0.25">
      <c r="A7642" s="362"/>
      <c r="B7642" s="611">
        <v>44607</v>
      </c>
      <c r="C7642" s="362" t="s">
        <v>86</v>
      </c>
      <c r="D7642" s="562">
        <v>86947599</v>
      </c>
      <c r="E7642" s="562"/>
      <c r="F7642" s="562"/>
      <c r="G7642" s="562">
        <f t="shared" si="462"/>
        <v>86947599</v>
      </c>
      <c r="H7642" s="362"/>
      <c r="I7642" s="362"/>
      <c r="J7642" s="362"/>
    </row>
    <row r="7643" spans="1:10" x14ac:dyDescent="0.25">
      <c r="A7643" s="362"/>
      <c r="B7643" s="611">
        <v>44607</v>
      </c>
      <c r="C7643" s="362" t="s">
        <v>87</v>
      </c>
      <c r="D7643" s="562">
        <v>195070752</v>
      </c>
      <c r="E7643" s="562"/>
      <c r="F7643" s="562"/>
      <c r="G7643" s="562">
        <f t="shared" si="462"/>
        <v>195070752</v>
      </c>
      <c r="H7643" s="362"/>
      <c r="I7643" s="362"/>
      <c r="J7643" s="362"/>
    </row>
    <row r="7644" spans="1:10" x14ac:dyDescent="0.25">
      <c r="A7644" s="362"/>
      <c r="B7644" s="611">
        <v>44607</v>
      </c>
      <c r="C7644" s="362" t="s">
        <v>88</v>
      </c>
      <c r="D7644" s="562">
        <v>111010315</v>
      </c>
      <c r="E7644" s="562"/>
      <c r="F7644" s="562">
        <v>111010400</v>
      </c>
      <c r="G7644" s="562">
        <f t="shared" si="462"/>
        <v>-85</v>
      </c>
      <c r="H7644" s="362"/>
      <c r="I7644" s="362"/>
      <c r="J7644" s="362"/>
    </row>
    <row r="7645" spans="1:10" x14ac:dyDescent="0.25">
      <c r="A7645" s="362"/>
      <c r="B7645" s="611">
        <v>44607</v>
      </c>
      <c r="C7645" s="362" t="s">
        <v>82</v>
      </c>
      <c r="D7645" s="562">
        <v>76430775</v>
      </c>
      <c r="E7645" s="562"/>
      <c r="F7645" s="562">
        <v>76430800</v>
      </c>
      <c r="G7645" s="562">
        <f t="shared" si="462"/>
        <v>-25</v>
      </c>
      <c r="H7645" s="362"/>
      <c r="I7645" s="362"/>
      <c r="J7645" s="362"/>
    </row>
    <row r="7646" spans="1:10" x14ac:dyDescent="0.25">
      <c r="A7646" s="362"/>
      <c r="B7646" s="611">
        <v>44607</v>
      </c>
      <c r="C7646" s="362" t="s">
        <v>80</v>
      </c>
      <c r="D7646" s="562">
        <v>383189400</v>
      </c>
      <c r="E7646" s="562"/>
      <c r="F7646" s="562">
        <v>383189400</v>
      </c>
      <c r="G7646" s="562">
        <f t="shared" si="462"/>
        <v>0</v>
      </c>
      <c r="H7646" s="362"/>
      <c r="I7646" s="362"/>
      <c r="J7646" s="362"/>
    </row>
    <row r="7647" spans="1:10" x14ac:dyDescent="0.25">
      <c r="A7647" s="362"/>
      <c r="B7647" s="611">
        <v>44607</v>
      </c>
      <c r="C7647" s="362" t="s">
        <v>83</v>
      </c>
      <c r="D7647" s="562">
        <v>501807319</v>
      </c>
      <c r="E7647" s="562"/>
      <c r="F7647" s="562">
        <v>501807400</v>
      </c>
      <c r="G7647" s="562">
        <f t="shared" si="462"/>
        <v>-81</v>
      </c>
      <c r="H7647" s="362"/>
      <c r="I7647" s="362"/>
      <c r="J7647" s="362"/>
    </row>
    <row r="7648" spans="1:10" x14ac:dyDescent="0.25">
      <c r="A7648" s="362"/>
      <c r="B7648" s="611">
        <v>44607</v>
      </c>
      <c r="C7648" s="362" t="s">
        <v>78</v>
      </c>
      <c r="D7648" s="562">
        <v>87912903</v>
      </c>
      <c r="E7648" s="562"/>
      <c r="F7648" s="562"/>
      <c r="G7648" s="562">
        <f t="shared" si="462"/>
        <v>87912903</v>
      </c>
      <c r="H7648" s="362"/>
      <c r="I7648" s="362"/>
      <c r="J7648" s="362"/>
    </row>
    <row r="7649" spans="1:10" x14ac:dyDescent="0.25">
      <c r="A7649" s="362"/>
      <c r="B7649" s="611">
        <v>44607</v>
      </c>
      <c r="C7649" s="362" t="s">
        <v>141</v>
      </c>
      <c r="D7649" s="562">
        <v>55888496</v>
      </c>
      <c r="E7649" s="562"/>
      <c r="F7649" s="562">
        <v>56475700</v>
      </c>
      <c r="G7649" s="562">
        <f t="shared" si="462"/>
        <v>-587204</v>
      </c>
      <c r="H7649" s="362"/>
      <c r="I7649" s="362"/>
      <c r="J7649" s="362"/>
    </row>
    <row r="7650" spans="1:10" x14ac:dyDescent="0.25">
      <c r="A7650" s="362"/>
      <c r="B7650" s="611">
        <v>44607</v>
      </c>
      <c r="C7650" s="362" t="s">
        <v>89</v>
      </c>
      <c r="D7650" s="562">
        <v>130353900</v>
      </c>
      <c r="E7650" s="562"/>
      <c r="F7650" s="562">
        <v>130353900</v>
      </c>
      <c r="G7650" s="562">
        <f t="shared" si="462"/>
        <v>0</v>
      </c>
      <c r="H7650" s="362"/>
      <c r="I7650" s="362"/>
      <c r="J7650" s="362"/>
    </row>
    <row r="7651" spans="1:10" x14ac:dyDescent="0.25">
      <c r="A7651" s="362"/>
      <c r="B7651" s="611">
        <v>44607</v>
      </c>
      <c r="C7651" s="362" t="s">
        <v>81</v>
      </c>
      <c r="D7651" s="562">
        <v>84738581</v>
      </c>
      <c r="E7651" s="562"/>
      <c r="F7651" s="562">
        <v>84738700</v>
      </c>
      <c r="G7651" s="562">
        <f t="shared" si="462"/>
        <v>-119</v>
      </c>
      <c r="H7651" s="362"/>
      <c r="I7651" s="362"/>
      <c r="J7651" s="362"/>
    </row>
    <row r="7652" spans="1:10" x14ac:dyDescent="0.25">
      <c r="A7652" s="362"/>
      <c r="B7652" s="611">
        <v>44607</v>
      </c>
      <c r="C7652" s="362" t="s">
        <v>84</v>
      </c>
      <c r="D7652" s="562">
        <v>234074089</v>
      </c>
      <c r="E7652" s="562"/>
      <c r="F7652" s="562">
        <v>234074200</v>
      </c>
      <c r="G7652" s="562">
        <f t="shared" si="462"/>
        <v>-111</v>
      </c>
      <c r="H7652" s="362"/>
      <c r="I7652" s="362"/>
      <c r="J7652" s="362"/>
    </row>
    <row r="7653" spans="1:10" x14ac:dyDescent="0.25">
      <c r="A7653" s="362"/>
      <c r="B7653" s="611">
        <v>44607</v>
      </c>
      <c r="C7653" s="362" t="s">
        <v>4751</v>
      </c>
      <c r="D7653" s="562">
        <v>213272100</v>
      </c>
      <c r="E7653" s="562"/>
      <c r="F7653" s="562">
        <v>213272100</v>
      </c>
      <c r="G7653" s="562">
        <f t="shared" si="462"/>
        <v>0</v>
      </c>
      <c r="H7653" s="362"/>
      <c r="I7653" s="362"/>
      <c r="J7653" s="362"/>
    </row>
    <row r="7654" spans="1:10" x14ac:dyDescent="0.25">
      <c r="A7654" s="362"/>
      <c r="B7654" s="611">
        <v>44607</v>
      </c>
      <c r="C7654" s="362" t="s">
        <v>166</v>
      </c>
      <c r="D7654" s="562">
        <v>127970420</v>
      </c>
      <c r="E7654" s="562"/>
      <c r="F7654" s="562"/>
      <c r="G7654" s="562">
        <f t="shared" si="462"/>
        <v>127970420</v>
      </c>
      <c r="H7654" s="362"/>
      <c r="I7654" s="362"/>
      <c r="J7654" s="362"/>
    </row>
    <row r="7655" spans="1:10" x14ac:dyDescent="0.25">
      <c r="A7655" s="362"/>
      <c r="B7655" s="611">
        <v>44607</v>
      </c>
      <c r="C7655" s="362" t="s">
        <v>3435</v>
      </c>
      <c r="D7655" s="562">
        <v>70531610</v>
      </c>
      <c r="E7655" s="562"/>
      <c r="F7655" s="562">
        <v>70531700</v>
      </c>
      <c r="G7655" s="562">
        <f t="shared" si="462"/>
        <v>-90</v>
      </c>
      <c r="H7655" s="362"/>
      <c r="I7655" s="362"/>
      <c r="J7655" s="362"/>
    </row>
    <row r="7656" spans="1:10" x14ac:dyDescent="0.25">
      <c r="A7656" s="362"/>
      <c r="B7656" s="611">
        <v>44607</v>
      </c>
      <c r="C7656" s="370" t="s">
        <v>85</v>
      </c>
      <c r="D7656" s="562">
        <v>35753100</v>
      </c>
      <c r="E7656" s="562"/>
      <c r="F7656" s="562">
        <v>35753100</v>
      </c>
      <c r="G7656" s="562">
        <f t="shared" si="462"/>
        <v>0</v>
      </c>
      <c r="H7656" s="362"/>
      <c r="I7656" s="362"/>
      <c r="J7656" s="362"/>
    </row>
    <row r="7657" spans="1:10" x14ac:dyDescent="0.25">
      <c r="A7657" s="532"/>
      <c r="B7657" s="532"/>
      <c r="C7657" s="532"/>
      <c r="D7657" s="564">
        <f>SUM(D7642:D7656)</f>
        <v>2394951359</v>
      </c>
      <c r="E7657" s="564">
        <f t="shared" ref="E7657:G7657" si="464">SUM(E7642:E7656)</f>
        <v>0</v>
      </c>
      <c r="F7657" s="564">
        <f t="shared" si="464"/>
        <v>1897637400</v>
      </c>
      <c r="G7657" s="564">
        <f t="shared" si="464"/>
        <v>497313959</v>
      </c>
      <c r="H7657" s="532"/>
      <c r="I7657" s="532"/>
      <c r="J7657" s="532"/>
    </row>
    <row r="7658" spans="1:10" x14ac:dyDescent="0.25">
      <c r="A7658" s="362"/>
      <c r="B7658" s="611">
        <v>44608</v>
      </c>
      <c r="C7658" s="362" t="s">
        <v>86</v>
      </c>
      <c r="D7658" s="562">
        <v>216679451</v>
      </c>
      <c r="E7658" s="562"/>
      <c r="F7658" s="562"/>
      <c r="G7658" s="562">
        <f t="shared" si="462"/>
        <v>216679451</v>
      </c>
      <c r="H7658" s="362"/>
      <c r="I7658" s="362"/>
      <c r="J7658" s="362"/>
    </row>
    <row r="7659" spans="1:10" x14ac:dyDescent="0.25">
      <c r="A7659" s="362"/>
      <c r="B7659" s="611">
        <v>44608</v>
      </c>
      <c r="C7659" s="362" t="s">
        <v>87</v>
      </c>
      <c r="D7659" s="562">
        <v>135073945</v>
      </c>
      <c r="E7659" s="562"/>
      <c r="F7659" s="562"/>
      <c r="G7659" s="562">
        <f t="shared" si="462"/>
        <v>135073945</v>
      </c>
      <c r="H7659" s="362"/>
      <c r="I7659" s="362"/>
      <c r="J7659" s="362"/>
    </row>
    <row r="7660" spans="1:10" x14ac:dyDescent="0.25">
      <c r="A7660" s="362"/>
      <c r="B7660" s="611">
        <v>44608</v>
      </c>
      <c r="C7660" s="362" t="s">
        <v>88</v>
      </c>
      <c r="D7660" s="562">
        <v>270769955</v>
      </c>
      <c r="E7660" s="562"/>
      <c r="F7660" s="562"/>
      <c r="G7660" s="562">
        <f t="shared" si="462"/>
        <v>270769955</v>
      </c>
      <c r="H7660" s="362"/>
      <c r="I7660" s="362"/>
      <c r="J7660" s="362"/>
    </row>
    <row r="7661" spans="1:10" x14ac:dyDescent="0.25">
      <c r="A7661" s="362"/>
      <c r="B7661" s="611">
        <v>44608</v>
      </c>
      <c r="C7661" s="362" t="s">
        <v>82</v>
      </c>
      <c r="D7661" s="562">
        <v>135752096</v>
      </c>
      <c r="E7661" s="562"/>
      <c r="F7661" s="562"/>
      <c r="G7661" s="562">
        <f t="shared" si="462"/>
        <v>135752096</v>
      </c>
      <c r="H7661" s="362"/>
      <c r="I7661" s="362"/>
      <c r="J7661" s="362"/>
    </row>
    <row r="7662" spans="1:10" x14ac:dyDescent="0.25">
      <c r="A7662" s="362"/>
      <c r="B7662" s="611">
        <v>44608</v>
      </c>
      <c r="C7662" s="362" t="s">
        <v>80</v>
      </c>
      <c r="D7662" s="562">
        <v>495629823</v>
      </c>
      <c r="E7662" s="562"/>
      <c r="F7662" s="562"/>
      <c r="G7662" s="562">
        <f t="shared" si="462"/>
        <v>495629823</v>
      </c>
      <c r="H7662" s="362"/>
      <c r="I7662" s="362"/>
      <c r="J7662" s="362"/>
    </row>
    <row r="7663" spans="1:10" x14ac:dyDescent="0.25">
      <c r="A7663" s="362"/>
      <c r="B7663" s="611">
        <v>44608</v>
      </c>
      <c r="C7663" s="362" t="s">
        <v>83</v>
      </c>
      <c r="D7663" s="562">
        <v>207815529</v>
      </c>
      <c r="E7663" s="562"/>
      <c r="F7663" s="562"/>
      <c r="G7663" s="562">
        <f t="shared" si="462"/>
        <v>207815529</v>
      </c>
      <c r="H7663" s="362"/>
      <c r="I7663" s="362"/>
      <c r="J7663" s="362"/>
    </row>
    <row r="7664" spans="1:10" x14ac:dyDescent="0.25">
      <c r="A7664" s="362"/>
      <c r="B7664" s="611">
        <v>44608</v>
      </c>
      <c r="C7664" s="362" t="s">
        <v>78</v>
      </c>
      <c r="D7664" s="562">
        <v>115285925</v>
      </c>
      <c r="E7664" s="562"/>
      <c r="F7664" s="562"/>
      <c r="G7664" s="562">
        <f t="shared" si="462"/>
        <v>115285925</v>
      </c>
      <c r="H7664" s="362"/>
      <c r="I7664" s="362"/>
      <c r="J7664" s="362"/>
    </row>
    <row r="7665" spans="1:10" x14ac:dyDescent="0.25">
      <c r="A7665" s="362"/>
      <c r="B7665" s="611">
        <v>44608</v>
      </c>
      <c r="C7665" s="362" t="s">
        <v>141</v>
      </c>
      <c r="D7665" s="562">
        <v>182415848</v>
      </c>
      <c r="E7665" s="562"/>
      <c r="F7665" s="562"/>
      <c r="G7665" s="562">
        <f t="shared" si="462"/>
        <v>182415848</v>
      </c>
      <c r="H7665" s="362"/>
      <c r="I7665" s="362"/>
      <c r="J7665" s="362"/>
    </row>
    <row r="7666" spans="1:10" x14ac:dyDescent="0.25">
      <c r="A7666" s="362"/>
      <c r="B7666" s="611">
        <v>44608</v>
      </c>
      <c r="C7666" s="362" t="s">
        <v>89</v>
      </c>
      <c r="D7666" s="562">
        <v>168335300</v>
      </c>
      <c r="E7666" s="562"/>
      <c r="F7666" s="562"/>
      <c r="G7666" s="562">
        <f t="shared" si="462"/>
        <v>168335300</v>
      </c>
      <c r="H7666" s="362"/>
      <c r="I7666" s="362"/>
      <c r="J7666" s="362"/>
    </row>
    <row r="7667" spans="1:10" x14ac:dyDescent="0.25">
      <c r="A7667" s="362"/>
      <c r="B7667" s="611">
        <v>44608</v>
      </c>
      <c r="C7667" s="362" t="s">
        <v>81</v>
      </c>
      <c r="D7667" s="562">
        <v>94267755</v>
      </c>
      <c r="E7667" s="562"/>
      <c r="F7667" s="562"/>
      <c r="G7667" s="562">
        <f t="shared" si="462"/>
        <v>94267755</v>
      </c>
      <c r="H7667" s="362"/>
      <c r="I7667" s="362"/>
      <c r="J7667" s="362"/>
    </row>
    <row r="7668" spans="1:10" x14ac:dyDescent="0.25">
      <c r="A7668" s="362"/>
      <c r="B7668" s="611">
        <v>44608</v>
      </c>
      <c r="C7668" s="362" t="s">
        <v>84</v>
      </c>
      <c r="D7668" s="562">
        <v>257802596</v>
      </c>
      <c r="E7668" s="562"/>
      <c r="F7668" s="562"/>
      <c r="G7668" s="562">
        <f t="shared" si="462"/>
        <v>257802596</v>
      </c>
      <c r="H7668" s="362"/>
      <c r="I7668" s="362"/>
      <c r="J7668" s="362"/>
    </row>
    <row r="7669" spans="1:10" x14ac:dyDescent="0.25">
      <c r="A7669" s="362"/>
      <c r="B7669" s="611">
        <v>44608</v>
      </c>
      <c r="C7669" s="362" t="s">
        <v>4751</v>
      </c>
      <c r="D7669" s="562">
        <v>181852200</v>
      </c>
      <c r="E7669" s="562"/>
      <c r="F7669" s="562"/>
      <c r="G7669" s="562">
        <f t="shared" si="462"/>
        <v>181852200</v>
      </c>
      <c r="H7669" s="362"/>
      <c r="I7669" s="362"/>
      <c r="J7669" s="362"/>
    </row>
    <row r="7670" spans="1:10" x14ac:dyDescent="0.25">
      <c r="A7670" s="362"/>
      <c r="B7670" s="611">
        <v>44608</v>
      </c>
      <c r="C7670" s="362" t="s">
        <v>166</v>
      </c>
      <c r="D7670" s="562">
        <v>74605548</v>
      </c>
      <c r="E7670" s="562"/>
      <c r="F7670" s="562"/>
      <c r="G7670" s="562">
        <f t="shared" si="462"/>
        <v>74605548</v>
      </c>
      <c r="H7670" s="362"/>
      <c r="I7670" s="362"/>
      <c r="J7670" s="362"/>
    </row>
    <row r="7671" spans="1:10" x14ac:dyDescent="0.25">
      <c r="A7671" s="362"/>
      <c r="B7671" s="611">
        <v>44608</v>
      </c>
      <c r="C7671" s="362" t="s">
        <v>3435</v>
      </c>
      <c r="D7671" s="562">
        <v>40022361</v>
      </c>
      <c r="E7671" s="562"/>
      <c r="F7671" s="562"/>
      <c r="G7671" s="562">
        <f t="shared" si="462"/>
        <v>40022361</v>
      </c>
      <c r="H7671" s="362"/>
      <c r="I7671" s="362"/>
      <c r="J7671" s="362"/>
    </row>
    <row r="7672" spans="1:10" x14ac:dyDescent="0.25">
      <c r="A7672" s="362"/>
      <c r="B7672" s="611">
        <v>44608</v>
      </c>
      <c r="C7672" s="370" t="s">
        <v>85</v>
      </c>
      <c r="D7672" s="562">
        <v>45905700</v>
      </c>
      <c r="E7672" s="562"/>
      <c r="F7672" s="562"/>
      <c r="G7672" s="562">
        <f t="shared" si="462"/>
        <v>45905700</v>
      </c>
      <c r="H7672" s="362"/>
      <c r="I7672" s="362"/>
      <c r="J7672" s="362"/>
    </row>
    <row r="7673" spans="1:10" x14ac:dyDescent="0.25">
      <c r="A7673" s="532"/>
      <c r="B7673" s="532"/>
      <c r="C7673" s="532"/>
      <c r="D7673" s="564">
        <f>SUM(D7658:D7672)</f>
        <v>2622214032</v>
      </c>
      <c r="E7673" s="564"/>
      <c r="F7673" s="564"/>
      <c r="G7673" s="564">
        <f>SUM(G7658:G7672)</f>
        <v>2622214032</v>
      </c>
      <c r="H7673" s="532"/>
      <c r="I7673" s="532"/>
      <c r="J7673" s="532"/>
    </row>
    <row r="7674" spans="1:10" x14ac:dyDescent="0.25">
      <c r="A7674" s="362"/>
      <c r="B7674" s="611">
        <v>44609</v>
      </c>
      <c r="C7674" s="362" t="s">
        <v>86</v>
      </c>
      <c r="D7674" s="562">
        <v>312336420</v>
      </c>
      <c r="E7674" s="562"/>
      <c r="F7674" s="562"/>
      <c r="G7674" s="562">
        <f t="shared" si="462"/>
        <v>312336420</v>
      </c>
      <c r="H7674" s="362"/>
      <c r="I7674" s="362"/>
      <c r="J7674" s="362"/>
    </row>
    <row r="7675" spans="1:10" x14ac:dyDescent="0.25">
      <c r="A7675" s="362"/>
      <c r="B7675" s="611">
        <v>44609</v>
      </c>
      <c r="C7675" s="362" t="s">
        <v>87</v>
      </c>
      <c r="D7675" s="562">
        <v>201466183</v>
      </c>
      <c r="E7675" s="562"/>
      <c r="F7675" s="562"/>
      <c r="G7675" s="562">
        <f t="shared" si="462"/>
        <v>201466183</v>
      </c>
      <c r="H7675" s="362"/>
      <c r="I7675" s="362"/>
      <c r="J7675" s="362"/>
    </row>
    <row r="7676" spans="1:10" x14ac:dyDescent="0.25">
      <c r="A7676" s="362"/>
      <c r="B7676" s="611">
        <v>44609</v>
      </c>
      <c r="C7676" s="362" t="s">
        <v>88</v>
      </c>
      <c r="D7676" s="562">
        <v>214217103</v>
      </c>
      <c r="E7676" s="562"/>
      <c r="F7676" s="562"/>
      <c r="G7676" s="562">
        <f t="shared" si="462"/>
        <v>214217103</v>
      </c>
      <c r="H7676" s="362"/>
      <c r="I7676" s="362"/>
      <c r="J7676" s="362"/>
    </row>
    <row r="7677" spans="1:10" x14ac:dyDescent="0.25">
      <c r="A7677" s="362"/>
      <c r="B7677" s="611">
        <v>44609</v>
      </c>
      <c r="C7677" s="362" t="s">
        <v>82</v>
      </c>
      <c r="D7677" s="562">
        <v>126550640</v>
      </c>
      <c r="E7677" s="562"/>
      <c r="F7677" s="562"/>
      <c r="G7677" s="562">
        <f t="shared" si="462"/>
        <v>126550640</v>
      </c>
      <c r="H7677" s="362"/>
      <c r="I7677" s="362"/>
      <c r="J7677" s="362"/>
    </row>
    <row r="7678" spans="1:10" x14ac:dyDescent="0.25">
      <c r="A7678" s="362"/>
      <c r="B7678" s="611">
        <v>44609</v>
      </c>
      <c r="C7678" s="362" t="s">
        <v>80</v>
      </c>
      <c r="D7678" s="562">
        <v>486445984</v>
      </c>
      <c r="E7678" s="562"/>
      <c r="F7678" s="562"/>
      <c r="G7678" s="562">
        <f t="shared" si="462"/>
        <v>486445984</v>
      </c>
      <c r="H7678" s="362"/>
      <c r="I7678" s="362"/>
      <c r="J7678" s="362"/>
    </row>
    <row r="7679" spans="1:10" x14ac:dyDescent="0.25">
      <c r="A7679" s="362"/>
      <c r="B7679" s="611">
        <v>44609</v>
      </c>
      <c r="C7679" s="362" t="s">
        <v>83</v>
      </c>
      <c r="D7679" s="562">
        <v>156939255</v>
      </c>
      <c r="E7679" s="562"/>
      <c r="F7679" s="562"/>
      <c r="G7679" s="562">
        <f t="shared" si="462"/>
        <v>156939255</v>
      </c>
      <c r="H7679" s="362"/>
      <c r="I7679" s="362"/>
      <c r="J7679" s="362"/>
    </row>
    <row r="7680" spans="1:10" x14ac:dyDescent="0.25">
      <c r="A7680" s="362"/>
      <c r="B7680" s="611">
        <v>44609</v>
      </c>
      <c r="C7680" s="362" t="s">
        <v>78</v>
      </c>
      <c r="D7680" s="562">
        <v>134663520</v>
      </c>
      <c r="E7680" s="562"/>
      <c r="F7680" s="562"/>
      <c r="G7680" s="562">
        <f t="shared" si="462"/>
        <v>134663520</v>
      </c>
      <c r="H7680" s="362"/>
      <c r="I7680" s="362"/>
      <c r="J7680" s="362"/>
    </row>
    <row r="7681" spans="1:10" x14ac:dyDescent="0.25">
      <c r="A7681" s="362"/>
      <c r="B7681" s="611">
        <v>44609</v>
      </c>
      <c r="C7681" s="362" t="s">
        <v>141</v>
      </c>
      <c r="D7681" s="562">
        <v>60431474</v>
      </c>
      <c r="E7681" s="562"/>
      <c r="F7681" s="562"/>
      <c r="G7681" s="562">
        <f t="shared" si="462"/>
        <v>60431474</v>
      </c>
      <c r="H7681" s="362"/>
      <c r="I7681" s="362"/>
      <c r="J7681" s="362"/>
    </row>
    <row r="7682" spans="1:10" x14ac:dyDescent="0.25">
      <c r="A7682" s="362"/>
      <c r="B7682" s="611">
        <v>44609</v>
      </c>
      <c r="C7682" s="362" t="s">
        <v>89</v>
      </c>
      <c r="D7682" s="562">
        <v>167331700</v>
      </c>
      <c r="E7682" s="562"/>
      <c r="F7682" s="562"/>
      <c r="G7682" s="562">
        <f t="shared" si="462"/>
        <v>167331700</v>
      </c>
      <c r="H7682" s="362"/>
      <c r="I7682" s="362"/>
      <c r="J7682" s="362"/>
    </row>
    <row r="7683" spans="1:10" x14ac:dyDescent="0.25">
      <c r="A7683" s="362"/>
      <c r="B7683" s="611">
        <v>44609</v>
      </c>
      <c r="C7683" s="362" t="s">
        <v>81</v>
      </c>
      <c r="D7683" s="562">
        <v>169404305</v>
      </c>
      <c r="E7683" s="562"/>
      <c r="F7683" s="562"/>
      <c r="G7683" s="562">
        <f t="shared" si="462"/>
        <v>169404305</v>
      </c>
      <c r="H7683" s="362"/>
      <c r="I7683" s="362"/>
      <c r="J7683" s="362"/>
    </row>
    <row r="7684" spans="1:10" x14ac:dyDescent="0.25">
      <c r="A7684" s="362"/>
      <c r="B7684" s="611">
        <v>44609</v>
      </c>
      <c r="C7684" s="362" t="s">
        <v>84</v>
      </c>
      <c r="D7684" s="562">
        <v>296387574</v>
      </c>
      <c r="E7684" s="562"/>
      <c r="F7684" s="562"/>
      <c r="G7684" s="562">
        <f t="shared" si="462"/>
        <v>296387574</v>
      </c>
      <c r="H7684" s="362"/>
      <c r="I7684" s="362"/>
      <c r="J7684" s="362"/>
    </row>
    <row r="7685" spans="1:10" x14ac:dyDescent="0.25">
      <c r="A7685" s="362"/>
      <c r="B7685" s="611">
        <v>44609</v>
      </c>
      <c r="C7685" s="362" t="s">
        <v>4751</v>
      </c>
      <c r="D7685" s="562">
        <v>185049300</v>
      </c>
      <c r="E7685" s="562"/>
      <c r="F7685" s="562"/>
      <c r="G7685" s="562">
        <f t="shared" si="462"/>
        <v>185049300</v>
      </c>
      <c r="H7685" s="362"/>
      <c r="I7685" s="362"/>
      <c r="J7685" s="362"/>
    </row>
    <row r="7686" spans="1:10" x14ac:dyDescent="0.25">
      <c r="A7686" s="362"/>
      <c r="B7686" s="611">
        <v>44609</v>
      </c>
      <c r="C7686" s="362" t="s">
        <v>166</v>
      </c>
      <c r="D7686" s="562">
        <v>120092365</v>
      </c>
      <c r="E7686" s="562"/>
      <c r="F7686" s="562"/>
      <c r="G7686" s="562">
        <f t="shared" si="462"/>
        <v>120092365</v>
      </c>
      <c r="H7686" s="362"/>
      <c r="I7686" s="362"/>
      <c r="J7686" s="362"/>
    </row>
    <row r="7687" spans="1:10" x14ac:dyDescent="0.25">
      <c r="A7687" s="362"/>
      <c r="B7687" s="611">
        <v>44609</v>
      </c>
      <c r="C7687" s="362" t="s">
        <v>3435</v>
      </c>
      <c r="D7687" s="562">
        <v>104968256</v>
      </c>
      <c r="E7687" s="562"/>
      <c r="F7687" s="562"/>
      <c r="G7687" s="562">
        <f t="shared" si="462"/>
        <v>104968256</v>
      </c>
      <c r="H7687" s="362"/>
      <c r="I7687" s="362"/>
      <c r="J7687" s="362"/>
    </row>
    <row r="7688" spans="1:10" x14ac:dyDescent="0.25">
      <c r="A7688" s="362"/>
      <c r="B7688" s="611">
        <v>44609</v>
      </c>
      <c r="C7688" s="370" t="s">
        <v>85</v>
      </c>
      <c r="D7688" s="562">
        <v>23939200</v>
      </c>
      <c r="E7688" s="562"/>
      <c r="F7688" s="562"/>
      <c r="G7688" s="562">
        <f t="shared" si="462"/>
        <v>23939200</v>
      </c>
      <c r="H7688" s="362"/>
      <c r="I7688" s="362"/>
      <c r="J7688" s="362"/>
    </row>
    <row r="7689" spans="1:10" x14ac:dyDescent="0.25">
      <c r="A7689" s="532"/>
      <c r="B7689" s="532"/>
      <c r="C7689" s="532"/>
      <c r="D7689" s="564">
        <f>SUM(D7674:D7688)</f>
        <v>2760223279</v>
      </c>
      <c r="E7689" s="564">
        <f t="shared" ref="E7689:G7689" si="465">SUM(E7674:E7688)</f>
        <v>0</v>
      </c>
      <c r="F7689" s="564">
        <f t="shared" si="465"/>
        <v>0</v>
      </c>
      <c r="G7689" s="564">
        <f t="shared" si="465"/>
        <v>2760223279</v>
      </c>
      <c r="H7689" s="532"/>
      <c r="I7689" s="532"/>
      <c r="J7689" s="532"/>
    </row>
    <row r="7690" spans="1:10" x14ac:dyDescent="0.25">
      <c r="A7690" s="362"/>
      <c r="B7690" s="611">
        <v>44610</v>
      </c>
      <c r="C7690" s="362" t="s">
        <v>86</v>
      </c>
      <c r="D7690" s="562">
        <v>123876871</v>
      </c>
      <c r="E7690" s="562"/>
      <c r="F7690" s="562"/>
      <c r="G7690" s="562">
        <f t="shared" si="462"/>
        <v>123876871</v>
      </c>
      <c r="H7690" s="362"/>
      <c r="I7690" s="362"/>
      <c r="J7690" s="362"/>
    </row>
    <row r="7691" spans="1:10" x14ac:dyDescent="0.25">
      <c r="A7691" s="362"/>
      <c r="B7691" s="611">
        <v>44610</v>
      </c>
      <c r="C7691" s="362" t="s">
        <v>87</v>
      </c>
      <c r="D7691" s="562">
        <v>168998401</v>
      </c>
      <c r="E7691" s="562"/>
      <c r="F7691" s="562"/>
      <c r="G7691" s="562">
        <f t="shared" si="462"/>
        <v>168998401</v>
      </c>
      <c r="H7691" s="362"/>
      <c r="I7691" s="362"/>
      <c r="J7691" s="362"/>
    </row>
    <row r="7692" spans="1:10" x14ac:dyDescent="0.25">
      <c r="A7692" s="362"/>
      <c r="B7692" s="611">
        <v>44610</v>
      </c>
      <c r="C7692" s="362" t="s">
        <v>88</v>
      </c>
      <c r="D7692" s="562">
        <v>132133117</v>
      </c>
      <c r="E7692" s="562"/>
      <c r="F7692" s="562"/>
      <c r="G7692" s="562">
        <f t="shared" ref="G7692:G7755" si="466">D7692+E7692-F7692</f>
        <v>132133117</v>
      </c>
      <c r="H7692" s="362"/>
      <c r="I7692" s="362"/>
      <c r="J7692" s="362"/>
    </row>
    <row r="7693" spans="1:10" x14ac:dyDescent="0.25">
      <c r="A7693" s="362"/>
      <c r="B7693" s="611">
        <v>44610</v>
      </c>
      <c r="C7693" s="362" t="s">
        <v>82</v>
      </c>
      <c r="D7693" s="562">
        <v>116464254</v>
      </c>
      <c r="E7693" s="562"/>
      <c r="F7693" s="562"/>
      <c r="G7693" s="562">
        <f t="shared" si="466"/>
        <v>116464254</v>
      </c>
      <c r="H7693" s="362"/>
      <c r="I7693" s="362"/>
      <c r="J7693" s="362"/>
    </row>
    <row r="7694" spans="1:10" x14ac:dyDescent="0.25">
      <c r="A7694" s="362"/>
      <c r="B7694" s="611">
        <v>44610</v>
      </c>
      <c r="C7694" s="362" t="s">
        <v>80</v>
      </c>
      <c r="D7694" s="562">
        <v>257296179</v>
      </c>
      <c r="E7694" s="562"/>
      <c r="F7694" s="562"/>
      <c r="G7694" s="562">
        <f t="shared" si="466"/>
        <v>257296179</v>
      </c>
      <c r="H7694" s="362"/>
      <c r="I7694" s="362"/>
      <c r="J7694" s="362"/>
    </row>
    <row r="7695" spans="1:10" x14ac:dyDescent="0.25">
      <c r="A7695" s="362"/>
      <c r="B7695" s="611">
        <v>44610</v>
      </c>
      <c r="C7695" s="362" t="s">
        <v>83</v>
      </c>
      <c r="D7695" s="562">
        <v>147363998</v>
      </c>
      <c r="E7695" s="562"/>
      <c r="F7695" s="562"/>
      <c r="G7695" s="562">
        <f t="shared" si="466"/>
        <v>147363998</v>
      </c>
      <c r="H7695" s="362"/>
      <c r="I7695" s="362"/>
      <c r="J7695" s="362"/>
    </row>
    <row r="7696" spans="1:10" x14ac:dyDescent="0.25">
      <c r="A7696" s="362"/>
      <c r="B7696" s="611">
        <v>44610</v>
      </c>
      <c r="C7696" s="362" t="s">
        <v>78</v>
      </c>
      <c r="D7696" s="562">
        <v>139750528</v>
      </c>
      <c r="E7696" s="562"/>
      <c r="F7696" s="562"/>
      <c r="G7696" s="562">
        <f t="shared" si="466"/>
        <v>139750528</v>
      </c>
      <c r="H7696" s="362"/>
      <c r="I7696" s="362"/>
      <c r="J7696" s="362"/>
    </row>
    <row r="7697" spans="1:10" x14ac:dyDescent="0.25">
      <c r="A7697" s="362"/>
      <c r="B7697" s="611">
        <v>44610</v>
      </c>
      <c r="C7697" s="362" t="s">
        <v>141</v>
      </c>
      <c r="D7697" s="562">
        <v>83077731</v>
      </c>
      <c r="E7697" s="562"/>
      <c r="F7697" s="562"/>
      <c r="G7697" s="562">
        <f t="shared" si="466"/>
        <v>83077731</v>
      </c>
      <c r="H7697" s="362"/>
      <c r="I7697" s="362"/>
      <c r="J7697" s="362"/>
    </row>
    <row r="7698" spans="1:10" x14ac:dyDescent="0.25">
      <c r="A7698" s="362"/>
      <c r="B7698" s="611">
        <v>44610</v>
      </c>
      <c r="C7698" s="362" t="s">
        <v>89</v>
      </c>
      <c r="D7698" s="562">
        <v>203550200</v>
      </c>
      <c r="E7698" s="562"/>
      <c r="F7698" s="562"/>
      <c r="G7698" s="562">
        <f t="shared" si="466"/>
        <v>203550200</v>
      </c>
      <c r="H7698" s="362"/>
      <c r="I7698" s="362"/>
      <c r="J7698" s="362"/>
    </row>
    <row r="7699" spans="1:10" x14ac:dyDescent="0.25">
      <c r="A7699" s="362"/>
      <c r="B7699" s="611">
        <v>44610</v>
      </c>
      <c r="C7699" s="362" t="s">
        <v>81</v>
      </c>
      <c r="D7699" s="562">
        <v>115367351</v>
      </c>
      <c r="E7699" s="562"/>
      <c r="F7699" s="562"/>
      <c r="G7699" s="562">
        <f t="shared" si="466"/>
        <v>115367351</v>
      </c>
      <c r="H7699" s="362"/>
      <c r="I7699" s="362"/>
      <c r="J7699" s="362"/>
    </row>
    <row r="7700" spans="1:10" x14ac:dyDescent="0.25">
      <c r="A7700" s="362"/>
      <c r="B7700" s="611">
        <v>44610</v>
      </c>
      <c r="C7700" s="362" t="s">
        <v>84</v>
      </c>
      <c r="D7700" s="562">
        <v>357480125</v>
      </c>
      <c r="E7700" s="562"/>
      <c r="F7700" s="562"/>
      <c r="G7700" s="562">
        <f t="shared" si="466"/>
        <v>357480125</v>
      </c>
      <c r="H7700" s="362"/>
      <c r="I7700" s="362"/>
      <c r="J7700" s="362"/>
    </row>
    <row r="7701" spans="1:10" x14ac:dyDescent="0.25">
      <c r="A7701" s="362"/>
      <c r="B7701" s="611">
        <v>44610</v>
      </c>
      <c r="C7701" s="362" t="s">
        <v>4751</v>
      </c>
      <c r="D7701" s="562">
        <v>162139800</v>
      </c>
      <c r="E7701" s="562"/>
      <c r="F7701" s="562"/>
      <c r="G7701" s="562">
        <f t="shared" si="466"/>
        <v>162139800</v>
      </c>
      <c r="H7701" s="362"/>
      <c r="I7701" s="362"/>
      <c r="J7701" s="362"/>
    </row>
    <row r="7702" spans="1:10" x14ac:dyDescent="0.25">
      <c r="A7702" s="362"/>
      <c r="B7702" s="611">
        <v>44610</v>
      </c>
      <c r="C7702" s="362" t="s">
        <v>166</v>
      </c>
      <c r="D7702" s="562">
        <v>43224684</v>
      </c>
      <c r="E7702" s="562"/>
      <c r="F7702" s="562"/>
      <c r="G7702" s="562">
        <f t="shared" si="466"/>
        <v>43224684</v>
      </c>
      <c r="H7702" s="362"/>
      <c r="I7702" s="362"/>
      <c r="J7702" s="362"/>
    </row>
    <row r="7703" spans="1:10" x14ac:dyDescent="0.25">
      <c r="A7703" s="362"/>
      <c r="B7703" s="611">
        <v>44610</v>
      </c>
      <c r="C7703" s="362" t="s">
        <v>3435</v>
      </c>
      <c r="D7703" s="562">
        <v>112137035</v>
      </c>
      <c r="E7703" s="562"/>
      <c r="F7703" s="562"/>
      <c r="G7703" s="562">
        <f t="shared" si="466"/>
        <v>112137035</v>
      </c>
      <c r="H7703" s="362"/>
      <c r="I7703" s="362"/>
      <c r="J7703" s="362"/>
    </row>
    <row r="7704" spans="1:10" x14ac:dyDescent="0.25">
      <c r="A7704" s="362"/>
      <c r="B7704" s="611">
        <v>44610</v>
      </c>
      <c r="C7704" s="370" t="s">
        <v>85</v>
      </c>
      <c r="D7704" s="562">
        <v>25623700</v>
      </c>
      <c r="E7704" s="562"/>
      <c r="F7704" s="562"/>
      <c r="G7704" s="562">
        <f t="shared" si="466"/>
        <v>25623700</v>
      </c>
      <c r="H7704" s="362"/>
      <c r="I7704" s="362"/>
      <c r="J7704" s="362"/>
    </row>
    <row r="7705" spans="1:10" x14ac:dyDescent="0.25">
      <c r="A7705" s="532"/>
      <c r="B7705" s="532"/>
      <c r="C7705" s="532"/>
      <c r="D7705" s="564">
        <f>SUM(D7690:D7704)</f>
        <v>2188483974</v>
      </c>
      <c r="E7705" s="564">
        <f t="shared" ref="E7705:G7705" si="467">SUM(E7690:E7704)</f>
        <v>0</v>
      </c>
      <c r="F7705" s="564">
        <f t="shared" si="467"/>
        <v>0</v>
      </c>
      <c r="G7705" s="564">
        <f t="shared" si="467"/>
        <v>2188483974</v>
      </c>
      <c r="H7705" s="532"/>
      <c r="I7705" s="532"/>
      <c r="J7705" s="532"/>
    </row>
    <row r="7706" spans="1:10" x14ac:dyDescent="0.25">
      <c r="A7706" s="362"/>
      <c r="B7706" s="611">
        <v>44611</v>
      </c>
      <c r="C7706" s="362" t="s">
        <v>86</v>
      </c>
      <c r="D7706" s="562">
        <v>102276528</v>
      </c>
      <c r="E7706" s="562"/>
      <c r="F7706" s="562"/>
      <c r="G7706" s="562">
        <f t="shared" si="466"/>
        <v>102276528</v>
      </c>
      <c r="H7706" s="362"/>
      <c r="I7706" s="362"/>
      <c r="J7706" s="362"/>
    </row>
    <row r="7707" spans="1:10" x14ac:dyDescent="0.25">
      <c r="A7707" s="362"/>
      <c r="B7707" s="611">
        <v>44611</v>
      </c>
      <c r="C7707" s="362" t="s">
        <v>87</v>
      </c>
      <c r="D7707" s="562">
        <v>200051480</v>
      </c>
      <c r="E7707" s="562"/>
      <c r="F7707" s="562"/>
      <c r="G7707" s="562">
        <f t="shared" si="466"/>
        <v>200051480</v>
      </c>
      <c r="H7707" s="362"/>
      <c r="I7707" s="362"/>
      <c r="J7707" s="362"/>
    </row>
    <row r="7708" spans="1:10" x14ac:dyDescent="0.25">
      <c r="A7708" s="362"/>
      <c r="B7708" s="611">
        <v>44611</v>
      </c>
      <c r="C7708" s="362" t="s">
        <v>88</v>
      </c>
      <c r="D7708" s="562">
        <v>146945697</v>
      </c>
      <c r="E7708" s="562"/>
      <c r="F7708" s="562"/>
      <c r="G7708" s="562">
        <f t="shared" si="466"/>
        <v>146945697</v>
      </c>
      <c r="H7708" s="362"/>
      <c r="I7708" s="362"/>
      <c r="J7708" s="362"/>
    </row>
    <row r="7709" spans="1:10" x14ac:dyDescent="0.25">
      <c r="A7709" s="362"/>
      <c r="B7709" s="611">
        <v>44611</v>
      </c>
      <c r="C7709" s="362" t="s">
        <v>82</v>
      </c>
      <c r="D7709" s="562">
        <v>95514312</v>
      </c>
      <c r="E7709" s="562"/>
      <c r="F7709" s="562"/>
      <c r="G7709" s="562">
        <f t="shared" si="466"/>
        <v>95514312</v>
      </c>
      <c r="H7709" s="362"/>
      <c r="I7709" s="362"/>
      <c r="J7709" s="362"/>
    </row>
    <row r="7710" spans="1:10" x14ac:dyDescent="0.25">
      <c r="A7710" s="362"/>
      <c r="B7710" s="611">
        <v>44611</v>
      </c>
      <c r="C7710" s="362" t="s">
        <v>80</v>
      </c>
      <c r="D7710" s="562">
        <v>294056375</v>
      </c>
      <c r="E7710" s="562"/>
      <c r="F7710" s="562"/>
      <c r="G7710" s="562">
        <f t="shared" si="466"/>
        <v>294056375</v>
      </c>
      <c r="H7710" s="362"/>
      <c r="I7710" s="362"/>
      <c r="J7710" s="362"/>
    </row>
    <row r="7711" spans="1:10" x14ac:dyDescent="0.25">
      <c r="A7711" s="362"/>
      <c r="B7711" s="611">
        <v>44611</v>
      </c>
      <c r="C7711" s="362" t="s">
        <v>83</v>
      </c>
      <c r="D7711" s="562">
        <v>333543802</v>
      </c>
      <c r="E7711" s="562"/>
      <c r="F7711" s="562"/>
      <c r="G7711" s="562">
        <f t="shared" si="466"/>
        <v>333543802</v>
      </c>
      <c r="H7711" s="362"/>
      <c r="I7711" s="362"/>
      <c r="J7711" s="362"/>
    </row>
    <row r="7712" spans="1:10" x14ac:dyDescent="0.25">
      <c r="A7712" s="362"/>
      <c r="B7712" s="611">
        <v>44611</v>
      </c>
      <c r="C7712" s="362" t="s">
        <v>78</v>
      </c>
      <c r="D7712" s="562">
        <v>144626066</v>
      </c>
      <c r="E7712" s="562"/>
      <c r="F7712" s="562"/>
      <c r="G7712" s="562">
        <f t="shared" si="466"/>
        <v>144626066</v>
      </c>
      <c r="H7712" s="362"/>
      <c r="I7712" s="362"/>
      <c r="J7712" s="362"/>
    </row>
    <row r="7713" spans="1:10" x14ac:dyDescent="0.25">
      <c r="A7713" s="362"/>
      <c r="B7713" s="611">
        <v>44611</v>
      </c>
      <c r="C7713" s="362" t="s">
        <v>141</v>
      </c>
      <c r="D7713" s="562">
        <v>62160924</v>
      </c>
      <c r="E7713" s="562"/>
      <c r="F7713" s="562"/>
      <c r="G7713" s="562">
        <f t="shared" si="466"/>
        <v>62160924</v>
      </c>
      <c r="H7713" s="362"/>
      <c r="I7713" s="362"/>
      <c r="J7713" s="362"/>
    </row>
    <row r="7714" spans="1:10" x14ac:dyDescent="0.25">
      <c r="A7714" s="362"/>
      <c r="B7714" s="611">
        <v>44611</v>
      </c>
      <c r="C7714" s="362" t="s">
        <v>89</v>
      </c>
      <c r="D7714" s="562">
        <v>111772500</v>
      </c>
      <c r="E7714" s="562"/>
      <c r="F7714" s="562"/>
      <c r="G7714" s="562">
        <f t="shared" si="466"/>
        <v>111772500</v>
      </c>
      <c r="H7714" s="362"/>
      <c r="I7714" s="362"/>
      <c r="J7714" s="362"/>
    </row>
    <row r="7715" spans="1:10" x14ac:dyDescent="0.25">
      <c r="A7715" s="362"/>
      <c r="B7715" s="611">
        <v>44611</v>
      </c>
      <c r="C7715" s="362" t="s">
        <v>81</v>
      </c>
      <c r="D7715" s="562">
        <v>182254179</v>
      </c>
      <c r="E7715" s="562"/>
      <c r="F7715" s="562"/>
      <c r="G7715" s="562">
        <f t="shared" si="466"/>
        <v>182254179</v>
      </c>
      <c r="H7715" s="362"/>
      <c r="I7715" s="362"/>
      <c r="J7715" s="362"/>
    </row>
    <row r="7716" spans="1:10" x14ac:dyDescent="0.25">
      <c r="A7716" s="362"/>
      <c r="B7716" s="611">
        <v>44611</v>
      </c>
      <c r="C7716" s="362" t="s">
        <v>84</v>
      </c>
      <c r="D7716" s="562">
        <v>268606395</v>
      </c>
      <c r="E7716" s="562"/>
      <c r="F7716" s="562"/>
      <c r="G7716" s="562">
        <f t="shared" si="466"/>
        <v>268606395</v>
      </c>
      <c r="H7716" s="362"/>
      <c r="I7716" s="362"/>
      <c r="J7716" s="362"/>
    </row>
    <row r="7717" spans="1:10" x14ac:dyDescent="0.25">
      <c r="A7717" s="362"/>
      <c r="B7717" s="611">
        <v>44611</v>
      </c>
      <c r="C7717" s="362" t="s">
        <v>4751</v>
      </c>
      <c r="D7717" s="562">
        <v>247970600</v>
      </c>
      <c r="E7717" s="562"/>
      <c r="F7717" s="562"/>
      <c r="G7717" s="562">
        <f t="shared" si="466"/>
        <v>247970600</v>
      </c>
      <c r="H7717" s="362"/>
      <c r="I7717" s="362"/>
      <c r="J7717" s="362"/>
    </row>
    <row r="7718" spans="1:10" x14ac:dyDescent="0.25">
      <c r="A7718" s="362"/>
      <c r="B7718" s="611">
        <v>44611</v>
      </c>
      <c r="C7718" s="362" t="s">
        <v>166</v>
      </c>
      <c r="D7718" s="562"/>
      <c r="E7718" s="562"/>
      <c r="F7718" s="562"/>
      <c r="G7718" s="562">
        <f t="shared" si="466"/>
        <v>0</v>
      </c>
      <c r="H7718" s="362"/>
      <c r="I7718" s="362"/>
      <c r="J7718" s="362"/>
    </row>
    <row r="7719" spans="1:10" x14ac:dyDescent="0.25">
      <c r="A7719" s="362"/>
      <c r="B7719" s="611">
        <v>44611</v>
      </c>
      <c r="C7719" s="362" t="s">
        <v>3435</v>
      </c>
      <c r="D7719" s="562"/>
      <c r="E7719" s="562"/>
      <c r="F7719" s="562"/>
      <c r="G7719" s="562">
        <f t="shared" si="466"/>
        <v>0</v>
      </c>
      <c r="H7719" s="362"/>
      <c r="I7719" s="362"/>
      <c r="J7719" s="362"/>
    </row>
    <row r="7720" spans="1:10" x14ac:dyDescent="0.25">
      <c r="A7720" s="362"/>
      <c r="B7720" s="611">
        <v>44611</v>
      </c>
      <c r="C7720" s="370" t="s">
        <v>85</v>
      </c>
      <c r="D7720" s="562">
        <v>36714500</v>
      </c>
      <c r="E7720" s="562"/>
      <c r="F7720" s="562"/>
      <c r="G7720" s="562">
        <f t="shared" si="466"/>
        <v>36714500</v>
      </c>
      <c r="H7720" s="362"/>
      <c r="I7720" s="362"/>
      <c r="J7720" s="362"/>
    </row>
    <row r="7721" spans="1:10" x14ac:dyDescent="0.25">
      <c r="A7721" s="532"/>
      <c r="B7721" s="532"/>
      <c r="C7721" s="532"/>
      <c r="D7721" s="564">
        <f>SUM(D7706:D7720)</f>
        <v>2226493358</v>
      </c>
      <c r="E7721" s="564">
        <f t="shared" ref="E7721:G7721" si="468">SUM(E7706:E7720)</f>
        <v>0</v>
      </c>
      <c r="F7721" s="564">
        <f t="shared" si="468"/>
        <v>0</v>
      </c>
      <c r="G7721" s="564">
        <f t="shared" si="468"/>
        <v>2226493358</v>
      </c>
      <c r="H7721" s="532"/>
      <c r="I7721" s="532"/>
      <c r="J7721" s="532"/>
    </row>
    <row r="7722" spans="1:10" x14ac:dyDescent="0.25">
      <c r="A7722" s="362"/>
      <c r="B7722" s="611">
        <v>44613</v>
      </c>
      <c r="C7722" s="362" t="s">
        <v>86</v>
      </c>
      <c r="D7722" s="562">
        <v>70835908</v>
      </c>
      <c r="E7722" s="562"/>
      <c r="F7722" s="562">
        <v>70836000</v>
      </c>
      <c r="G7722" s="562">
        <f t="shared" si="466"/>
        <v>-92</v>
      </c>
      <c r="H7722" s="362"/>
      <c r="I7722" s="362"/>
      <c r="J7722" s="362"/>
    </row>
    <row r="7723" spans="1:10" x14ac:dyDescent="0.25">
      <c r="A7723" s="362"/>
      <c r="B7723" s="611">
        <v>44613</v>
      </c>
      <c r="C7723" s="362" t="s">
        <v>87</v>
      </c>
      <c r="D7723" s="562">
        <v>225269306</v>
      </c>
      <c r="E7723" s="562"/>
      <c r="F7723" s="562">
        <v>225269400</v>
      </c>
      <c r="G7723" s="562">
        <f t="shared" si="466"/>
        <v>-94</v>
      </c>
      <c r="H7723" s="362"/>
      <c r="I7723" s="362"/>
      <c r="J7723" s="362"/>
    </row>
    <row r="7724" spans="1:10" x14ac:dyDescent="0.25">
      <c r="A7724" s="362"/>
      <c r="B7724" s="611">
        <v>44613</v>
      </c>
      <c r="C7724" s="362" t="s">
        <v>88</v>
      </c>
      <c r="D7724" s="562">
        <v>225928336</v>
      </c>
      <c r="E7724" s="562"/>
      <c r="F7724" s="562">
        <v>225928400</v>
      </c>
      <c r="G7724" s="562">
        <f t="shared" si="466"/>
        <v>-64</v>
      </c>
      <c r="H7724" s="362"/>
      <c r="I7724" s="362"/>
      <c r="J7724" s="362"/>
    </row>
    <row r="7725" spans="1:10" x14ac:dyDescent="0.25">
      <c r="A7725" s="362"/>
      <c r="B7725" s="611">
        <v>44613</v>
      </c>
      <c r="C7725" s="362" t="s">
        <v>82</v>
      </c>
      <c r="D7725" s="562">
        <v>116265087</v>
      </c>
      <c r="E7725" s="562"/>
      <c r="F7725" s="562">
        <v>116267300</v>
      </c>
      <c r="G7725" s="562">
        <f t="shared" si="466"/>
        <v>-2213</v>
      </c>
      <c r="H7725" s="362"/>
      <c r="I7725" s="362"/>
      <c r="J7725" s="362"/>
    </row>
    <row r="7726" spans="1:10" x14ac:dyDescent="0.25">
      <c r="A7726" s="362"/>
      <c r="B7726" s="611">
        <v>44613</v>
      </c>
      <c r="C7726" s="362" t="s">
        <v>80</v>
      </c>
      <c r="D7726" s="562">
        <v>350531900</v>
      </c>
      <c r="E7726" s="562"/>
      <c r="F7726" s="562">
        <v>350531900</v>
      </c>
      <c r="G7726" s="562">
        <f t="shared" si="466"/>
        <v>0</v>
      </c>
      <c r="H7726" s="362"/>
      <c r="I7726" s="362"/>
      <c r="J7726" s="362"/>
    </row>
    <row r="7727" spans="1:10" x14ac:dyDescent="0.25">
      <c r="A7727" s="362"/>
      <c r="B7727" s="611">
        <v>44613</v>
      </c>
      <c r="C7727" s="362" t="s">
        <v>83</v>
      </c>
      <c r="D7727" s="562">
        <v>261853853</v>
      </c>
      <c r="E7727" s="562"/>
      <c r="F7727" s="562">
        <v>261853900</v>
      </c>
      <c r="G7727" s="562">
        <f t="shared" si="466"/>
        <v>-47</v>
      </c>
      <c r="H7727" s="362"/>
      <c r="I7727" s="362"/>
      <c r="J7727" s="362"/>
    </row>
    <row r="7728" spans="1:10" x14ac:dyDescent="0.25">
      <c r="A7728" s="362"/>
      <c r="B7728" s="611">
        <v>44613</v>
      </c>
      <c r="C7728" s="362" t="s">
        <v>78</v>
      </c>
      <c r="D7728" s="562">
        <v>88447000</v>
      </c>
      <c r="E7728" s="562"/>
      <c r="F7728" s="562">
        <v>88447000</v>
      </c>
      <c r="G7728" s="562">
        <f t="shared" si="466"/>
        <v>0</v>
      </c>
      <c r="H7728" s="362"/>
      <c r="I7728" s="362"/>
      <c r="J7728" s="362"/>
    </row>
    <row r="7729" spans="1:10" x14ac:dyDescent="0.25">
      <c r="A7729" s="362"/>
      <c r="B7729" s="611">
        <v>44613</v>
      </c>
      <c r="C7729" s="362" t="s">
        <v>141</v>
      </c>
      <c r="D7729" s="562">
        <v>63784019</v>
      </c>
      <c r="E7729" s="562"/>
      <c r="F7729" s="562">
        <v>63784100</v>
      </c>
      <c r="G7729" s="562">
        <f t="shared" si="466"/>
        <v>-81</v>
      </c>
      <c r="H7729" s="362"/>
      <c r="I7729" s="362"/>
      <c r="J7729" s="362"/>
    </row>
    <row r="7730" spans="1:10" x14ac:dyDescent="0.25">
      <c r="A7730" s="362"/>
      <c r="B7730" s="611">
        <v>44613</v>
      </c>
      <c r="C7730" s="362" t="s">
        <v>89</v>
      </c>
      <c r="D7730" s="562">
        <v>220778400</v>
      </c>
      <c r="E7730" s="562"/>
      <c r="F7730" s="562">
        <v>220778200</v>
      </c>
      <c r="G7730" s="562">
        <f t="shared" si="466"/>
        <v>200</v>
      </c>
      <c r="H7730" s="362"/>
      <c r="I7730" s="362"/>
      <c r="J7730" s="362"/>
    </row>
    <row r="7731" spans="1:10" x14ac:dyDescent="0.25">
      <c r="A7731" s="362"/>
      <c r="B7731" s="611">
        <v>44613</v>
      </c>
      <c r="C7731" s="362" t="s">
        <v>81</v>
      </c>
      <c r="D7731" s="562">
        <v>166038452</v>
      </c>
      <c r="E7731" s="562"/>
      <c r="F7731" s="562">
        <v>166038500</v>
      </c>
      <c r="G7731" s="562">
        <f t="shared" si="466"/>
        <v>-48</v>
      </c>
      <c r="H7731" s="362"/>
      <c r="I7731" s="362"/>
      <c r="J7731" s="362"/>
    </row>
    <row r="7732" spans="1:10" x14ac:dyDescent="0.25">
      <c r="A7732" s="362"/>
      <c r="B7732" s="611">
        <v>44613</v>
      </c>
      <c r="C7732" s="362" t="s">
        <v>84</v>
      </c>
      <c r="D7732" s="562">
        <v>401108608</v>
      </c>
      <c r="E7732" s="562"/>
      <c r="F7732" s="562">
        <v>401108600</v>
      </c>
      <c r="G7732" s="562">
        <f t="shared" si="466"/>
        <v>8</v>
      </c>
      <c r="H7732" s="362"/>
      <c r="I7732" s="362"/>
      <c r="J7732" s="362"/>
    </row>
    <row r="7733" spans="1:10" x14ac:dyDescent="0.25">
      <c r="A7733" s="362"/>
      <c r="B7733" s="611">
        <v>44613</v>
      </c>
      <c r="C7733" s="362" t="s">
        <v>4751</v>
      </c>
      <c r="D7733" s="562">
        <v>165470600</v>
      </c>
      <c r="E7733" s="562"/>
      <c r="F7733" s="562">
        <v>165470600</v>
      </c>
      <c r="G7733" s="562">
        <f t="shared" si="466"/>
        <v>0</v>
      </c>
      <c r="H7733" s="362"/>
      <c r="I7733" s="362"/>
      <c r="J7733" s="362"/>
    </row>
    <row r="7734" spans="1:10" x14ac:dyDescent="0.25">
      <c r="A7734" s="362"/>
      <c r="B7734" s="611">
        <v>44613</v>
      </c>
      <c r="C7734" s="362" t="s">
        <v>166</v>
      </c>
      <c r="D7734" s="562">
        <v>67160656</v>
      </c>
      <c r="E7734" s="562"/>
      <c r="F7734" s="562">
        <v>67160700</v>
      </c>
      <c r="G7734" s="562">
        <f t="shared" si="466"/>
        <v>-44</v>
      </c>
      <c r="H7734" s="362"/>
      <c r="I7734" s="362"/>
      <c r="J7734" s="362"/>
    </row>
    <row r="7735" spans="1:10" x14ac:dyDescent="0.25">
      <c r="A7735" s="362"/>
      <c r="B7735" s="611">
        <v>44613</v>
      </c>
      <c r="C7735" s="362" t="s">
        <v>3435</v>
      </c>
      <c r="D7735" s="562">
        <v>26437846</v>
      </c>
      <c r="E7735" s="562"/>
      <c r="F7735" s="562">
        <v>26437900</v>
      </c>
      <c r="G7735" s="562">
        <f t="shared" si="466"/>
        <v>-54</v>
      </c>
      <c r="H7735" s="362"/>
      <c r="I7735" s="362"/>
      <c r="J7735" s="362"/>
    </row>
    <row r="7736" spans="1:10" x14ac:dyDescent="0.25">
      <c r="A7736" s="362"/>
      <c r="B7736" s="611">
        <v>44613</v>
      </c>
      <c r="C7736" s="370" t="s">
        <v>85</v>
      </c>
      <c r="D7736" s="562">
        <v>57517200</v>
      </c>
      <c r="E7736" s="562"/>
      <c r="F7736" s="562">
        <v>57517200</v>
      </c>
      <c r="G7736" s="562">
        <f t="shared" si="466"/>
        <v>0</v>
      </c>
      <c r="H7736" s="362"/>
      <c r="I7736" s="362"/>
      <c r="J7736" s="362"/>
    </row>
    <row r="7737" spans="1:10" x14ac:dyDescent="0.25">
      <c r="A7737" s="532"/>
      <c r="B7737" s="532"/>
      <c r="C7737" s="532"/>
      <c r="D7737" s="564">
        <f>SUM(D7722:D7736)</f>
        <v>2507427171</v>
      </c>
      <c r="E7737" s="564">
        <f t="shared" ref="E7737:G7737" si="469">SUM(E7722:E7736)</f>
        <v>0</v>
      </c>
      <c r="F7737" s="564">
        <f t="shared" si="469"/>
        <v>2507429700</v>
      </c>
      <c r="G7737" s="564">
        <f t="shared" si="469"/>
        <v>-2529</v>
      </c>
      <c r="H7737" s="532"/>
      <c r="I7737" s="532"/>
      <c r="J7737" s="532"/>
    </row>
    <row r="7738" spans="1:10" x14ac:dyDescent="0.25">
      <c r="A7738" s="362"/>
      <c r="B7738" s="611">
        <v>44614</v>
      </c>
      <c r="C7738" s="362" t="s">
        <v>86</v>
      </c>
      <c r="D7738" s="562">
        <v>145663785</v>
      </c>
      <c r="E7738" s="562"/>
      <c r="F7738" s="562">
        <v>145663800</v>
      </c>
      <c r="G7738" s="562">
        <f t="shared" si="466"/>
        <v>-15</v>
      </c>
      <c r="H7738" s="362"/>
      <c r="I7738" s="362"/>
      <c r="J7738" s="362"/>
    </row>
    <row r="7739" spans="1:10" x14ac:dyDescent="0.25">
      <c r="A7739" s="362"/>
      <c r="B7739" s="611">
        <v>44614</v>
      </c>
      <c r="C7739" s="362" t="s">
        <v>87</v>
      </c>
      <c r="D7739" s="562">
        <v>158906199</v>
      </c>
      <c r="E7739" s="562"/>
      <c r="F7739" s="562">
        <v>158906300</v>
      </c>
      <c r="G7739" s="562">
        <f t="shared" si="466"/>
        <v>-101</v>
      </c>
      <c r="H7739" s="362"/>
      <c r="I7739" s="362"/>
      <c r="J7739" s="362"/>
    </row>
    <row r="7740" spans="1:10" x14ac:dyDescent="0.25">
      <c r="A7740" s="362"/>
      <c r="B7740" s="611">
        <v>44614</v>
      </c>
      <c r="C7740" s="362" t="s">
        <v>88</v>
      </c>
      <c r="D7740" s="562">
        <v>314825225</v>
      </c>
      <c r="E7740" s="562"/>
      <c r="F7740" s="562">
        <v>314825300</v>
      </c>
      <c r="G7740" s="562">
        <f t="shared" si="466"/>
        <v>-75</v>
      </c>
      <c r="H7740" s="362"/>
      <c r="I7740" s="362"/>
      <c r="J7740" s="362"/>
    </row>
    <row r="7741" spans="1:10" x14ac:dyDescent="0.25">
      <c r="A7741" s="362"/>
      <c r="B7741" s="611">
        <v>44614</v>
      </c>
      <c r="C7741" s="362" t="s">
        <v>82</v>
      </c>
      <c r="D7741" s="562">
        <v>68400343</v>
      </c>
      <c r="E7741" s="562"/>
      <c r="F7741" s="562">
        <v>68400400</v>
      </c>
      <c r="G7741" s="562">
        <f t="shared" si="466"/>
        <v>-57</v>
      </c>
      <c r="H7741" s="362"/>
      <c r="I7741" s="362"/>
      <c r="J7741" s="362"/>
    </row>
    <row r="7742" spans="1:10" x14ac:dyDescent="0.25">
      <c r="A7742" s="362"/>
      <c r="B7742" s="611">
        <v>44614</v>
      </c>
      <c r="C7742" s="362" t="s">
        <v>80</v>
      </c>
      <c r="D7742" s="562">
        <v>266988309</v>
      </c>
      <c r="E7742" s="562"/>
      <c r="F7742" s="562">
        <v>266988800</v>
      </c>
      <c r="G7742" s="562">
        <f t="shared" si="466"/>
        <v>-491</v>
      </c>
      <c r="H7742" s="362"/>
      <c r="I7742" s="362"/>
      <c r="J7742" s="362"/>
    </row>
    <row r="7743" spans="1:10" x14ac:dyDescent="0.25">
      <c r="A7743" s="362"/>
      <c r="B7743" s="611">
        <v>44614</v>
      </c>
      <c r="C7743" s="362" t="s">
        <v>83</v>
      </c>
      <c r="D7743" s="562">
        <v>206115889</v>
      </c>
      <c r="E7743" s="562"/>
      <c r="F7743" s="562">
        <v>206115900</v>
      </c>
      <c r="G7743" s="562">
        <f t="shared" si="466"/>
        <v>-11</v>
      </c>
      <c r="H7743" s="362"/>
      <c r="I7743" s="362"/>
      <c r="J7743" s="362"/>
    </row>
    <row r="7744" spans="1:10" x14ac:dyDescent="0.25">
      <c r="A7744" s="362"/>
      <c r="B7744" s="611">
        <v>44614</v>
      </c>
      <c r="C7744" s="362" t="s">
        <v>78</v>
      </c>
      <c r="D7744" s="562">
        <v>227741573</v>
      </c>
      <c r="E7744" s="562"/>
      <c r="F7744" s="562">
        <v>227741600</v>
      </c>
      <c r="G7744" s="562">
        <f t="shared" si="466"/>
        <v>-27</v>
      </c>
      <c r="H7744" s="362"/>
      <c r="I7744" s="362"/>
      <c r="J7744" s="362"/>
    </row>
    <row r="7745" spans="1:10" x14ac:dyDescent="0.25">
      <c r="A7745" s="362"/>
      <c r="B7745" s="611">
        <v>44614</v>
      </c>
      <c r="C7745" s="362" t="s">
        <v>141</v>
      </c>
      <c r="D7745" s="562">
        <v>115391513</v>
      </c>
      <c r="E7745" s="562"/>
      <c r="F7745" s="562">
        <v>115391600</v>
      </c>
      <c r="G7745" s="562">
        <f t="shared" si="466"/>
        <v>-87</v>
      </c>
      <c r="H7745" s="362"/>
      <c r="I7745" s="362"/>
      <c r="J7745" s="362"/>
    </row>
    <row r="7746" spans="1:10" x14ac:dyDescent="0.25">
      <c r="A7746" s="362"/>
      <c r="B7746" s="611">
        <v>44614</v>
      </c>
      <c r="C7746" s="362" t="s">
        <v>89</v>
      </c>
      <c r="D7746" s="562">
        <v>275338900</v>
      </c>
      <c r="E7746" s="562"/>
      <c r="F7746" s="562">
        <v>275339000</v>
      </c>
      <c r="G7746" s="562">
        <f t="shared" si="466"/>
        <v>-100</v>
      </c>
      <c r="H7746" s="362"/>
      <c r="I7746" s="362"/>
      <c r="J7746" s="362"/>
    </row>
    <row r="7747" spans="1:10" x14ac:dyDescent="0.25">
      <c r="A7747" s="362"/>
      <c r="B7747" s="611">
        <v>44614</v>
      </c>
      <c r="C7747" s="362" t="s">
        <v>81</v>
      </c>
      <c r="D7747" s="562">
        <v>95219379</v>
      </c>
      <c r="E7747" s="562"/>
      <c r="F7747" s="562">
        <v>95219400</v>
      </c>
      <c r="G7747" s="562">
        <f t="shared" si="466"/>
        <v>-21</v>
      </c>
      <c r="H7747" s="362"/>
      <c r="I7747" s="362"/>
      <c r="J7747" s="362"/>
    </row>
    <row r="7748" spans="1:10" x14ac:dyDescent="0.25">
      <c r="A7748" s="362"/>
      <c r="B7748" s="611">
        <v>44614</v>
      </c>
      <c r="C7748" s="362" t="s">
        <v>84</v>
      </c>
      <c r="D7748" s="562">
        <v>386080121</v>
      </c>
      <c r="E7748" s="562"/>
      <c r="F7748" s="562">
        <v>386079900</v>
      </c>
      <c r="G7748" s="562">
        <f t="shared" si="466"/>
        <v>221</v>
      </c>
      <c r="H7748" s="362"/>
      <c r="I7748" s="362"/>
      <c r="J7748" s="362"/>
    </row>
    <row r="7749" spans="1:10" x14ac:dyDescent="0.25">
      <c r="A7749" s="362"/>
      <c r="B7749" s="611">
        <v>44614</v>
      </c>
      <c r="C7749" s="362" t="s">
        <v>4751</v>
      </c>
      <c r="D7749" s="562">
        <v>205549000</v>
      </c>
      <c r="E7749" s="562"/>
      <c r="F7749" s="562">
        <v>205549000</v>
      </c>
      <c r="G7749" s="562">
        <f t="shared" si="466"/>
        <v>0</v>
      </c>
      <c r="H7749" s="362"/>
      <c r="I7749" s="362"/>
      <c r="J7749" s="362"/>
    </row>
    <row r="7750" spans="1:10" x14ac:dyDescent="0.25">
      <c r="A7750" s="362"/>
      <c r="B7750" s="611">
        <v>44614</v>
      </c>
      <c r="C7750" s="362" t="s">
        <v>166</v>
      </c>
      <c r="D7750" s="562">
        <v>94672129</v>
      </c>
      <c r="E7750" s="562"/>
      <c r="F7750" s="562">
        <v>94672000</v>
      </c>
      <c r="G7750" s="562">
        <f t="shared" si="466"/>
        <v>129</v>
      </c>
      <c r="H7750" s="362"/>
      <c r="I7750" s="362"/>
      <c r="J7750" s="362"/>
    </row>
    <row r="7751" spans="1:10" x14ac:dyDescent="0.25">
      <c r="A7751" s="362"/>
      <c r="B7751" s="611">
        <v>44614</v>
      </c>
      <c r="C7751" s="362" t="s">
        <v>3435</v>
      </c>
      <c r="D7751" s="562">
        <v>134977547</v>
      </c>
      <c r="E7751" s="562"/>
      <c r="F7751" s="562">
        <v>134977600</v>
      </c>
      <c r="G7751" s="562">
        <f t="shared" si="466"/>
        <v>-53</v>
      </c>
      <c r="H7751" s="362"/>
      <c r="I7751" s="362"/>
      <c r="J7751" s="362"/>
    </row>
    <row r="7752" spans="1:10" x14ac:dyDescent="0.25">
      <c r="A7752" s="362"/>
      <c r="B7752" s="611">
        <v>44614</v>
      </c>
      <c r="C7752" s="370" t="s">
        <v>85</v>
      </c>
      <c r="D7752" s="562">
        <v>40285900</v>
      </c>
      <c r="E7752" s="562"/>
      <c r="F7752" s="562">
        <v>40285900</v>
      </c>
      <c r="G7752" s="562">
        <f t="shared" si="466"/>
        <v>0</v>
      </c>
      <c r="H7752" s="362"/>
      <c r="I7752" s="362"/>
      <c r="J7752" s="362"/>
    </row>
    <row r="7753" spans="1:10" x14ac:dyDescent="0.25">
      <c r="A7753" s="532"/>
      <c r="B7753" s="532"/>
      <c r="C7753" s="532"/>
      <c r="D7753" s="564">
        <f>SUM(D7738:D7752)</f>
        <v>2736155812</v>
      </c>
      <c r="E7753" s="564">
        <f t="shared" ref="E7753:G7753" si="470">SUM(E7738:E7752)</f>
        <v>0</v>
      </c>
      <c r="F7753" s="564">
        <f t="shared" si="470"/>
        <v>2736156500</v>
      </c>
      <c r="G7753" s="564">
        <f t="shared" si="470"/>
        <v>-688</v>
      </c>
      <c r="H7753" s="532"/>
      <c r="I7753" s="532"/>
      <c r="J7753" s="532"/>
    </row>
    <row r="7754" spans="1:10" x14ac:dyDescent="0.25">
      <c r="A7754" s="362"/>
      <c r="B7754" s="611">
        <v>44615</v>
      </c>
      <c r="C7754" s="362" t="s">
        <v>86</v>
      </c>
      <c r="D7754" s="562">
        <v>87594942</v>
      </c>
      <c r="E7754" s="562"/>
      <c r="F7754" s="562"/>
      <c r="G7754" s="562">
        <f t="shared" si="466"/>
        <v>87594942</v>
      </c>
      <c r="H7754" s="362"/>
      <c r="I7754" s="362"/>
      <c r="J7754" s="362"/>
    </row>
    <row r="7755" spans="1:10" x14ac:dyDescent="0.25">
      <c r="A7755" s="362"/>
      <c r="B7755" s="611">
        <v>44615</v>
      </c>
      <c r="C7755" s="362" t="s">
        <v>87</v>
      </c>
      <c r="D7755" s="562">
        <v>189120797</v>
      </c>
      <c r="E7755" s="562"/>
      <c r="F7755" s="562"/>
      <c r="G7755" s="562">
        <f t="shared" si="466"/>
        <v>189120797</v>
      </c>
      <c r="H7755" s="362"/>
      <c r="I7755" s="362"/>
      <c r="J7755" s="362"/>
    </row>
    <row r="7756" spans="1:10" x14ac:dyDescent="0.25">
      <c r="A7756" s="362"/>
      <c r="B7756" s="611">
        <v>44615</v>
      </c>
      <c r="C7756" s="362" t="s">
        <v>88</v>
      </c>
      <c r="D7756" s="562">
        <v>278405564</v>
      </c>
      <c r="E7756" s="562"/>
      <c r="F7756" s="562"/>
      <c r="G7756" s="562">
        <f t="shared" ref="G7756:G7819" si="471">D7756+E7756-F7756</f>
        <v>278405564</v>
      </c>
      <c r="H7756" s="362"/>
      <c r="I7756" s="362"/>
      <c r="J7756" s="362"/>
    </row>
    <row r="7757" spans="1:10" x14ac:dyDescent="0.25">
      <c r="A7757" s="362"/>
      <c r="B7757" s="611">
        <v>44615</v>
      </c>
      <c r="C7757" s="362" t="s">
        <v>82</v>
      </c>
      <c r="D7757" s="562">
        <v>132416312</v>
      </c>
      <c r="E7757" s="562"/>
      <c r="F7757" s="562"/>
      <c r="G7757" s="562">
        <f t="shared" si="471"/>
        <v>132416312</v>
      </c>
      <c r="H7757" s="362"/>
      <c r="I7757" s="362"/>
      <c r="J7757" s="362"/>
    </row>
    <row r="7758" spans="1:10" x14ac:dyDescent="0.25">
      <c r="A7758" s="362"/>
      <c r="B7758" s="611">
        <v>44615</v>
      </c>
      <c r="C7758" s="362" t="s">
        <v>80</v>
      </c>
      <c r="D7758" s="562">
        <v>285884989</v>
      </c>
      <c r="E7758" s="562"/>
      <c r="F7758" s="562"/>
      <c r="G7758" s="562">
        <f t="shared" si="471"/>
        <v>285884989</v>
      </c>
      <c r="H7758" s="362"/>
      <c r="I7758" s="362"/>
      <c r="J7758" s="362"/>
    </row>
    <row r="7759" spans="1:10" x14ac:dyDescent="0.25">
      <c r="A7759" s="362"/>
      <c r="B7759" s="611">
        <v>44615</v>
      </c>
      <c r="C7759" s="362" t="s">
        <v>83</v>
      </c>
      <c r="D7759" s="562">
        <v>234963817</v>
      </c>
      <c r="E7759" s="562"/>
      <c r="F7759" s="562"/>
      <c r="G7759" s="562">
        <f t="shared" si="471"/>
        <v>234963817</v>
      </c>
      <c r="H7759" s="362"/>
      <c r="I7759" s="362"/>
      <c r="J7759" s="362"/>
    </row>
    <row r="7760" spans="1:10" x14ac:dyDescent="0.25">
      <c r="A7760" s="362"/>
      <c r="B7760" s="611">
        <v>44615</v>
      </c>
      <c r="C7760" s="362" t="s">
        <v>78</v>
      </c>
      <c r="D7760" s="562">
        <v>96112747</v>
      </c>
      <c r="E7760" s="562"/>
      <c r="F7760" s="562"/>
      <c r="G7760" s="562">
        <f t="shared" si="471"/>
        <v>96112747</v>
      </c>
      <c r="H7760" s="362"/>
      <c r="I7760" s="362"/>
      <c r="J7760" s="362"/>
    </row>
    <row r="7761" spans="1:10" x14ac:dyDescent="0.25">
      <c r="A7761" s="362"/>
      <c r="B7761" s="611">
        <v>44615</v>
      </c>
      <c r="C7761" s="362" t="s">
        <v>141</v>
      </c>
      <c r="D7761" s="562">
        <v>112792805</v>
      </c>
      <c r="E7761" s="562"/>
      <c r="F7761" s="562"/>
      <c r="G7761" s="562">
        <f t="shared" si="471"/>
        <v>112792805</v>
      </c>
      <c r="H7761" s="362"/>
      <c r="I7761" s="362"/>
      <c r="J7761" s="362"/>
    </row>
    <row r="7762" spans="1:10" x14ac:dyDescent="0.25">
      <c r="A7762" s="362"/>
      <c r="B7762" s="611">
        <v>44615</v>
      </c>
      <c r="C7762" s="362" t="s">
        <v>89</v>
      </c>
      <c r="D7762" s="562">
        <v>158278300</v>
      </c>
      <c r="E7762" s="562"/>
      <c r="F7762" s="562"/>
      <c r="G7762" s="562">
        <f t="shared" si="471"/>
        <v>158278300</v>
      </c>
      <c r="H7762" s="362"/>
      <c r="I7762" s="362"/>
      <c r="J7762" s="362"/>
    </row>
    <row r="7763" spans="1:10" x14ac:dyDescent="0.25">
      <c r="A7763" s="362"/>
      <c r="B7763" s="611">
        <v>44615</v>
      </c>
      <c r="C7763" s="362" t="s">
        <v>81</v>
      </c>
      <c r="D7763" s="562">
        <v>177862583</v>
      </c>
      <c r="E7763" s="562"/>
      <c r="F7763" s="562"/>
      <c r="G7763" s="562">
        <f t="shared" si="471"/>
        <v>177862583</v>
      </c>
      <c r="H7763" s="362"/>
      <c r="I7763" s="362"/>
      <c r="J7763" s="362"/>
    </row>
    <row r="7764" spans="1:10" x14ac:dyDescent="0.25">
      <c r="A7764" s="362"/>
      <c r="B7764" s="611">
        <v>44615</v>
      </c>
      <c r="C7764" s="362" t="s">
        <v>84</v>
      </c>
      <c r="D7764" s="562">
        <v>272697116</v>
      </c>
      <c r="E7764" s="562"/>
      <c r="F7764" s="562"/>
      <c r="G7764" s="562">
        <f t="shared" si="471"/>
        <v>272697116</v>
      </c>
      <c r="H7764" s="362"/>
      <c r="I7764" s="362"/>
      <c r="J7764" s="362"/>
    </row>
    <row r="7765" spans="1:10" x14ac:dyDescent="0.25">
      <c r="A7765" s="362"/>
      <c r="B7765" s="611">
        <v>44615</v>
      </c>
      <c r="C7765" s="362" t="s">
        <v>4751</v>
      </c>
      <c r="D7765" s="562">
        <v>203953700</v>
      </c>
      <c r="E7765" s="562"/>
      <c r="F7765" s="562"/>
      <c r="G7765" s="562">
        <f t="shared" si="471"/>
        <v>203953700</v>
      </c>
      <c r="H7765" s="362"/>
      <c r="I7765" s="362"/>
      <c r="J7765" s="362"/>
    </row>
    <row r="7766" spans="1:10" x14ac:dyDescent="0.25">
      <c r="A7766" s="362"/>
      <c r="B7766" s="611">
        <v>44615</v>
      </c>
      <c r="C7766" s="362" t="s">
        <v>166</v>
      </c>
      <c r="D7766" s="562">
        <v>84794382</v>
      </c>
      <c r="E7766" s="562"/>
      <c r="F7766" s="562"/>
      <c r="G7766" s="562">
        <f t="shared" si="471"/>
        <v>84794382</v>
      </c>
      <c r="H7766" s="362"/>
      <c r="I7766" s="362"/>
      <c r="J7766" s="362"/>
    </row>
    <row r="7767" spans="1:10" x14ac:dyDescent="0.25">
      <c r="A7767" s="362"/>
      <c r="B7767" s="611">
        <v>44615</v>
      </c>
      <c r="C7767" s="362" t="s">
        <v>3435</v>
      </c>
      <c r="D7767" s="562">
        <v>29860639</v>
      </c>
      <c r="E7767" s="562"/>
      <c r="F7767" s="562"/>
      <c r="G7767" s="562">
        <f t="shared" si="471"/>
        <v>29860639</v>
      </c>
      <c r="H7767" s="362"/>
      <c r="I7767" s="362"/>
      <c r="J7767" s="362"/>
    </row>
    <row r="7768" spans="1:10" x14ac:dyDescent="0.25">
      <c r="A7768" s="362"/>
      <c r="B7768" s="611">
        <v>44615</v>
      </c>
      <c r="C7768" s="370" t="s">
        <v>85</v>
      </c>
      <c r="D7768" s="562">
        <v>44950100</v>
      </c>
      <c r="E7768" s="562"/>
      <c r="F7768" s="562"/>
      <c r="G7768" s="562">
        <f t="shared" si="471"/>
        <v>44950100</v>
      </c>
      <c r="H7768" s="362"/>
      <c r="I7768" s="362"/>
      <c r="J7768" s="362"/>
    </row>
    <row r="7769" spans="1:10" x14ac:dyDescent="0.25">
      <c r="A7769" s="532"/>
      <c r="B7769" s="532"/>
      <c r="C7769" s="532"/>
      <c r="D7769" s="564">
        <f>SUM(D7754:D7768)</f>
        <v>2389688793</v>
      </c>
      <c r="E7769" s="564">
        <f t="shared" ref="E7769:G7769" si="472">SUM(E7754:E7768)</f>
        <v>0</v>
      </c>
      <c r="F7769" s="564">
        <f t="shared" si="472"/>
        <v>0</v>
      </c>
      <c r="G7769" s="564">
        <f t="shared" si="472"/>
        <v>2389688793</v>
      </c>
      <c r="H7769" s="532"/>
      <c r="I7769" s="532"/>
      <c r="J7769" s="532"/>
    </row>
    <row r="7770" spans="1:10" x14ac:dyDescent="0.25">
      <c r="A7770" s="362"/>
      <c r="B7770" s="611">
        <v>44616</v>
      </c>
      <c r="C7770" s="362" t="s">
        <v>86</v>
      </c>
      <c r="D7770" s="562">
        <v>130164202</v>
      </c>
      <c r="E7770" s="562"/>
      <c r="F7770" s="562"/>
      <c r="G7770" s="562">
        <f t="shared" si="471"/>
        <v>130164202</v>
      </c>
      <c r="H7770" s="362"/>
      <c r="I7770" s="362"/>
      <c r="J7770" s="362"/>
    </row>
    <row r="7771" spans="1:10" x14ac:dyDescent="0.25">
      <c r="A7771" s="362"/>
      <c r="B7771" s="611">
        <v>44616</v>
      </c>
      <c r="C7771" s="362" t="s">
        <v>87</v>
      </c>
      <c r="D7771" s="562">
        <v>243056496</v>
      </c>
      <c r="E7771" s="562"/>
      <c r="F7771" s="562"/>
      <c r="G7771" s="562">
        <f t="shared" si="471"/>
        <v>243056496</v>
      </c>
      <c r="H7771" s="362"/>
      <c r="I7771" s="362"/>
      <c r="J7771" s="362"/>
    </row>
    <row r="7772" spans="1:10" x14ac:dyDescent="0.25">
      <c r="A7772" s="362"/>
      <c r="B7772" s="611">
        <v>44616</v>
      </c>
      <c r="C7772" s="362" t="s">
        <v>88</v>
      </c>
      <c r="D7772" s="562">
        <v>341955930</v>
      </c>
      <c r="E7772" s="562"/>
      <c r="F7772" s="562"/>
      <c r="G7772" s="562">
        <f t="shared" si="471"/>
        <v>341955930</v>
      </c>
      <c r="H7772" s="362"/>
      <c r="I7772" s="362"/>
      <c r="J7772" s="362"/>
    </row>
    <row r="7773" spans="1:10" x14ac:dyDescent="0.25">
      <c r="A7773" s="362"/>
      <c r="B7773" s="611">
        <v>44616</v>
      </c>
      <c r="C7773" s="362" t="s">
        <v>82</v>
      </c>
      <c r="D7773" s="562">
        <v>282346293</v>
      </c>
      <c r="E7773" s="562"/>
      <c r="F7773" s="562"/>
      <c r="G7773" s="562">
        <f t="shared" si="471"/>
        <v>282346293</v>
      </c>
      <c r="H7773" s="362"/>
      <c r="I7773" s="362"/>
      <c r="J7773" s="362"/>
    </row>
    <row r="7774" spans="1:10" x14ac:dyDescent="0.25">
      <c r="A7774" s="362"/>
      <c r="B7774" s="611">
        <v>44616</v>
      </c>
      <c r="C7774" s="362" t="s">
        <v>80</v>
      </c>
      <c r="D7774" s="562">
        <v>297227100</v>
      </c>
      <c r="E7774" s="562"/>
      <c r="F7774" s="562"/>
      <c r="G7774" s="562">
        <f t="shared" si="471"/>
        <v>297227100</v>
      </c>
      <c r="H7774" s="362"/>
      <c r="I7774" s="362"/>
      <c r="J7774" s="362"/>
    </row>
    <row r="7775" spans="1:10" x14ac:dyDescent="0.25">
      <c r="A7775" s="362"/>
      <c r="B7775" s="611">
        <v>44616</v>
      </c>
      <c r="C7775" s="362" t="s">
        <v>83</v>
      </c>
      <c r="D7775" s="562">
        <v>177847824</v>
      </c>
      <c r="E7775" s="562"/>
      <c r="F7775" s="562"/>
      <c r="G7775" s="562">
        <f t="shared" si="471"/>
        <v>177847824</v>
      </c>
      <c r="H7775" s="362"/>
      <c r="I7775" s="362"/>
      <c r="J7775" s="362"/>
    </row>
    <row r="7776" spans="1:10" x14ac:dyDescent="0.25">
      <c r="A7776" s="362"/>
      <c r="B7776" s="611">
        <v>44616</v>
      </c>
      <c r="C7776" s="362" t="s">
        <v>78</v>
      </c>
      <c r="D7776" s="562">
        <v>129820922</v>
      </c>
      <c r="E7776" s="562"/>
      <c r="F7776" s="562"/>
      <c r="G7776" s="562">
        <f t="shared" si="471"/>
        <v>129820922</v>
      </c>
      <c r="H7776" s="362"/>
      <c r="I7776" s="362"/>
      <c r="J7776" s="362"/>
    </row>
    <row r="7777" spans="1:10" x14ac:dyDescent="0.25">
      <c r="A7777" s="362"/>
      <c r="B7777" s="611">
        <v>44616</v>
      </c>
      <c r="C7777" s="362" t="s">
        <v>141</v>
      </c>
      <c r="D7777" s="562">
        <v>95906173</v>
      </c>
      <c r="E7777" s="562"/>
      <c r="F7777" s="562"/>
      <c r="G7777" s="562">
        <f t="shared" si="471"/>
        <v>95906173</v>
      </c>
      <c r="H7777" s="362"/>
      <c r="I7777" s="362"/>
      <c r="J7777" s="362"/>
    </row>
    <row r="7778" spans="1:10" x14ac:dyDescent="0.25">
      <c r="A7778" s="362"/>
      <c r="B7778" s="611">
        <v>44616</v>
      </c>
      <c r="C7778" s="362" t="s">
        <v>89</v>
      </c>
      <c r="D7778" s="562">
        <v>201036500</v>
      </c>
      <c r="E7778" s="562"/>
      <c r="F7778" s="562"/>
      <c r="G7778" s="562">
        <f t="shared" si="471"/>
        <v>201036500</v>
      </c>
      <c r="H7778" s="362"/>
      <c r="I7778" s="362"/>
      <c r="J7778" s="362"/>
    </row>
    <row r="7779" spans="1:10" x14ac:dyDescent="0.25">
      <c r="A7779" s="362"/>
      <c r="B7779" s="611">
        <v>44616</v>
      </c>
      <c r="C7779" s="362" t="s">
        <v>81</v>
      </c>
      <c r="D7779" s="562">
        <v>102498980</v>
      </c>
      <c r="E7779" s="562"/>
      <c r="F7779" s="562"/>
      <c r="G7779" s="562">
        <f t="shared" si="471"/>
        <v>102498980</v>
      </c>
      <c r="H7779" s="362"/>
      <c r="I7779" s="362"/>
      <c r="J7779" s="362"/>
    </row>
    <row r="7780" spans="1:10" x14ac:dyDescent="0.25">
      <c r="A7780" s="362"/>
      <c r="B7780" s="611">
        <v>44616</v>
      </c>
      <c r="C7780" s="362" t="s">
        <v>84</v>
      </c>
      <c r="D7780" s="562">
        <v>318381985</v>
      </c>
      <c r="E7780" s="562"/>
      <c r="F7780" s="562"/>
      <c r="G7780" s="562">
        <f t="shared" si="471"/>
        <v>318381985</v>
      </c>
      <c r="H7780" s="362"/>
      <c r="I7780" s="362"/>
      <c r="J7780" s="362"/>
    </row>
    <row r="7781" spans="1:10" x14ac:dyDescent="0.25">
      <c r="A7781" s="362"/>
      <c r="B7781" s="611">
        <v>44616</v>
      </c>
      <c r="C7781" s="362" t="s">
        <v>4751</v>
      </c>
      <c r="D7781" s="562">
        <v>283995000</v>
      </c>
      <c r="E7781" s="562"/>
      <c r="F7781" s="562"/>
      <c r="G7781" s="562">
        <f t="shared" si="471"/>
        <v>283995000</v>
      </c>
      <c r="H7781" s="362"/>
      <c r="I7781" s="362"/>
      <c r="J7781" s="362"/>
    </row>
    <row r="7782" spans="1:10" x14ac:dyDescent="0.25">
      <c r="A7782" s="362"/>
      <c r="B7782" s="611">
        <v>44616</v>
      </c>
      <c r="C7782" s="362" t="s">
        <v>166</v>
      </c>
      <c r="D7782" s="562">
        <v>121400443</v>
      </c>
      <c r="E7782" s="562"/>
      <c r="F7782" s="562"/>
      <c r="G7782" s="562">
        <f t="shared" si="471"/>
        <v>121400443</v>
      </c>
      <c r="H7782" s="362"/>
      <c r="I7782" s="362"/>
      <c r="J7782" s="362"/>
    </row>
    <row r="7783" spans="1:10" x14ac:dyDescent="0.25">
      <c r="A7783" s="362"/>
      <c r="B7783" s="611">
        <v>44616</v>
      </c>
      <c r="C7783" s="362" t="s">
        <v>3435</v>
      </c>
      <c r="D7783" s="562">
        <v>47553819</v>
      </c>
      <c r="E7783" s="562"/>
      <c r="F7783" s="562"/>
      <c r="G7783" s="562">
        <f t="shared" si="471"/>
        <v>47553819</v>
      </c>
      <c r="H7783" s="362"/>
      <c r="I7783" s="362"/>
      <c r="J7783" s="362"/>
    </row>
    <row r="7784" spans="1:10" x14ac:dyDescent="0.25">
      <c r="A7784" s="362"/>
      <c r="B7784" s="611">
        <v>44616</v>
      </c>
      <c r="C7784" s="370" t="s">
        <v>85</v>
      </c>
      <c r="D7784" s="562">
        <v>45738200</v>
      </c>
      <c r="E7784" s="562"/>
      <c r="F7784" s="562"/>
      <c r="G7784" s="562">
        <f t="shared" si="471"/>
        <v>45738200</v>
      </c>
      <c r="H7784" s="362"/>
      <c r="I7784" s="362"/>
      <c r="J7784" s="362"/>
    </row>
    <row r="7785" spans="1:10" x14ac:dyDescent="0.25">
      <c r="A7785" s="532"/>
      <c r="B7785" s="532"/>
      <c r="C7785" s="532"/>
      <c r="D7785" s="564">
        <f>SUM(D7770:D7784)</f>
        <v>2818929867</v>
      </c>
      <c r="E7785" s="564">
        <f t="shared" ref="E7785:G7785" si="473">SUM(E7770:E7784)</f>
        <v>0</v>
      </c>
      <c r="F7785" s="564">
        <f t="shared" si="473"/>
        <v>0</v>
      </c>
      <c r="G7785" s="564">
        <f t="shared" si="473"/>
        <v>2818929867</v>
      </c>
      <c r="H7785" s="532"/>
      <c r="I7785" s="532"/>
      <c r="J7785" s="532"/>
    </row>
    <row r="7786" spans="1:10" x14ac:dyDescent="0.25">
      <c r="A7786" s="362"/>
      <c r="B7786" s="611">
        <v>44617</v>
      </c>
      <c r="C7786" s="362" t="s">
        <v>86</v>
      </c>
      <c r="D7786" s="562">
        <v>93581968</v>
      </c>
      <c r="E7786" s="562"/>
      <c r="F7786" s="562"/>
      <c r="G7786" s="562">
        <f t="shared" si="471"/>
        <v>93581968</v>
      </c>
      <c r="H7786" s="362"/>
      <c r="I7786" s="362"/>
      <c r="J7786" s="362"/>
    </row>
    <row r="7787" spans="1:10" x14ac:dyDescent="0.25">
      <c r="A7787" s="362"/>
      <c r="B7787" s="611">
        <v>44617</v>
      </c>
      <c r="C7787" s="362" t="s">
        <v>87</v>
      </c>
      <c r="D7787" s="562">
        <v>251579087</v>
      </c>
      <c r="E7787" s="562"/>
      <c r="F7787" s="562"/>
      <c r="G7787" s="562">
        <f t="shared" si="471"/>
        <v>251579087</v>
      </c>
      <c r="H7787" s="362"/>
      <c r="I7787" s="362"/>
      <c r="J7787" s="362"/>
    </row>
    <row r="7788" spans="1:10" x14ac:dyDescent="0.25">
      <c r="A7788" s="362"/>
      <c r="B7788" s="611">
        <v>44617</v>
      </c>
      <c r="C7788" s="362" t="s">
        <v>88</v>
      </c>
      <c r="D7788" s="562">
        <v>302341855</v>
      </c>
      <c r="E7788" s="562"/>
      <c r="F7788" s="562"/>
      <c r="G7788" s="562">
        <f t="shared" si="471"/>
        <v>302341855</v>
      </c>
      <c r="H7788" s="362"/>
      <c r="I7788" s="362"/>
      <c r="J7788" s="362"/>
    </row>
    <row r="7789" spans="1:10" x14ac:dyDescent="0.25">
      <c r="A7789" s="362"/>
      <c r="B7789" s="611">
        <v>44617</v>
      </c>
      <c r="C7789" s="362" t="s">
        <v>82</v>
      </c>
      <c r="D7789" s="562">
        <v>85991577</v>
      </c>
      <c r="E7789" s="562"/>
      <c r="F7789" s="562"/>
      <c r="G7789" s="562">
        <f t="shared" si="471"/>
        <v>85991577</v>
      </c>
      <c r="H7789" s="362"/>
      <c r="I7789" s="362"/>
      <c r="J7789" s="362"/>
    </row>
    <row r="7790" spans="1:10" x14ac:dyDescent="0.25">
      <c r="A7790" s="362"/>
      <c r="B7790" s="611">
        <v>44617</v>
      </c>
      <c r="C7790" s="362" t="s">
        <v>80</v>
      </c>
      <c r="D7790" s="562">
        <v>303676654</v>
      </c>
      <c r="E7790" s="562"/>
      <c r="F7790" s="562"/>
      <c r="G7790" s="562">
        <f t="shared" si="471"/>
        <v>303676654</v>
      </c>
      <c r="H7790" s="362"/>
      <c r="I7790" s="362"/>
      <c r="J7790" s="362"/>
    </row>
    <row r="7791" spans="1:10" x14ac:dyDescent="0.25">
      <c r="A7791" s="362"/>
      <c r="B7791" s="611">
        <v>44617</v>
      </c>
      <c r="C7791" s="362" t="s">
        <v>83</v>
      </c>
      <c r="D7791" s="562">
        <v>228139795</v>
      </c>
      <c r="E7791" s="562"/>
      <c r="F7791" s="562"/>
      <c r="G7791" s="562">
        <f t="shared" si="471"/>
        <v>228139795</v>
      </c>
      <c r="H7791" s="362"/>
      <c r="I7791" s="362"/>
      <c r="J7791" s="362"/>
    </row>
    <row r="7792" spans="1:10" x14ac:dyDescent="0.25">
      <c r="A7792" s="362"/>
      <c r="B7792" s="611">
        <v>44617</v>
      </c>
      <c r="C7792" s="362" t="s">
        <v>78</v>
      </c>
      <c r="D7792" s="562">
        <v>126897823</v>
      </c>
      <c r="E7792" s="562"/>
      <c r="F7792" s="562"/>
      <c r="G7792" s="562">
        <f t="shared" si="471"/>
        <v>126897823</v>
      </c>
      <c r="H7792" s="362"/>
      <c r="I7792" s="362"/>
      <c r="J7792" s="362"/>
    </row>
    <row r="7793" spans="1:10" x14ac:dyDescent="0.25">
      <c r="A7793" s="362"/>
      <c r="B7793" s="611">
        <v>44617</v>
      </c>
      <c r="C7793" s="362" t="s">
        <v>141</v>
      </c>
      <c r="D7793" s="562">
        <v>67502715</v>
      </c>
      <c r="E7793" s="562"/>
      <c r="F7793" s="562"/>
      <c r="G7793" s="562">
        <f t="shared" si="471"/>
        <v>67502715</v>
      </c>
      <c r="H7793" s="362"/>
      <c r="I7793" s="362"/>
      <c r="J7793" s="362"/>
    </row>
    <row r="7794" spans="1:10" x14ac:dyDescent="0.25">
      <c r="A7794" s="362"/>
      <c r="B7794" s="611">
        <v>44617</v>
      </c>
      <c r="C7794" s="362" t="s">
        <v>89</v>
      </c>
      <c r="D7794" s="562">
        <v>271891400</v>
      </c>
      <c r="E7794" s="562"/>
      <c r="F7794" s="562"/>
      <c r="G7794" s="562">
        <f t="shared" si="471"/>
        <v>271891400</v>
      </c>
      <c r="H7794" s="362"/>
      <c r="I7794" s="362"/>
      <c r="J7794" s="362"/>
    </row>
    <row r="7795" spans="1:10" x14ac:dyDescent="0.25">
      <c r="A7795" s="362"/>
      <c r="B7795" s="611">
        <v>44617</v>
      </c>
      <c r="C7795" s="362" t="s">
        <v>81</v>
      </c>
      <c r="D7795" s="562">
        <v>92023639</v>
      </c>
      <c r="E7795" s="562"/>
      <c r="F7795" s="562"/>
      <c r="G7795" s="562">
        <f t="shared" si="471"/>
        <v>92023639</v>
      </c>
      <c r="H7795" s="362"/>
      <c r="I7795" s="362"/>
      <c r="J7795" s="362"/>
    </row>
    <row r="7796" spans="1:10" x14ac:dyDescent="0.25">
      <c r="A7796" s="362"/>
      <c r="B7796" s="611">
        <v>44617</v>
      </c>
      <c r="C7796" s="362" t="s">
        <v>84</v>
      </c>
      <c r="D7796" s="562">
        <v>325778563</v>
      </c>
      <c r="E7796" s="562"/>
      <c r="F7796" s="562"/>
      <c r="G7796" s="562">
        <f t="shared" si="471"/>
        <v>325778563</v>
      </c>
      <c r="H7796" s="362"/>
      <c r="I7796" s="362"/>
      <c r="J7796" s="362"/>
    </row>
    <row r="7797" spans="1:10" x14ac:dyDescent="0.25">
      <c r="A7797" s="362"/>
      <c r="B7797" s="611">
        <v>44617</v>
      </c>
      <c r="C7797" s="362" t="s">
        <v>4751</v>
      </c>
      <c r="D7797" s="562">
        <v>171984400</v>
      </c>
      <c r="E7797" s="562"/>
      <c r="F7797" s="562"/>
      <c r="G7797" s="562">
        <f t="shared" si="471"/>
        <v>171984400</v>
      </c>
      <c r="H7797" s="362"/>
      <c r="I7797" s="362"/>
      <c r="J7797" s="362"/>
    </row>
    <row r="7798" spans="1:10" x14ac:dyDescent="0.25">
      <c r="A7798" s="362"/>
      <c r="B7798" s="611">
        <v>44617</v>
      </c>
      <c r="C7798" s="362" t="s">
        <v>166</v>
      </c>
      <c r="D7798" s="562">
        <v>46418491</v>
      </c>
      <c r="E7798" s="562"/>
      <c r="F7798" s="562"/>
      <c r="G7798" s="562">
        <f t="shared" si="471"/>
        <v>46418491</v>
      </c>
      <c r="H7798" s="362"/>
      <c r="I7798" s="362"/>
      <c r="J7798" s="362"/>
    </row>
    <row r="7799" spans="1:10" x14ac:dyDescent="0.25">
      <c r="A7799" s="362"/>
      <c r="B7799" s="611">
        <v>44617</v>
      </c>
      <c r="C7799" s="362" t="s">
        <v>3435</v>
      </c>
      <c r="D7799" s="562">
        <v>91347159</v>
      </c>
      <c r="E7799" s="562"/>
      <c r="F7799" s="562"/>
      <c r="G7799" s="562">
        <f t="shared" si="471"/>
        <v>91347159</v>
      </c>
      <c r="H7799" s="362"/>
      <c r="I7799" s="362"/>
      <c r="J7799" s="362"/>
    </row>
    <row r="7800" spans="1:10" x14ac:dyDescent="0.25">
      <c r="A7800" s="362"/>
      <c r="B7800" s="611">
        <v>44617</v>
      </c>
      <c r="C7800" s="370" t="s">
        <v>85</v>
      </c>
      <c r="D7800" s="562">
        <v>33670800</v>
      </c>
      <c r="E7800" s="562"/>
      <c r="F7800" s="562"/>
      <c r="G7800" s="562">
        <f t="shared" si="471"/>
        <v>33670800</v>
      </c>
      <c r="H7800" s="362"/>
      <c r="I7800" s="362"/>
      <c r="J7800" s="362"/>
    </row>
    <row r="7801" spans="1:10" x14ac:dyDescent="0.25">
      <c r="A7801" s="532"/>
      <c r="B7801" s="532"/>
      <c r="C7801" s="532"/>
      <c r="D7801" s="564">
        <f>SUM(D7786:D7800)</f>
        <v>2492825926</v>
      </c>
      <c r="E7801" s="564">
        <f t="shared" ref="E7801:G7801" si="474">SUM(E7786:E7800)</f>
        <v>0</v>
      </c>
      <c r="F7801" s="564">
        <f t="shared" si="474"/>
        <v>0</v>
      </c>
      <c r="G7801" s="564">
        <f t="shared" si="474"/>
        <v>2492825926</v>
      </c>
      <c r="H7801" s="532"/>
      <c r="I7801" s="532"/>
      <c r="J7801" s="532"/>
    </row>
    <row r="7802" spans="1:10" x14ac:dyDescent="0.25">
      <c r="A7802" s="362"/>
      <c r="B7802" s="611">
        <v>44618</v>
      </c>
      <c r="C7802" s="362" t="s">
        <v>86</v>
      </c>
      <c r="D7802" s="562">
        <v>172504796</v>
      </c>
      <c r="E7802" s="562"/>
      <c r="F7802" s="562"/>
      <c r="G7802" s="562">
        <f t="shared" si="471"/>
        <v>172504796</v>
      </c>
      <c r="H7802" s="362"/>
      <c r="I7802" s="362"/>
      <c r="J7802" s="362"/>
    </row>
    <row r="7803" spans="1:10" x14ac:dyDescent="0.25">
      <c r="A7803" s="362"/>
      <c r="B7803" s="611">
        <v>44618</v>
      </c>
      <c r="C7803" s="362" t="s">
        <v>87</v>
      </c>
      <c r="D7803" s="562">
        <v>153267436</v>
      </c>
      <c r="E7803" s="562"/>
      <c r="F7803" s="562"/>
      <c r="G7803" s="562">
        <f t="shared" si="471"/>
        <v>153267436</v>
      </c>
      <c r="H7803" s="362"/>
      <c r="I7803" s="362"/>
      <c r="J7803" s="362"/>
    </row>
    <row r="7804" spans="1:10" x14ac:dyDescent="0.25">
      <c r="A7804" s="362"/>
      <c r="B7804" s="611">
        <v>44618</v>
      </c>
      <c r="C7804" s="362" t="s">
        <v>88</v>
      </c>
      <c r="D7804" s="562">
        <v>106584617</v>
      </c>
      <c r="E7804" s="562"/>
      <c r="F7804" s="562"/>
      <c r="G7804" s="562">
        <f t="shared" si="471"/>
        <v>106584617</v>
      </c>
      <c r="H7804" s="362"/>
      <c r="I7804" s="362"/>
      <c r="J7804" s="362"/>
    </row>
    <row r="7805" spans="1:10" x14ac:dyDescent="0.25">
      <c r="A7805" s="362"/>
      <c r="B7805" s="611">
        <v>44618</v>
      </c>
      <c r="C7805" s="362" t="s">
        <v>82</v>
      </c>
      <c r="D7805" s="562">
        <v>152982771</v>
      </c>
      <c r="E7805" s="562"/>
      <c r="F7805" s="562"/>
      <c r="G7805" s="562">
        <f t="shared" si="471"/>
        <v>152982771</v>
      </c>
      <c r="H7805" s="362"/>
      <c r="I7805" s="362"/>
      <c r="J7805" s="362"/>
    </row>
    <row r="7806" spans="1:10" x14ac:dyDescent="0.25">
      <c r="A7806" s="362"/>
      <c r="B7806" s="611">
        <v>44618</v>
      </c>
      <c r="C7806" s="362" t="s">
        <v>80</v>
      </c>
      <c r="D7806" s="562">
        <v>297239900</v>
      </c>
      <c r="E7806" s="562"/>
      <c r="F7806" s="562"/>
      <c r="G7806" s="562">
        <f t="shared" si="471"/>
        <v>297239900</v>
      </c>
      <c r="H7806" s="362"/>
      <c r="I7806" s="362"/>
      <c r="J7806" s="362"/>
    </row>
    <row r="7807" spans="1:10" x14ac:dyDescent="0.25">
      <c r="A7807" s="362"/>
      <c r="B7807" s="611">
        <v>44618</v>
      </c>
      <c r="C7807" s="362" t="s">
        <v>83</v>
      </c>
      <c r="D7807" s="562">
        <v>169778100</v>
      </c>
      <c r="E7807" s="562"/>
      <c r="F7807" s="562"/>
      <c r="G7807" s="562">
        <f t="shared" si="471"/>
        <v>169778100</v>
      </c>
      <c r="H7807" s="362"/>
      <c r="I7807" s="362"/>
      <c r="J7807" s="362"/>
    </row>
    <row r="7808" spans="1:10" x14ac:dyDescent="0.25">
      <c r="A7808" s="362"/>
      <c r="B7808" s="611">
        <v>44618</v>
      </c>
      <c r="C7808" s="362" t="s">
        <v>78</v>
      </c>
      <c r="D7808" s="562">
        <v>154753870</v>
      </c>
      <c r="E7808" s="562"/>
      <c r="F7808" s="562"/>
      <c r="G7808" s="562">
        <f t="shared" si="471"/>
        <v>154753870</v>
      </c>
      <c r="H7808" s="362"/>
      <c r="I7808" s="362"/>
      <c r="J7808" s="362"/>
    </row>
    <row r="7809" spans="1:10" x14ac:dyDescent="0.25">
      <c r="A7809" s="362"/>
      <c r="B7809" s="611">
        <v>44618</v>
      </c>
      <c r="C7809" s="362" t="s">
        <v>141</v>
      </c>
      <c r="D7809" s="562">
        <v>32405100</v>
      </c>
      <c r="E7809" s="562"/>
      <c r="F7809" s="562"/>
      <c r="G7809" s="562">
        <f t="shared" si="471"/>
        <v>32405100</v>
      </c>
      <c r="H7809" s="362"/>
      <c r="I7809" s="362"/>
      <c r="J7809" s="362"/>
    </row>
    <row r="7810" spans="1:10" x14ac:dyDescent="0.25">
      <c r="A7810" s="362"/>
      <c r="B7810" s="611">
        <v>44618</v>
      </c>
      <c r="C7810" s="362" t="s">
        <v>89</v>
      </c>
      <c r="D7810" s="562">
        <v>173152100</v>
      </c>
      <c r="E7810" s="562"/>
      <c r="F7810" s="562"/>
      <c r="G7810" s="562">
        <f t="shared" si="471"/>
        <v>173152100</v>
      </c>
      <c r="H7810" s="362"/>
      <c r="I7810" s="362"/>
      <c r="J7810" s="362"/>
    </row>
    <row r="7811" spans="1:10" x14ac:dyDescent="0.25">
      <c r="A7811" s="362"/>
      <c r="B7811" s="611">
        <v>44618</v>
      </c>
      <c r="C7811" s="362" t="s">
        <v>81</v>
      </c>
      <c r="D7811" s="562">
        <v>179067831</v>
      </c>
      <c r="E7811" s="562"/>
      <c r="F7811" s="562"/>
      <c r="G7811" s="562">
        <f t="shared" si="471"/>
        <v>179067831</v>
      </c>
      <c r="H7811" s="362"/>
      <c r="I7811" s="362"/>
      <c r="J7811" s="362"/>
    </row>
    <row r="7812" spans="1:10" x14ac:dyDescent="0.25">
      <c r="A7812" s="362"/>
      <c r="B7812" s="611">
        <v>44618</v>
      </c>
      <c r="C7812" s="362" t="s">
        <v>84</v>
      </c>
      <c r="D7812" s="562">
        <v>159607392</v>
      </c>
      <c r="E7812" s="562"/>
      <c r="F7812" s="562"/>
      <c r="G7812" s="562">
        <f t="shared" si="471"/>
        <v>159607392</v>
      </c>
      <c r="H7812" s="362"/>
      <c r="I7812" s="362"/>
      <c r="J7812" s="362"/>
    </row>
    <row r="7813" spans="1:10" x14ac:dyDescent="0.25">
      <c r="A7813" s="362"/>
      <c r="B7813" s="611">
        <v>44618</v>
      </c>
      <c r="C7813" s="362" t="s">
        <v>4751</v>
      </c>
      <c r="D7813" s="562">
        <v>278199000</v>
      </c>
      <c r="E7813" s="562"/>
      <c r="F7813" s="562"/>
      <c r="G7813" s="562">
        <f t="shared" si="471"/>
        <v>278199000</v>
      </c>
      <c r="H7813" s="362"/>
      <c r="I7813" s="362"/>
      <c r="J7813" s="362"/>
    </row>
    <row r="7814" spans="1:10" x14ac:dyDescent="0.25">
      <c r="A7814" s="362"/>
      <c r="B7814" s="611">
        <v>44618</v>
      </c>
      <c r="C7814" s="362" t="s">
        <v>166</v>
      </c>
      <c r="D7814" s="562"/>
      <c r="E7814" s="562"/>
      <c r="F7814" s="562"/>
      <c r="G7814" s="562">
        <f t="shared" si="471"/>
        <v>0</v>
      </c>
      <c r="H7814" s="362"/>
      <c r="I7814" s="362"/>
      <c r="J7814" s="362"/>
    </row>
    <row r="7815" spans="1:10" x14ac:dyDescent="0.25">
      <c r="A7815" s="362"/>
      <c r="B7815" s="611">
        <v>44618</v>
      </c>
      <c r="C7815" s="362" t="s">
        <v>3435</v>
      </c>
      <c r="D7815" s="562"/>
      <c r="E7815" s="562"/>
      <c r="F7815" s="562"/>
      <c r="G7815" s="562">
        <f t="shared" si="471"/>
        <v>0</v>
      </c>
      <c r="H7815" s="362"/>
      <c r="I7815" s="362"/>
      <c r="J7815" s="362"/>
    </row>
    <row r="7816" spans="1:10" x14ac:dyDescent="0.25">
      <c r="A7816" s="362"/>
      <c r="B7816" s="611">
        <v>44618</v>
      </c>
      <c r="C7816" s="370" t="s">
        <v>85</v>
      </c>
      <c r="D7816" s="562">
        <v>22020200</v>
      </c>
      <c r="E7816" s="562"/>
      <c r="F7816" s="562"/>
      <c r="G7816" s="562">
        <f t="shared" si="471"/>
        <v>22020200</v>
      </c>
      <c r="H7816" s="362"/>
      <c r="I7816" s="362"/>
      <c r="J7816" s="362"/>
    </row>
    <row r="7817" spans="1:10" x14ac:dyDescent="0.25">
      <c r="A7817" s="532"/>
      <c r="B7817" s="532"/>
      <c r="C7817" s="532"/>
      <c r="D7817" s="564">
        <f>SUM(D7802:D7816)</f>
        <v>2051563113</v>
      </c>
      <c r="E7817" s="564">
        <f t="shared" ref="E7817:G7817" si="475">SUM(E7802:E7816)</f>
        <v>0</v>
      </c>
      <c r="F7817" s="564">
        <f t="shared" si="475"/>
        <v>0</v>
      </c>
      <c r="G7817" s="564">
        <f t="shared" si="475"/>
        <v>2051563113</v>
      </c>
      <c r="H7817" s="532"/>
      <c r="I7817" s="532"/>
      <c r="J7817" s="532"/>
    </row>
    <row r="7818" spans="1:10" x14ac:dyDescent="0.25">
      <c r="A7818" s="362"/>
      <c r="B7818" s="611">
        <v>44620</v>
      </c>
      <c r="C7818" s="362" t="s">
        <v>86</v>
      </c>
      <c r="D7818" s="562">
        <v>132124285</v>
      </c>
      <c r="E7818" s="562"/>
      <c r="F7818" s="562"/>
      <c r="G7818" s="562">
        <f t="shared" si="471"/>
        <v>132124285</v>
      </c>
      <c r="H7818" s="362"/>
      <c r="I7818" s="362"/>
      <c r="J7818" s="362"/>
    </row>
    <row r="7819" spans="1:10" x14ac:dyDescent="0.25">
      <c r="A7819" s="362"/>
      <c r="B7819" s="611">
        <v>44620</v>
      </c>
      <c r="C7819" s="362" t="s">
        <v>87</v>
      </c>
      <c r="D7819" s="562">
        <v>122048282</v>
      </c>
      <c r="E7819" s="562"/>
      <c r="F7819" s="562"/>
      <c r="G7819" s="562">
        <f t="shared" si="471"/>
        <v>122048282</v>
      </c>
      <c r="H7819" s="362"/>
      <c r="I7819" s="362"/>
      <c r="J7819" s="362"/>
    </row>
    <row r="7820" spans="1:10" x14ac:dyDescent="0.25">
      <c r="A7820" s="362"/>
      <c r="B7820" s="611">
        <v>44620</v>
      </c>
      <c r="C7820" s="362" t="s">
        <v>88</v>
      </c>
      <c r="D7820" s="562">
        <v>211858310</v>
      </c>
      <c r="E7820" s="562"/>
      <c r="F7820" s="562"/>
      <c r="G7820" s="562">
        <f t="shared" ref="G7820:G7864" si="476">D7820+E7820-F7820</f>
        <v>211858310</v>
      </c>
      <c r="H7820" s="362"/>
      <c r="I7820" s="362"/>
      <c r="J7820" s="362"/>
    </row>
    <row r="7821" spans="1:10" x14ac:dyDescent="0.25">
      <c r="A7821" s="362"/>
      <c r="B7821" s="611">
        <v>44620</v>
      </c>
      <c r="C7821" s="362" t="s">
        <v>82</v>
      </c>
      <c r="D7821" s="562">
        <v>81934904</v>
      </c>
      <c r="E7821" s="562"/>
      <c r="F7821" s="562"/>
      <c r="G7821" s="562">
        <f t="shared" si="476"/>
        <v>81934904</v>
      </c>
      <c r="H7821" s="362"/>
      <c r="I7821" s="362"/>
      <c r="J7821" s="362"/>
    </row>
    <row r="7822" spans="1:10" x14ac:dyDescent="0.25">
      <c r="A7822" s="362"/>
      <c r="B7822" s="611">
        <v>44620</v>
      </c>
      <c r="C7822" s="362" t="s">
        <v>80</v>
      </c>
      <c r="D7822" s="562">
        <v>151114586</v>
      </c>
      <c r="E7822" s="562"/>
      <c r="F7822" s="562"/>
      <c r="G7822" s="562">
        <f t="shared" si="476"/>
        <v>151114586</v>
      </c>
      <c r="H7822" s="362"/>
      <c r="I7822" s="362"/>
      <c r="J7822" s="362"/>
    </row>
    <row r="7823" spans="1:10" x14ac:dyDescent="0.25">
      <c r="A7823" s="362"/>
      <c r="B7823" s="611">
        <v>44620</v>
      </c>
      <c r="C7823" s="362" t="s">
        <v>83</v>
      </c>
      <c r="D7823" s="562">
        <v>256280538</v>
      </c>
      <c r="E7823" s="562"/>
      <c r="F7823" s="562"/>
      <c r="G7823" s="562">
        <f t="shared" si="476"/>
        <v>256280538</v>
      </c>
      <c r="H7823" s="362"/>
      <c r="I7823" s="362"/>
      <c r="J7823" s="362"/>
    </row>
    <row r="7824" spans="1:10" x14ac:dyDescent="0.25">
      <c r="A7824" s="362"/>
      <c r="B7824" s="611">
        <v>44620</v>
      </c>
      <c r="C7824" s="362" t="s">
        <v>78</v>
      </c>
      <c r="D7824" s="562">
        <v>138737036</v>
      </c>
      <c r="E7824" s="562"/>
      <c r="F7824" s="562"/>
      <c r="G7824" s="562">
        <f t="shared" si="476"/>
        <v>138737036</v>
      </c>
      <c r="H7824" s="362"/>
      <c r="I7824" s="362"/>
      <c r="J7824" s="362"/>
    </row>
    <row r="7825" spans="1:10" x14ac:dyDescent="0.25">
      <c r="A7825" s="362"/>
      <c r="B7825" s="611">
        <v>44620</v>
      </c>
      <c r="C7825" s="362" t="s">
        <v>141</v>
      </c>
      <c r="D7825" s="562">
        <v>134301121</v>
      </c>
      <c r="E7825" s="562"/>
      <c r="F7825" s="562"/>
      <c r="G7825" s="562">
        <f t="shared" si="476"/>
        <v>134301121</v>
      </c>
      <c r="H7825" s="362"/>
      <c r="I7825" s="362"/>
      <c r="J7825" s="362"/>
    </row>
    <row r="7826" spans="1:10" x14ac:dyDescent="0.25">
      <c r="A7826" s="362"/>
      <c r="B7826" s="611">
        <v>44620</v>
      </c>
      <c r="C7826" s="362" t="s">
        <v>89</v>
      </c>
      <c r="D7826" s="562">
        <v>172830600</v>
      </c>
      <c r="E7826" s="562"/>
      <c r="F7826" s="562"/>
      <c r="G7826" s="562">
        <f t="shared" si="476"/>
        <v>172830600</v>
      </c>
      <c r="H7826" s="362"/>
      <c r="I7826" s="362"/>
      <c r="J7826" s="362"/>
    </row>
    <row r="7827" spans="1:10" x14ac:dyDescent="0.25">
      <c r="A7827" s="362"/>
      <c r="B7827" s="611">
        <v>44620</v>
      </c>
      <c r="C7827" s="362" t="s">
        <v>81</v>
      </c>
      <c r="D7827" s="562">
        <v>76600382</v>
      </c>
      <c r="E7827" s="562"/>
      <c r="F7827" s="562"/>
      <c r="G7827" s="562">
        <f t="shared" si="476"/>
        <v>76600382</v>
      </c>
      <c r="H7827" s="362"/>
      <c r="I7827" s="362"/>
      <c r="J7827" s="362"/>
    </row>
    <row r="7828" spans="1:10" x14ac:dyDescent="0.25">
      <c r="A7828" s="362"/>
      <c r="B7828" s="611">
        <v>44620</v>
      </c>
      <c r="C7828" s="362" t="s">
        <v>84</v>
      </c>
      <c r="D7828" s="562">
        <v>324071280</v>
      </c>
      <c r="E7828" s="562"/>
      <c r="F7828" s="562"/>
      <c r="G7828" s="562">
        <f t="shared" si="476"/>
        <v>324071280</v>
      </c>
      <c r="H7828" s="362"/>
      <c r="I7828" s="362"/>
      <c r="J7828" s="362"/>
    </row>
    <row r="7829" spans="1:10" x14ac:dyDescent="0.25">
      <c r="A7829" s="362"/>
      <c r="B7829" s="611">
        <v>44620</v>
      </c>
      <c r="C7829" s="362" t="s">
        <v>4751</v>
      </c>
      <c r="D7829" s="562">
        <v>209434200</v>
      </c>
      <c r="E7829" s="562"/>
      <c r="F7829" s="562"/>
      <c r="G7829" s="562">
        <f t="shared" si="476"/>
        <v>209434200</v>
      </c>
      <c r="H7829" s="362"/>
      <c r="I7829" s="362"/>
      <c r="J7829" s="362"/>
    </row>
    <row r="7830" spans="1:10" x14ac:dyDescent="0.25">
      <c r="A7830" s="362"/>
      <c r="B7830" s="611">
        <v>44620</v>
      </c>
      <c r="C7830" s="362" t="s">
        <v>166</v>
      </c>
      <c r="D7830" s="562">
        <v>93202378</v>
      </c>
      <c r="E7830" s="562"/>
      <c r="F7830" s="562"/>
      <c r="G7830" s="562">
        <f t="shared" si="476"/>
        <v>93202378</v>
      </c>
      <c r="H7830" s="362"/>
      <c r="I7830" s="362"/>
      <c r="J7830" s="362"/>
    </row>
    <row r="7831" spans="1:10" x14ac:dyDescent="0.25">
      <c r="A7831" s="362"/>
      <c r="B7831" s="611">
        <v>44620</v>
      </c>
      <c r="C7831" s="362" t="s">
        <v>3435</v>
      </c>
      <c r="D7831" s="562">
        <v>21023013</v>
      </c>
      <c r="E7831" s="562"/>
      <c r="F7831" s="562"/>
      <c r="G7831" s="562">
        <f t="shared" si="476"/>
        <v>21023013</v>
      </c>
      <c r="H7831" s="362"/>
      <c r="I7831" s="362"/>
      <c r="J7831" s="362"/>
    </row>
    <row r="7832" spans="1:10" x14ac:dyDescent="0.25">
      <c r="A7832" s="362"/>
      <c r="B7832" s="611">
        <v>44620</v>
      </c>
      <c r="C7832" s="370" t="s">
        <v>85</v>
      </c>
      <c r="D7832" s="562">
        <v>65037800</v>
      </c>
      <c r="E7832" s="562"/>
      <c r="F7832" s="562"/>
      <c r="G7832" s="562">
        <f t="shared" si="476"/>
        <v>65037800</v>
      </c>
      <c r="H7832" s="362"/>
      <c r="I7832" s="362"/>
      <c r="J7832" s="362"/>
    </row>
    <row r="7833" spans="1:10" x14ac:dyDescent="0.25">
      <c r="A7833" s="532"/>
      <c r="B7833" s="532"/>
      <c r="C7833" s="532"/>
      <c r="D7833" s="564">
        <f>SUM(D7818:D7832)</f>
        <v>2190598715</v>
      </c>
      <c r="E7833" s="564">
        <f t="shared" ref="E7833:G7833" si="477">SUM(E7818:E7832)</f>
        <v>0</v>
      </c>
      <c r="F7833" s="564">
        <f t="shared" si="477"/>
        <v>0</v>
      </c>
      <c r="G7833" s="564">
        <f t="shared" si="477"/>
        <v>2190598715</v>
      </c>
      <c r="H7833" s="532"/>
      <c r="I7833" s="532"/>
      <c r="J7833" s="532"/>
    </row>
    <row r="7834" spans="1:10" x14ac:dyDescent="0.25">
      <c r="A7834" s="362"/>
      <c r="B7834" s="611">
        <v>44621</v>
      </c>
      <c r="C7834" s="362" t="s">
        <v>86</v>
      </c>
      <c r="D7834" s="562">
        <v>108285121</v>
      </c>
      <c r="E7834" s="562"/>
      <c r="F7834" s="562"/>
      <c r="G7834" s="562">
        <f t="shared" si="476"/>
        <v>108285121</v>
      </c>
      <c r="H7834" s="362"/>
      <c r="I7834" s="362"/>
      <c r="J7834" s="362"/>
    </row>
    <row r="7835" spans="1:10" x14ac:dyDescent="0.25">
      <c r="A7835" s="362"/>
      <c r="B7835" s="611">
        <v>44621</v>
      </c>
      <c r="C7835" s="362" t="s">
        <v>87</v>
      </c>
      <c r="D7835" s="562">
        <v>154433960</v>
      </c>
      <c r="E7835" s="562"/>
      <c r="F7835" s="562"/>
      <c r="G7835" s="562">
        <f t="shared" si="476"/>
        <v>154433960</v>
      </c>
      <c r="H7835" s="362"/>
      <c r="I7835" s="362"/>
      <c r="J7835" s="362"/>
    </row>
    <row r="7836" spans="1:10" x14ac:dyDescent="0.25">
      <c r="A7836" s="362"/>
      <c r="B7836" s="611">
        <v>44621</v>
      </c>
      <c r="C7836" s="362" t="s">
        <v>88</v>
      </c>
      <c r="D7836" s="562">
        <v>254750827</v>
      </c>
      <c r="E7836" s="562"/>
      <c r="F7836" s="562"/>
      <c r="G7836" s="562">
        <f t="shared" si="476"/>
        <v>254750827</v>
      </c>
      <c r="H7836" s="362"/>
      <c r="I7836" s="362"/>
      <c r="J7836" s="362"/>
    </row>
    <row r="7837" spans="1:10" x14ac:dyDescent="0.25">
      <c r="A7837" s="362"/>
      <c r="B7837" s="611">
        <v>44621</v>
      </c>
      <c r="C7837" s="362" t="s">
        <v>82</v>
      </c>
      <c r="D7837" s="562">
        <v>116898769</v>
      </c>
      <c r="E7837" s="562"/>
      <c r="F7837" s="562"/>
      <c r="G7837" s="562">
        <f t="shared" si="476"/>
        <v>116898769</v>
      </c>
      <c r="H7837" s="362"/>
      <c r="I7837" s="362"/>
      <c r="J7837" s="362"/>
    </row>
    <row r="7838" spans="1:10" x14ac:dyDescent="0.25">
      <c r="A7838" s="362"/>
      <c r="B7838" s="611">
        <v>44621</v>
      </c>
      <c r="C7838" s="362" t="s">
        <v>80</v>
      </c>
      <c r="D7838" s="562">
        <v>462447800</v>
      </c>
      <c r="E7838" s="562"/>
      <c r="F7838" s="562"/>
      <c r="G7838" s="562">
        <f t="shared" si="476"/>
        <v>462447800</v>
      </c>
      <c r="H7838" s="362"/>
      <c r="I7838" s="362"/>
      <c r="J7838" s="362"/>
    </row>
    <row r="7839" spans="1:10" x14ac:dyDescent="0.25">
      <c r="A7839" s="362"/>
      <c r="B7839" s="611">
        <v>44621</v>
      </c>
      <c r="C7839" s="362" t="s">
        <v>83</v>
      </c>
      <c r="D7839" s="562">
        <v>256543645</v>
      </c>
      <c r="E7839" s="562"/>
      <c r="F7839" s="562"/>
      <c r="G7839" s="562">
        <f t="shared" si="476"/>
        <v>256543645</v>
      </c>
      <c r="H7839" s="362"/>
      <c r="I7839" s="362"/>
      <c r="J7839" s="362"/>
    </row>
    <row r="7840" spans="1:10" x14ac:dyDescent="0.25">
      <c r="A7840" s="362"/>
      <c r="B7840" s="611">
        <v>44621</v>
      </c>
      <c r="C7840" s="362" t="s">
        <v>78</v>
      </c>
      <c r="D7840" s="562">
        <v>201910482</v>
      </c>
      <c r="E7840" s="562"/>
      <c r="F7840" s="562"/>
      <c r="G7840" s="562">
        <f t="shared" si="476"/>
        <v>201910482</v>
      </c>
      <c r="H7840" s="362"/>
      <c r="I7840" s="362"/>
      <c r="J7840" s="362"/>
    </row>
    <row r="7841" spans="1:10" x14ac:dyDescent="0.25">
      <c r="A7841" s="362"/>
      <c r="B7841" s="611">
        <v>44621</v>
      </c>
      <c r="C7841" s="362" t="s">
        <v>141</v>
      </c>
      <c r="D7841" s="562">
        <v>85540575</v>
      </c>
      <c r="E7841" s="562"/>
      <c r="F7841" s="562"/>
      <c r="G7841" s="562">
        <f t="shared" si="476"/>
        <v>85540575</v>
      </c>
      <c r="H7841" s="362"/>
      <c r="I7841" s="362"/>
      <c r="J7841" s="362"/>
    </row>
    <row r="7842" spans="1:10" x14ac:dyDescent="0.25">
      <c r="A7842" s="362"/>
      <c r="B7842" s="611">
        <v>44621</v>
      </c>
      <c r="C7842" s="362" t="s">
        <v>89</v>
      </c>
      <c r="D7842" s="562">
        <v>106730200</v>
      </c>
      <c r="E7842" s="562"/>
      <c r="F7842" s="562"/>
      <c r="G7842" s="562">
        <f t="shared" si="476"/>
        <v>106730200</v>
      </c>
      <c r="H7842" s="362"/>
      <c r="I7842" s="362"/>
      <c r="J7842" s="362"/>
    </row>
    <row r="7843" spans="1:10" x14ac:dyDescent="0.25">
      <c r="A7843" s="362"/>
      <c r="B7843" s="611">
        <v>44621</v>
      </c>
      <c r="C7843" s="362" t="s">
        <v>81</v>
      </c>
      <c r="D7843" s="562">
        <v>62975384</v>
      </c>
      <c r="E7843" s="562"/>
      <c r="F7843" s="562"/>
      <c r="G7843" s="562">
        <f t="shared" si="476"/>
        <v>62975384</v>
      </c>
      <c r="H7843" s="362"/>
      <c r="I7843" s="362"/>
      <c r="J7843" s="362"/>
    </row>
    <row r="7844" spans="1:10" x14ac:dyDescent="0.25">
      <c r="A7844" s="362"/>
      <c r="B7844" s="611">
        <v>44621</v>
      </c>
      <c r="C7844" s="362" t="s">
        <v>84</v>
      </c>
      <c r="D7844" s="562">
        <v>355694053</v>
      </c>
      <c r="E7844" s="562"/>
      <c r="F7844" s="562"/>
      <c r="G7844" s="562">
        <f t="shared" si="476"/>
        <v>355694053</v>
      </c>
      <c r="H7844" s="362"/>
      <c r="I7844" s="362"/>
      <c r="J7844" s="362"/>
    </row>
    <row r="7845" spans="1:10" x14ac:dyDescent="0.25">
      <c r="A7845" s="362"/>
      <c r="B7845" s="611">
        <v>44621</v>
      </c>
      <c r="C7845" s="362" t="s">
        <v>4751</v>
      </c>
      <c r="D7845" s="562">
        <v>239496500</v>
      </c>
      <c r="E7845" s="562"/>
      <c r="F7845" s="562"/>
      <c r="G7845" s="562">
        <f t="shared" si="476"/>
        <v>239496500</v>
      </c>
      <c r="H7845" s="362"/>
      <c r="I7845" s="362"/>
      <c r="J7845" s="362"/>
    </row>
    <row r="7846" spans="1:10" x14ac:dyDescent="0.25">
      <c r="A7846" s="362"/>
      <c r="B7846" s="611">
        <v>44621</v>
      </c>
      <c r="C7846" s="362" t="s">
        <v>166</v>
      </c>
      <c r="D7846" s="562">
        <v>153613432</v>
      </c>
      <c r="E7846" s="562"/>
      <c r="F7846" s="562"/>
      <c r="G7846" s="562">
        <f t="shared" si="476"/>
        <v>153613432</v>
      </c>
      <c r="H7846" s="362"/>
      <c r="I7846" s="362"/>
      <c r="J7846" s="362"/>
    </row>
    <row r="7847" spans="1:10" x14ac:dyDescent="0.25">
      <c r="A7847" s="362"/>
      <c r="B7847" s="611">
        <v>44621</v>
      </c>
      <c r="C7847" s="362" t="s">
        <v>3435</v>
      </c>
      <c r="D7847" s="562">
        <v>117404119</v>
      </c>
      <c r="E7847" s="562"/>
      <c r="F7847" s="562"/>
      <c r="G7847" s="562">
        <f t="shared" si="476"/>
        <v>117404119</v>
      </c>
      <c r="H7847" s="362"/>
      <c r="I7847" s="362"/>
      <c r="J7847" s="362"/>
    </row>
    <row r="7848" spans="1:10" x14ac:dyDescent="0.25">
      <c r="A7848" s="362"/>
      <c r="B7848" s="611">
        <v>44621</v>
      </c>
      <c r="C7848" s="370" t="s">
        <v>85</v>
      </c>
      <c r="D7848" s="562">
        <v>33576300</v>
      </c>
      <c r="E7848" s="562"/>
      <c r="F7848" s="562"/>
      <c r="G7848" s="562">
        <f t="shared" si="476"/>
        <v>33576300</v>
      </c>
      <c r="H7848" s="362"/>
      <c r="I7848" s="362"/>
      <c r="J7848" s="362"/>
    </row>
    <row r="7849" spans="1:10" x14ac:dyDescent="0.25">
      <c r="A7849" s="532"/>
      <c r="B7849" s="532"/>
      <c r="C7849" s="532"/>
      <c r="D7849" s="564">
        <f>SUM(D7834:D7848)</f>
        <v>2710301167</v>
      </c>
      <c r="E7849" s="564">
        <f t="shared" ref="E7849:G7849" si="478">SUM(E7834:E7848)</f>
        <v>0</v>
      </c>
      <c r="F7849" s="564">
        <f t="shared" si="478"/>
        <v>0</v>
      </c>
      <c r="G7849" s="564">
        <f t="shared" si="478"/>
        <v>2710301167</v>
      </c>
      <c r="H7849" s="532"/>
      <c r="I7849" s="532"/>
      <c r="J7849" s="532"/>
    </row>
    <row r="7850" spans="1:10" x14ac:dyDescent="0.25">
      <c r="A7850" s="362"/>
      <c r="B7850" s="611">
        <v>44622</v>
      </c>
      <c r="C7850" s="362" t="s">
        <v>86</v>
      </c>
      <c r="D7850" s="562">
        <v>160785809</v>
      </c>
      <c r="E7850" s="562"/>
      <c r="F7850" s="562"/>
      <c r="G7850" s="562">
        <f t="shared" si="476"/>
        <v>160785809</v>
      </c>
      <c r="H7850" s="362"/>
      <c r="I7850" s="362"/>
      <c r="J7850" s="362"/>
    </row>
    <row r="7851" spans="1:10" x14ac:dyDescent="0.25">
      <c r="A7851" s="362"/>
      <c r="B7851" s="611">
        <v>44622</v>
      </c>
      <c r="C7851" s="362" t="s">
        <v>87</v>
      </c>
      <c r="D7851" s="562">
        <v>226455551</v>
      </c>
      <c r="E7851" s="562"/>
      <c r="F7851" s="562"/>
      <c r="G7851" s="562">
        <f t="shared" si="476"/>
        <v>226455551</v>
      </c>
      <c r="H7851" s="362"/>
      <c r="I7851" s="362"/>
      <c r="J7851" s="362"/>
    </row>
    <row r="7852" spans="1:10" x14ac:dyDescent="0.25">
      <c r="A7852" s="362"/>
      <c r="B7852" s="611">
        <v>44622</v>
      </c>
      <c r="C7852" s="362" t="s">
        <v>88</v>
      </c>
      <c r="D7852" s="562">
        <v>352777292</v>
      </c>
      <c r="E7852" s="562"/>
      <c r="F7852" s="562"/>
      <c r="G7852" s="562">
        <f t="shared" si="476"/>
        <v>352777292</v>
      </c>
      <c r="H7852" s="362"/>
      <c r="I7852" s="362"/>
      <c r="J7852" s="362"/>
    </row>
    <row r="7853" spans="1:10" x14ac:dyDescent="0.25">
      <c r="A7853" s="362"/>
      <c r="B7853" s="611">
        <v>44622</v>
      </c>
      <c r="C7853" s="362" t="s">
        <v>82</v>
      </c>
      <c r="D7853" s="562">
        <v>127455355</v>
      </c>
      <c r="E7853" s="562"/>
      <c r="F7853" s="562"/>
      <c r="G7853" s="562">
        <f t="shared" si="476"/>
        <v>127455355</v>
      </c>
      <c r="H7853" s="362"/>
      <c r="I7853" s="362"/>
      <c r="J7853" s="362"/>
    </row>
    <row r="7854" spans="1:10" x14ac:dyDescent="0.25">
      <c r="A7854" s="362"/>
      <c r="B7854" s="611">
        <v>44622</v>
      </c>
      <c r="C7854" s="362" t="s">
        <v>80</v>
      </c>
      <c r="D7854" s="562">
        <v>387112764</v>
      </c>
      <c r="E7854" s="562"/>
      <c r="F7854" s="562"/>
      <c r="G7854" s="562">
        <f t="shared" si="476"/>
        <v>387112764</v>
      </c>
      <c r="H7854" s="362"/>
      <c r="I7854" s="362"/>
      <c r="J7854" s="362"/>
    </row>
    <row r="7855" spans="1:10" x14ac:dyDescent="0.25">
      <c r="A7855" s="362"/>
      <c r="B7855" s="611">
        <v>44622</v>
      </c>
      <c r="C7855" s="362" t="s">
        <v>83</v>
      </c>
      <c r="D7855" s="562">
        <v>174905421</v>
      </c>
      <c r="E7855" s="562"/>
      <c r="F7855" s="562"/>
      <c r="G7855" s="562">
        <f t="shared" si="476"/>
        <v>174905421</v>
      </c>
      <c r="H7855" s="362"/>
      <c r="I7855" s="362"/>
      <c r="J7855" s="362"/>
    </row>
    <row r="7856" spans="1:10" x14ac:dyDescent="0.25">
      <c r="A7856" s="362"/>
      <c r="B7856" s="611">
        <v>44622</v>
      </c>
      <c r="C7856" s="362" t="s">
        <v>78</v>
      </c>
      <c r="D7856" s="562">
        <v>123290279</v>
      </c>
      <c r="E7856" s="562"/>
      <c r="F7856" s="562"/>
      <c r="G7856" s="562">
        <f t="shared" si="476"/>
        <v>123290279</v>
      </c>
      <c r="H7856" s="362"/>
      <c r="I7856" s="362"/>
      <c r="J7856" s="362"/>
    </row>
    <row r="7857" spans="1:10" x14ac:dyDescent="0.25">
      <c r="A7857" s="362"/>
      <c r="B7857" s="611">
        <v>44622</v>
      </c>
      <c r="C7857" s="362" t="s">
        <v>141</v>
      </c>
      <c r="D7857" s="562">
        <v>157930743</v>
      </c>
      <c r="E7857" s="562"/>
      <c r="F7857" s="562"/>
      <c r="G7857" s="562">
        <f t="shared" si="476"/>
        <v>157930743</v>
      </c>
      <c r="H7857" s="362"/>
      <c r="I7857" s="362"/>
      <c r="J7857" s="362"/>
    </row>
    <row r="7858" spans="1:10" x14ac:dyDescent="0.25">
      <c r="A7858" s="362"/>
      <c r="B7858" s="611">
        <v>44622</v>
      </c>
      <c r="C7858" s="362" t="s">
        <v>89</v>
      </c>
      <c r="D7858" s="562">
        <v>265653000</v>
      </c>
      <c r="E7858" s="562"/>
      <c r="F7858" s="562"/>
      <c r="G7858" s="562">
        <f t="shared" si="476"/>
        <v>265653000</v>
      </c>
      <c r="H7858" s="362"/>
      <c r="I7858" s="362"/>
      <c r="J7858" s="362"/>
    </row>
    <row r="7859" spans="1:10" x14ac:dyDescent="0.25">
      <c r="A7859" s="362"/>
      <c r="B7859" s="611">
        <v>44622</v>
      </c>
      <c r="C7859" s="362" t="s">
        <v>81</v>
      </c>
      <c r="D7859" s="562">
        <v>128349069</v>
      </c>
      <c r="E7859" s="562"/>
      <c r="F7859" s="562"/>
      <c r="G7859" s="562">
        <f t="shared" si="476"/>
        <v>128349069</v>
      </c>
      <c r="H7859" s="362"/>
      <c r="I7859" s="362"/>
      <c r="J7859" s="362"/>
    </row>
    <row r="7860" spans="1:10" x14ac:dyDescent="0.25">
      <c r="A7860" s="362"/>
      <c r="B7860" s="611">
        <v>44622</v>
      </c>
      <c r="C7860" s="362" t="s">
        <v>84</v>
      </c>
      <c r="D7860" s="562">
        <v>312357367</v>
      </c>
      <c r="E7860" s="562"/>
      <c r="F7860" s="562"/>
      <c r="G7860" s="562">
        <f t="shared" si="476"/>
        <v>312357367</v>
      </c>
      <c r="H7860" s="362"/>
      <c r="I7860" s="362"/>
      <c r="J7860" s="362"/>
    </row>
    <row r="7861" spans="1:10" x14ac:dyDescent="0.25">
      <c r="A7861" s="362"/>
      <c r="B7861" s="611">
        <v>44622</v>
      </c>
      <c r="C7861" s="362" t="s">
        <v>4751</v>
      </c>
      <c r="D7861" s="562">
        <v>177978100</v>
      </c>
      <c r="E7861" s="562"/>
      <c r="F7861" s="562"/>
      <c r="G7861" s="562">
        <f t="shared" si="476"/>
        <v>177978100</v>
      </c>
      <c r="H7861" s="362"/>
      <c r="I7861" s="362"/>
      <c r="J7861" s="362"/>
    </row>
    <row r="7862" spans="1:10" x14ac:dyDescent="0.25">
      <c r="A7862" s="362"/>
      <c r="B7862" s="611">
        <v>44622</v>
      </c>
      <c r="C7862" s="362" t="s">
        <v>166</v>
      </c>
      <c r="D7862" s="562">
        <v>85780244</v>
      </c>
      <c r="E7862" s="562"/>
      <c r="F7862" s="562"/>
      <c r="G7862" s="562">
        <f t="shared" si="476"/>
        <v>85780244</v>
      </c>
      <c r="H7862" s="362"/>
      <c r="I7862" s="362"/>
      <c r="J7862" s="362"/>
    </row>
    <row r="7863" spans="1:10" x14ac:dyDescent="0.25">
      <c r="A7863" s="362"/>
      <c r="B7863" s="611">
        <v>44622</v>
      </c>
      <c r="C7863" s="362" t="s">
        <v>3435</v>
      </c>
      <c r="D7863" s="562">
        <v>96377410</v>
      </c>
      <c r="E7863" s="562"/>
      <c r="F7863" s="562"/>
      <c r="G7863" s="562">
        <f t="shared" si="476"/>
        <v>96377410</v>
      </c>
      <c r="H7863" s="362"/>
      <c r="I7863" s="362"/>
      <c r="J7863" s="362"/>
    </row>
    <row r="7864" spans="1:10" x14ac:dyDescent="0.25">
      <c r="A7864" s="362"/>
      <c r="B7864" s="611">
        <v>44622</v>
      </c>
      <c r="C7864" s="370" t="s">
        <v>85</v>
      </c>
      <c r="D7864" s="562">
        <v>44944800</v>
      </c>
      <c r="E7864" s="562"/>
      <c r="F7864" s="562"/>
      <c r="G7864" s="562">
        <f t="shared" si="476"/>
        <v>44944800</v>
      </c>
      <c r="H7864" s="362"/>
      <c r="I7864" s="362"/>
      <c r="J7864" s="362"/>
    </row>
    <row r="7865" spans="1:10" x14ac:dyDescent="0.25">
      <c r="A7865" s="532"/>
      <c r="B7865" s="532"/>
      <c r="C7865" s="532"/>
      <c r="D7865" s="564">
        <f>SUM(D7850:D7864)</f>
        <v>2822153204</v>
      </c>
      <c r="E7865" s="564">
        <f t="shared" ref="E7865:G7865" si="479">SUM(E7850:E7864)</f>
        <v>0</v>
      </c>
      <c r="F7865" s="564">
        <f t="shared" si="479"/>
        <v>0</v>
      </c>
      <c r="G7865" s="564">
        <f t="shared" si="479"/>
        <v>2822153204</v>
      </c>
      <c r="H7865" s="532"/>
      <c r="I7865" s="532"/>
      <c r="J7865" s="532"/>
    </row>
    <row r="7866" spans="1:10" x14ac:dyDescent="0.25">
      <c r="A7866" s="362"/>
      <c r="B7866" s="611">
        <v>44623</v>
      </c>
      <c r="C7866" s="362" t="s">
        <v>86</v>
      </c>
      <c r="D7866" s="562"/>
      <c r="E7866" s="562"/>
      <c r="F7866" s="562"/>
      <c r="G7866" s="562"/>
      <c r="H7866" s="362"/>
      <c r="I7866" s="362"/>
      <c r="J7866" s="362"/>
    </row>
    <row r="7867" spans="1:10" x14ac:dyDescent="0.25">
      <c r="A7867" s="362"/>
      <c r="B7867" s="611">
        <v>44623</v>
      </c>
      <c r="C7867" s="362" t="s">
        <v>87</v>
      </c>
      <c r="D7867" s="562"/>
      <c r="E7867" s="562"/>
      <c r="F7867" s="562"/>
      <c r="G7867" s="562"/>
      <c r="H7867" s="362"/>
      <c r="I7867" s="362"/>
      <c r="J7867" s="362"/>
    </row>
    <row r="7868" spans="1:10" x14ac:dyDescent="0.25">
      <c r="A7868" s="362"/>
      <c r="B7868" s="611">
        <v>44623</v>
      </c>
      <c r="C7868" s="362" t="s">
        <v>88</v>
      </c>
      <c r="D7868" s="562"/>
      <c r="E7868" s="562"/>
      <c r="F7868" s="562"/>
      <c r="G7868" s="562"/>
      <c r="H7868" s="362"/>
      <c r="I7868" s="362"/>
      <c r="J7868" s="362"/>
    </row>
    <row r="7869" spans="1:10" x14ac:dyDescent="0.25">
      <c r="A7869" s="362"/>
      <c r="B7869" s="611">
        <v>44623</v>
      </c>
      <c r="C7869" s="362" t="s">
        <v>82</v>
      </c>
      <c r="D7869" s="562"/>
      <c r="E7869" s="562"/>
      <c r="F7869" s="562"/>
      <c r="G7869" s="562"/>
      <c r="H7869" s="362"/>
      <c r="I7869" s="362"/>
      <c r="J7869" s="362"/>
    </row>
    <row r="7870" spans="1:10" x14ac:dyDescent="0.25">
      <c r="A7870" s="362"/>
      <c r="B7870" s="611">
        <v>44623</v>
      </c>
      <c r="C7870" s="362" t="s">
        <v>80</v>
      </c>
      <c r="D7870" s="562"/>
      <c r="E7870" s="562"/>
      <c r="F7870" s="562"/>
      <c r="G7870" s="562"/>
      <c r="H7870" s="362"/>
      <c r="I7870" s="362"/>
      <c r="J7870" s="362"/>
    </row>
    <row r="7871" spans="1:10" x14ac:dyDescent="0.25">
      <c r="A7871" s="362"/>
      <c r="B7871" s="611">
        <v>44623</v>
      </c>
      <c r="C7871" s="362" t="s">
        <v>83</v>
      </c>
      <c r="D7871" s="562"/>
      <c r="E7871" s="562"/>
      <c r="F7871" s="562"/>
      <c r="G7871" s="562"/>
      <c r="H7871" s="362"/>
      <c r="I7871" s="362"/>
      <c r="J7871" s="362"/>
    </row>
    <row r="7872" spans="1:10" x14ac:dyDescent="0.25">
      <c r="A7872" s="362"/>
      <c r="B7872" s="611">
        <v>44623</v>
      </c>
      <c r="C7872" s="362" t="s">
        <v>78</v>
      </c>
      <c r="D7872" s="562"/>
      <c r="E7872" s="562"/>
      <c r="F7872" s="562"/>
      <c r="G7872" s="562"/>
      <c r="H7872" s="362"/>
      <c r="I7872" s="362"/>
      <c r="J7872" s="362"/>
    </row>
    <row r="7873" spans="1:10" x14ac:dyDescent="0.25">
      <c r="A7873" s="362"/>
      <c r="B7873" s="611">
        <v>44623</v>
      </c>
      <c r="C7873" s="362" t="s">
        <v>141</v>
      </c>
      <c r="D7873" s="562"/>
      <c r="E7873" s="562"/>
      <c r="F7873" s="562"/>
      <c r="G7873" s="562"/>
      <c r="H7873" s="362"/>
      <c r="I7873" s="362"/>
      <c r="J7873" s="362"/>
    </row>
    <row r="7874" spans="1:10" x14ac:dyDescent="0.25">
      <c r="A7874" s="362"/>
      <c r="B7874" s="611">
        <v>44623</v>
      </c>
      <c r="C7874" s="362" t="s">
        <v>89</v>
      </c>
      <c r="D7874" s="562"/>
      <c r="E7874" s="562"/>
      <c r="F7874" s="562"/>
      <c r="G7874" s="562"/>
      <c r="H7874" s="362"/>
      <c r="I7874" s="362"/>
      <c r="J7874" s="362"/>
    </row>
    <row r="7875" spans="1:10" x14ac:dyDescent="0.25">
      <c r="A7875" s="362"/>
      <c r="B7875" s="611">
        <v>44623</v>
      </c>
      <c r="C7875" s="362" t="s">
        <v>81</v>
      </c>
      <c r="D7875" s="562"/>
      <c r="E7875" s="562"/>
      <c r="F7875" s="562"/>
      <c r="G7875" s="562"/>
      <c r="H7875" s="362"/>
      <c r="I7875" s="362"/>
      <c r="J7875" s="362"/>
    </row>
    <row r="7876" spans="1:10" x14ac:dyDescent="0.25">
      <c r="A7876" s="362"/>
      <c r="B7876" s="611">
        <v>44623</v>
      </c>
      <c r="C7876" s="362" t="s">
        <v>84</v>
      </c>
      <c r="D7876" s="562"/>
      <c r="E7876" s="562"/>
      <c r="F7876" s="562"/>
      <c r="G7876" s="562"/>
      <c r="H7876" s="362"/>
      <c r="I7876" s="362"/>
      <c r="J7876" s="362"/>
    </row>
    <row r="7877" spans="1:10" x14ac:dyDescent="0.25">
      <c r="A7877" s="362"/>
      <c r="B7877" s="611">
        <v>44623</v>
      </c>
      <c r="C7877" s="362" t="s">
        <v>4751</v>
      </c>
      <c r="D7877" s="562"/>
      <c r="E7877" s="562"/>
      <c r="F7877" s="562"/>
      <c r="G7877" s="562"/>
      <c r="H7877" s="362"/>
      <c r="I7877" s="362"/>
      <c r="J7877" s="362"/>
    </row>
    <row r="7878" spans="1:10" x14ac:dyDescent="0.25">
      <c r="A7878" s="362"/>
      <c r="B7878" s="611">
        <v>44623</v>
      </c>
      <c r="C7878" s="362" t="s">
        <v>166</v>
      </c>
      <c r="D7878" s="562"/>
      <c r="E7878" s="562"/>
      <c r="F7878" s="562"/>
      <c r="G7878" s="562"/>
      <c r="H7878" s="362"/>
      <c r="I7878" s="362"/>
      <c r="J7878" s="362"/>
    </row>
    <row r="7879" spans="1:10" x14ac:dyDescent="0.25">
      <c r="A7879" s="362"/>
      <c r="B7879" s="611">
        <v>44623</v>
      </c>
      <c r="C7879" s="362" t="s">
        <v>3435</v>
      </c>
      <c r="D7879" s="562"/>
      <c r="E7879" s="562"/>
      <c r="F7879" s="562"/>
      <c r="G7879" s="562"/>
      <c r="H7879" s="362"/>
      <c r="I7879" s="362"/>
      <c r="J7879" s="362"/>
    </row>
    <row r="7880" spans="1:10" x14ac:dyDescent="0.25">
      <c r="A7880" s="362"/>
      <c r="B7880" s="611">
        <v>44623</v>
      </c>
      <c r="C7880" s="370" t="s">
        <v>85</v>
      </c>
      <c r="D7880" s="562"/>
      <c r="E7880" s="562"/>
      <c r="F7880" s="562"/>
      <c r="G7880" s="562"/>
      <c r="H7880" s="362"/>
      <c r="I7880" s="362"/>
      <c r="J7880" s="362"/>
    </row>
    <row r="7881" spans="1:10" x14ac:dyDescent="0.25">
      <c r="A7881" s="532"/>
      <c r="B7881" s="532"/>
      <c r="C7881" s="532"/>
      <c r="D7881" s="564"/>
      <c r="E7881" s="564"/>
      <c r="F7881" s="564"/>
      <c r="G7881" s="564"/>
      <c r="H7881" s="532"/>
      <c r="I7881" s="532"/>
      <c r="J7881" s="532"/>
    </row>
    <row r="7882" spans="1:10" x14ac:dyDescent="0.25">
      <c r="A7882" s="362"/>
      <c r="B7882" s="611">
        <v>44624</v>
      </c>
      <c r="C7882" s="362" t="s">
        <v>86</v>
      </c>
      <c r="D7882" s="562">
        <v>106195161</v>
      </c>
      <c r="E7882" s="562"/>
      <c r="F7882" s="562"/>
      <c r="G7882" s="562">
        <f t="shared" ref="G7882:G7947" si="480">D7882+E7882-F7882</f>
        <v>106195161</v>
      </c>
      <c r="H7882" s="362"/>
      <c r="I7882" s="362"/>
      <c r="J7882" s="362"/>
    </row>
    <row r="7883" spans="1:10" x14ac:dyDescent="0.25">
      <c r="A7883" s="362"/>
      <c r="B7883" s="611">
        <v>44624</v>
      </c>
      <c r="C7883" s="362" t="s">
        <v>87</v>
      </c>
      <c r="D7883" s="562">
        <v>390636105</v>
      </c>
      <c r="E7883" s="562"/>
      <c r="F7883" s="562"/>
      <c r="G7883" s="562">
        <f t="shared" si="480"/>
        <v>390636105</v>
      </c>
      <c r="H7883" s="362"/>
      <c r="I7883" s="362"/>
      <c r="J7883" s="362"/>
    </row>
    <row r="7884" spans="1:10" x14ac:dyDescent="0.25">
      <c r="A7884" s="362"/>
      <c r="B7884" s="611">
        <v>44624</v>
      </c>
      <c r="C7884" s="362" t="s">
        <v>88</v>
      </c>
      <c r="D7884" s="562">
        <v>159410495</v>
      </c>
      <c r="E7884" s="562"/>
      <c r="F7884" s="562"/>
      <c r="G7884" s="562">
        <f t="shared" si="480"/>
        <v>159410495</v>
      </c>
      <c r="H7884" s="362"/>
      <c r="I7884" s="362"/>
      <c r="J7884" s="362"/>
    </row>
    <row r="7885" spans="1:10" x14ac:dyDescent="0.25">
      <c r="A7885" s="362"/>
      <c r="B7885" s="611">
        <v>44624</v>
      </c>
      <c r="C7885" s="362" t="s">
        <v>82</v>
      </c>
      <c r="D7885" s="562">
        <v>133171265</v>
      </c>
      <c r="E7885" s="562"/>
      <c r="F7885" s="562"/>
      <c r="G7885" s="562">
        <f t="shared" si="480"/>
        <v>133171265</v>
      </c>
      <c r="H7885" s="362"/>
      <c r="I7885" s="362"/>
      <c r="J7885" s="362"/>
    </row>
    <row r="7886" spans="1:10" x14ac:dyDescent="0.25">
      <c r="A7886" s="362"/>
      <c r="B7886" s="611">
        <v>44624</v>
      </c>
      <c r="C7886" s="362" t="s">
        <v>80</v>
      </c>
      <c r="D7886" s="562">
        <v>425865256</v>
      </c>
      <c r="E7886" s="562"/>
      <c r="F7886" s="562"/>
      <c r="G7886" s="562">
        <f t="shared" si="480"/>
        <v>425865256</v>
      </c>
      <c r="H7886" s="362"/>
      <c r="I7886" s="362"/>
      <c r="J7886" s="362"/>
    </row>
    <row r="7887" spans="1:10" x14ac:dyDescent="0.25">
      <c r="A7887" s="362"/>
      <c r="B7887" s="611">
        <v>44624</v>
      </c>
      <c r="C7887" s="362" t="s">
        <v>83</v>
      </c>
      <c r="D7887" s="562">
        <v>204515564</v>
      </c>
      <c r="E7887" s="562"/>
      <c r="F7887" s="562"/>
      <c r="G7887" s="562">
        <f t="shared" si="480"/>
        <v>204515564</v>
      </c>
      <c r="H7887" s="362"/>
      <c r="I7887" s="362"/>
      <c r="J7887" s="362"/>
    </row>
    <row r="7888" spans="1:10" x14ac:dyDescent="0.25">
      <c r="A7888" s="362"/>
      <c r="B7888" s="611">
        <v>44624</v>
      </c>
      <c r="C7888" s="362" t="s">
        <v>78</v>
      </c>
      <c r="D7888" s="562">
        <v>405305400</v>
      </c>
      <c r="E7888" s="562"/>
      <c r="F7888" s="562"/>
      <c r="G7888" s="562">
        <f t="shared" si="480"/>
        <v>405305400</v>
      </c>
      <c r="H7888" s="362"/>
      <c r="I7888" s="362"/>
      <c r="J7888" s="362"/>
    </row>
    <row r="7889" spans="1:10" x14ac:dyDescent="0.25">
      <c r="A7889" s="362"/>
      <c r="B7889" s="611">
        <v>44624</v>
      </c>
      <c r="C7889" s="362" t="s">
        <v>141</v>
      </c>
      <c r="D7889" s="562">
        <v>102102206</v>
      </c>
      <c r="E7889" s="562"/>
      <c r="F7889" s="562"/>
      <c r="G7889" s="562">
        <f t="shared" si="480"/>
        <v>102102206</v>
      </c>
      <c r="H7889" s="362"/>
      <c r="I7889" s="362"/>
      <c r="J7889" s="362"/>
    </row>
    <row r="7890" spans="1:10" x14ac:dyDescent="0.25">
      <c r="A7890" s="362"/>
      <c r="B7890" s="611">
        <v>44624</v>
      </c>
      <c r="C7890" s="362" t="s">
        <v>89</v>
      </c>
      <c r="D7890" s="562">
        <v>196339600</v>
      </c>
      <c r="E7890" s="562"/>
      <c r="F7890" s="562"/>
      <c r="G7890" s="562">
        <f t="shared" si="480"/>
        <v>196339600</v>
      </c>
      <c r="H7890" s="362"/>
      <c r="I7890" s="362"/>
      <c r="J7890" s="362"/>
    </row>
    <row r="7891" spans="1:10" x14ac:dyDescent="0.25">
      <c r="A7891" s="362"/>
      <c r="B7891" s="611">
        <v>44624</v>
      </c>
      <c r="C7891" s="362" t="s">
        <v>81</v>
      </c>
      <c r="D7891" s="562">
        <v>379036901</v>
      </c>
      <c r="E7891" s="562"/>
      <c r="F7891" s="562"/>
      <c r="G7891" s="562">
        <f t="shared" si="480"/>
        <v>379036901</v>
      </c>
      <c r="H7891" s="362"/>
      <c r="I7891" s="362"/>
      <c r="J7891" s="362"/>
    </row>
    <row r="7892" spans="1:10" x14ac:dyDescent="0.25">
      <c r="A7892" s="362"/>
      <c r="B7892" s="611">
        <v>44624</v>
      </c>
      <c r="C7892" s="362" t="s">
        <v>84</v>
      </c>
      <c r="D7892" s="562">
        <v>339918304</v>
      </c>
      <c r="E7892" s="562"/>
      <c r="F7892" s="562"/>
      <c r="G7892" s="562">
        <f t="shared" si="480"/>
        <v>339918304</v>
      </c>
      <c r="H7892" s="362"/>
      <c r="I7892" s="362"/>
      <c r="J7892" s="362"/>
    </row>
    <row r="7893" spans="1:10" x14ac:dyDescent="0.25">
      <c r="A7893" s="362"/>
      <c r="B7893" s="611">
        <v>44624</v>
      </c>
      <c r="C7893" s="362" t="s">
        <v>4751</v>
      </c>
      <c r="D7893" s="562">
        <v>143963700</v>
      </c>
      <c r="E7893" s="562"/>
      <c r="F7893" s="562"/>
      <c r="G7893" s="562">
        <f t="shared" si="480"/>
        <v>143963700</v>
      </c>
      <c r="H7893" s="362"/>
      <c r="I7893" s="362"/>
      <c r="J7893" s="362"/>
    </row>
    <row r="7894" spans="1:10" x14ac:dyDescent="0.25">
      <c r="A7894" s="362"/>
      <c r="B7894" s="611">
        <v>44624</v>
      </c>
      <c r="C7894" s="362" t="s">
        <v>166</v>
      </c>
      <c r="D7894" s="562"/>
      <c r="E7894" s="562"/>
      <c r="F7894" s="562"/>
      <c r="G7894" s="562">
        <f t="shared" si="480"/>
        <v>0</v>
      </c>
      <c r="H7894" s="362"/>
      <c r="I7894" s="362"/>
      <c r="J7894" s="362"/>
    </row>
    <row r="7895" spans="1:10" x14ac:dyDescent="0.25">
      <c r="A7895" s="362"/>
      <c r="B7895" s="611">
        <v>44624</v>
      </c>
      <c r="C7895" s="362" t="s">
        <v>3435</v>
      </c>
      <c r="D7895" s="562"/>
      <c r="E7895" s="562"/>
      <c r="F7895" s="562"/>
      <c r="G7895" s="562">
        <f t="shared" si="480"/>
        <v>0</v>
      </c>
      <c r="H7895" s="362"/>
      <c r="I7895" s="362"/>
      <c r="J7895" s="362"/>
    </row>
    <row r="7896" spans="1:10" x14ac:dyDescent="0.25">
      <c r="A7896" s="362"/>
      <c r="B7896" s="611">
        <v>44624</v>
      </c>
      <c r="C7896" s="370" t="s">
        <v>85</v>
      </c>
      <c r="D7896" s="562">
        <v>63217300</v>
      </c>
      <c r="E7896" s="562"/>
      <c r="F7896" s="562"/>
      <c r="G7896" s="562">
        <f t="shared" si="480"/>
        <v>63217300</v>
      </c>
      <c r="H7896" s="362"/>
      <c r="I7896" s="362"/>
      <c r="J7896" s="362"/>
    </row>
    <row r="7897" spans="1:10" x14ac:dyDescent="0.25">
      <c r="A7897" s="532"/>
      <c r="B7897" s="532"/>
      <c r="C7897" s="532"/>
      <c r="D7897" s="564">
        <f>SUM(D7882:D7896)</f>
        <v>3049677257</v>
      </c>
      <c r="E7897" s="564">
        <f t="shared" ref="E7897:G7897" si="481">SUM(E7882:E7896)</f>
        <v>0</v>
      </c>
      <c r="F7897" s="564">
        <f t="shared" si="481"/>
        <v>0</v>
      </c>
      <c r="G7897" s="564">
        <f t="shared" si="481"/>
        <v>3049677257</v>
      </c>
      <c r="H7897" s="532"/>
      <c r="I7897" s="532"/>
      <c r="J7897" s="532"/>
    </row>
    <row r="7898" spans="1:10" x14ac:dyDescent="0.25">
      <c r="A7898" s="362"/>
      <c r="B7898" s="611">
        <v>44627</v>
      </c>
      <c r="C7898" s="362" t="s">
        <v>86</v>
      </c>
      <c r="D7898" s="562">
        <v>179154276</v>
      </c>
      <c r="E7898" s="562"/>
      <c r="F7898" s="562">
        <v>179154300</v>
      </c>
      <c r="G7898" s="562">
        <f t="shared" si="480"/>
        <v>-24</v>
      </c>
      <c r="H7898" s="362"/>
      <c r="I7898" s="362"/>
      <c r="J7898" s="362"/>
    </row>
    <row r="7899" spans="1:10" x14ac:dyDescent="0.25">
      <c r="A7899" s="362"/>
      <c r="B7899" s="611">
        <v>44627</v>
      </c>
      <c r="C7899" s="362" t="s">
        <v>87</v>
      </c>
      <c r="D7899" s="562">
        <v>227281574</v>
      </c>
      <c r="E7899" s="562"/>
      <c r="F7899" s="562">
        <v>227281600</v>
      </c>
      <c r="G7899" s="562">
        <f t="shared" si="480"/>
        <v>-26</v>
      </c>
      <c r="H7899" s="362"/>
      <c r="I7899" s="362"/>
      <c r="J7899" s="362"/>
    </row>
    <row r="7900" spans="1:10" x14ac:dyDescent="0.25">
      <c r="A7900" s="362"/>
      <c r="B7900" s="611">
        <v>44627</v>
      </c>
      <c r="C7900" s="362" t="s">
        <v>88</v>
      </c>
      <c r="D7900" s="562">
        <v>425788630</v>
      </c>
      <c r="E7900" s="562"/>
      <c r="F7900" s="562">
        <v>425788700</v>
      </c>
      <c r="G7900" s="562">
        <f t="shared" si="480"/>
        <v>-70</v>
      </c>
      <c r="H7900" s="362"/>
      <c r="I7900" s="362"/>
      <c r="J7900" s="362"/>
    </row>
    <row r="7901" spans="1:10" x14ac:dyDescent="0.25">
      <c r="A7901" s="362"/>
      <c r="B7901" s="611">
        <v>44627</v>
      </c>
      <c r="C7901" s="362" t="s">
        <v>82</v>
      </c>
      <c r="D7901" s="562">
        <v>78386655</v>
      </c>
      <c r="E7901" s="562"/>
      <c r="F7901" s="562">
        <v>78386700</v>
      </c>
      <c r="G7901" s="562">
        <f t="shared" si="480"/>
        <v>-45</v>
      </c>
      <c r="H7901" s="362"/>
      <c r="I7901" s="362"/>
      <c r="J7901" s="362"/>
    </row>
    <row r="7902" spans="1:10" x14ac:dyDescent="0.25">
      <c r="A7902" s="362"/>
      <c r="B7902" s="611">
        <v>44627</v>
      </c>
      <c r="C7902" s="362" t="s">
        <v>80</v>
      </c>
      <c r="D7902" s="562">
        <v>304538521</v>
      </c>
      <c r="E7902" s="562"/>
      <c r="F7902" s="562">
        <v>304537900</v>
      </c>
      <c r="G7902" s="562">
        <f t="shared" si="480"/>
        <v>621</v>
      </c>
      <c r="H7902" s="362"/>
      <c r="I7902" s="362"/>
      <c r="J7902" s="362"/>
    </row>
    <row r="7903" spans="1:10" x14ac:dyDescent="0.25">
      <c r="A7903" s="362"/>
      <c r="B7903" s="611">
        <v>44627</v>
      </c>
      <c r="C7903" s="362" t="s">
        <v>83</v>
      </c>
      <c r="D7903" s="562">
        <v>286621163</v>
      </c>
      <c r="E7903" s="562"/>
      <c r="F7903" s="562">
        <v>286621200</v>
      </c>
      <c r="G7903" s="562">
        <f t="shared" si="480"/>
        <v>-37</v>
      </c>
      <c r="H7903" s="362"/>
      <c r="I7903" s="362"/>
      <c r="J7903" s="362"/>
    </row>
    <row r="7904" spans="1:10" x14ac:dyDescent="0.25">
      <c r="A7904" s="362"/>
      <c r="B7904" s="611">
        <v>44627</v>
      </c>
      <c r="C7904" s="362" t="s">
        <v>78</v>
      </c>
      <c r="D7904" s="562">
        <v>170777300</v>
      </c>
      <c r="E7904" s="562"/>
      <c r="F7904" s="562">
        <v>170777300</v>
      </c>
      <c r="G7904" s="562">
        <f t="shared" si="480"/>
        <v>0</v>
      </c>
      <c r="H7904" s="362"/>
      <c r="I7904" s="362"/>
      <c r="J7904" s="362"/>
    </row>
    <row r="7905" spans="1:10" x14ac:dyDescent="0.25">
      <c r="A7905" s="362"/>
      <c r="B7905" s="611">
        <v>44627</v>
      </c>
      <c r="C7905" s="362" t="s">
        <v>141</v>
      </c>
      <c r="D7905" s="562">
        <v>114148257</v>
      </c>
      <c r="E7905" s="562"/>
      <c r="F7905" s="562">
        <v>114148300</v>
      </c>
      <c r="G7905" s="562">
        <f t="shared" si="480"/>
        <v>-43</v>
      </c>
      <c r="H7905" s="362"/>
      <c r="I7905" s="362"/>
      <c r="J7905" s="362"/>
    </row>
    <row r="7906" spans="1:10" x14ac:dyDescent="0.25">
      <c r="A7906" s="362"/>
      <c r="B7906" s="611">
        <v>44627</v>
      </c>
      <c r="C7906" s="362" t="s">
        <v>89</v>
      </c>
      <c r="D7906" s="562">
        <v>244190600</v>
      </c>
      <c r="E7906" s="562"/>
      <c r="F7906" s="562">
        <v>244190600</v>
      </c>
      <c r="G7906" s="562">
        <f t="shared" si="480"/>
        <v>0</v>
      </c>
      <c r="H7906" s="362"/>
      <c r="I7906" s="362"/>
      <c r="J7906" s="362"/>
    </row>
    <row r="7907" spans="1:10" x14ac:dyDescent="0.25">
      <c r="A7907" s="362"/>
      <c r="B7907" s="611">
        <v>44627</v>
      </c>
      <c r="C7907" s="362" t="s">
        <v>81</v>
      </c>
      <c r="D7907" s="562">
        <v>211868848</v>
      </c>
      <c r="E7907" s="562"/>
      <c r="F7907" s="562">
        <v>211868900</v>
      </c>
      <c r="G7907" s="562">
        <f t="shared" si="480"/>
        <v>-52</v>
      </c>
      <c r="H7907" s="362"/>
      <c r="I7907" s="362"/>
      <c r="J7907" s="362"/>
    </row>
    <row r="7908" spans="1:10" x14ac:dyDescent="0.25">
      <c r="A7908" s="362"/>
      <c r="B7908" s="611">
        <v>44627</v>
      </c>
      <c r="C7908" s="362" t="s">
        <v>84</v>
      </c>
      <c r="D7908" s="562">
        <v>493077095</v>
      </c>
      <c r="E7908" s="562"/>
      <c r="F7908" s="562">
        <v>493077000</v>
      </c>
      <c r="G7908" s="562">
        <f t="shared" si="480"/>
        <v>95</v>
      </c>
      <c r="H7908" s="362"/>
      <c r="I7908" s="362"/>
      <c r="J7908" s="362"/>
    </row>
    <row r="7909" spans="1:10" x14ac:dyDescent="0.25">
      <c r="A7909" s="362"/>
      <c r="B7909" s="611">
        <v>44627</v>
      </c>
      <c r="C7909" s="362" t="s">
        <v>4751</v>
      </c>
      <c r="D7909" s="562">
        <v>430004200</v>
      </c>
      <c r="E7909" s="562"/>
      <c r="F7909" s="562">
        <v>430004300</v>
      </c>
      <c r="G7909" s="562">
        <f t="shared" si="480"/>
        <v>-100</v>
      </c>
      <c r="H7909" s="362"/>
      <c r="I7909" s="362"/>
      <c r="J7909" s="362"/>
    </row>
    <row r="7910" spans="1:10" x14ac:dyDescent="0.25">
      <c r="A7910" s="362"/>
      <c r="B7910" s="611">
        <v>44627</v>
      </c>
      <c r="C7910" s="362" t="s">
        <v>166</v>
      </c>
      <c r="D7910" s="562">
        <v>65731102</v>
      </c>
      <c r="E7910" s="562"/>
      <c r="F7910" s="562">
        <v>65731200</v>
      </c>
      <c r="G7910" s="562">
        <f t="shared" si="480"/>
        <v>-98</v>
      </c>
      <c r="H7910" s="362"/>
      <c r="I7910" s="362"/>
      <c r="J7910" s="362"/>
    </row>
    <row r="7911" spans="1:10" x14ac:dyDescent="0.25">
      <c r="A7911" s="362"/>
      <c r="B7911" s="611">
        <v>44627</v>
      </c>
      <c r="C7911" s="362" t="s">
        <v>3435</v>
      </c>
      <c r="D7911" s="562">
        <v>55785614</v>
      </c>
      <c r="E7911" s="562"/>
      <c r="F7911" s="562">
        <v>55785700</v>
      </c>
      <c r="G7911" s="562">
        <f t="shared" si="480"/>
        <v>-86</v>
      </c>
      <c r="H7911" s="362"/>
      <c r="I7911" s="362"/>
      <c r="J7911" s="362"/>
    </row>
    <row r="7912" spans="1:10" x14ac:dyDescent="0.25">
      <c r="A7912" s="362"/>
      <c r="B7912" s="611">
        <v>44627</v>
      </c>
      <c r="C7912" s="370" t="s">
        <v>85</v>
      </c>
      <c r="D7912" s="562">
        <v>58336700</v>
      </c>
      <c r="E7912" s="562"/>
      <c r="F7912" s="562">
        <v>58336700</v>
      </c>
      <c r="G7912" s="562">
        <f t="shared" si="480"/>
        <v>0</v>
      </c>
      <c r="H7912" s="362"/>
      <c r="I7912" s="362"/>
      <c r="J7912" s="362"/>
    </row>
    <row r="7913" spans="1:10" x14ac:dyDescent="0.25">
      <c r="A7913" s="532"/>
      <c r="B7913" s="532"/>
      <c r="C7913" s="532"/>
      <c r="D7913" s="564">
        <f>SUM(D7898:D7912)</f>
        <v>3345690535</v>
      </c>
      <c r="E7913" s="564">
        <f t="shared" ref="E7913:G7913" si="482">SUM(E7898:E7912)</f>
        <v>0</v>
      </c>
      <c r="F7913" s="564">
        <f t="shared" si="482"/>
        <v>3345690400</v>
      </c>
      <c r="G7913" s="564">
        <f t="shared" si="482"/>
        <v>135</v>
      </c>
      <c r="H7913" s="532"/>
      <c r="I7913" s="532"/>
      <c r="J7913" s="532"/>
    </row>
    <row r="7914" spans="1:10" x14ac:dyDescent="0.25">
      <c r="A7914" s="362"/>
      <c r="B7914" s="611">
        <v>44628</v>
      </c>
      <c r="C7914" s="362" t="s">
        <v>86</v>
      </c>
      <c r="D7914" s="562">
        <v>111586158</v>
      </c>
      <c r="E7914" s="562"/>
      <c r="F7914" s="562"/>
      <c r="G7914" s="562">
        <f t="shared" si="480"/>
        <v>111586158</v>
      </c>
      <c r="H7914" s="362"/>
      <c r="I7914" s="362"/>
      <c r="J7914" s="362"/>
    </row>
    <row r="7915" spans="1:10" x14ac:dyDescent="0.25">
      <c r="A7915" s="362"/>
      <c r="B7915" s="611">
        <v>44628</v>
      </c>
      <c r="C7915" s="362" t="s">
        <v>87</v>
      </c>
      <c r="D7915" s="562">
        <v>126983248</v>
      </c>
      <c r="E7915" s="562"/>
      <c r="F7915" s="562"/>
      <c r="G7915" s="562">
        <f t="shared" si="480"/>
        <v>126983248</v>
      </c>
      <c r="H7915" s="362"/>
      <c r="I7915" s="362"/>
      <c r="J7915" s="362"/>
    </row>
    <row r="7916" spans="1:10" x14ac:dyDescent="0.25">
      <c r="A7916" s="362"/>
      <c r="B7916" s="611">
        <v>44628</v>
      </c>
      <c r="C7916" s="362" t="s">
        <v>88</v>
      </c>
      <c r="D7916" s="562">
        <v>173311445</v>
      </c>
      <c r="E7916" s="562"/>
      <c r="F7916" s="562"/>
      <c r="G7916" s="562">
        <f t="shared" si="480"/>
        <v>173311445</v>
      </c>
      <c r="H7916" s="362"/>
      <c r="I7916" s="362"/>
      <c r="J7916" s="362"/>
    </row>
    <row r="7917" spans="1:10" x14ac:dyDescent="0.25">
      <c r="A7917" s="362"/>
      <c r="B7917" s="611">
        <v>44628</v>
      </c>
      <c r="C7917" s="362" t="s">
        <v>82</v>
      </c>
      <c r="D7917" s="562">
        <v>90853541</v>
      </c>
      <c r="E7917" s="562"/>
      <c r="F7917" s="562"/>
      <c r="G7917" s="562">
        <f t="shared" si="480"/>
        <v>90853541</v>
      </c>
      <c r="H7917" s="362"/>
      <c r="I7917" s="362"/>
      <c r="J7917" s="362"/>
    </row>
    <row r="7918" spans="1:10" x14ac:dyDescent="0.25">
      <c r="A7918" s="362"/>
      <c r="B7918" s="611">
        <v>44628</v>
      </c>
      <c r="C7918" s="362" t="s">
        <v>80</v>
      </c>
      <c r="D7918" s="562">
        <v>420344334</v>
      </c>
      <c r="E7918" s="562"/>
      <c r="F7918" s="562"/>
      <c r="G7918" s="562">
        <f t="shared" si="480"/>
        <v>420344334</v>
      </c>
      <c r="H7918" s="362"/>
      <c r="I7918" s="362"/>
      <c r="J7918" s="362"/>
    </row>
    <row r="7919" spans="1:10" x14ac:dyDescent="0.25">
      <c r="A7919" s="362"/>
      <c r="B7919" s="611">
        <v>44628</v>
      </c>
      <c r="C7919" s="362" t="s">
        <v>83</v>
      </c>
      <c r="D7919" s="562">
        <v>302385560</v>
      </c>
      <c r="E7919" s="562"/>
      <c r="F7919" s="562"/>
      <c r="G7919" s="562">
        <f t="shared" si="480"/>
        <v>302385560</v>
      </c>
      <c r="H7919" s="362"/>
      <c r="I7919" s="362"/>
      <c r="J7919" s="362"/>
    </row>
    <row r="7920" spans="1:10" x14ac:dyDescent="0.25">
      <c r="A7920" s="362"/>
      <c r="B7920" s="611">
        <v>44628</v>
      </c>
      <c r="C7920" s="362" t="s">
        <v>78</v>
      </c>
      <c r="D7920" s="562">
        <v>188084495</v>
      </c>
      <c r="E7920" s="562"/>
      <c r="F7920" s="562"/>
      <c r="G7920" s="562">
        <f t="shared" si="480"/>
        <v>188084495</v>
      </c>
      <c r="H7920" s="362"/>
      <c r="I7920" s="362"/>
      <c r="J7920" s="362"/>
    </row>
    <row r="7921" spans="1:10" x14ac:dyDescent="0.25">
      <c r="A7921" s="362"/>
      <c r="B7921" s="611">
        <v>44628</v>
      </c>
      <c r="C7921" s="362" t="s">
        <v>141</v>
      </c>
      <c r="D7921" s="562">
        <v>94377005</v>
      </c>
      <c r="E7921" s="562"/>
      <c r="F7921" s="562"/>
      <c r="G7921" s="562">
        <f t="shared" si="480"/>
        <v>94377005</v>
      </c>
      <c r="H7921" s="362"/>
      <c r="I7921" s="362"/>
      <c r="J7921" s="362"/>
    </row>
    <row r="7922" spans="1:10" x14ac:dyDescent="0.25">
      <c r="A7922" s="362"/>
      <c r="B7922" s="611">
        <v>44628</v>
      </c>
      <c r="C7922" s="362" t="s">
        <v>89</v>
      </c>
      <c r="D7922" s="562">
        <v>156012600</v>
      </c>
      <c r="E7922" s="562"/>
      <c r="F7922" s="562"/>
      <c r="G7922" s="562">
        <f t="shared" si="480"/>
        <v>156012600</v>
      </c>
      <c r="H7922" s="362"/>
      <c r="I7922" s="362"/>
      <c r="J7922" s="362"/>
    </row>
    <row r="7923" spans="1:10" x14ac:dyDescent="0.25">
      <c r="A7923" s="362"/>
      <c r="B7923" s="611">
        <v>44628</v>
      </c>
      <c r="C7923" s="362" t="s">
        <v>81</v>
      </c>
      <c r="D7923" s="562">
        <v>141691242</v>
      </c>
      <c r="E7923" s="562"/>
      <c r="F7923" s="562"/>
      <c r="G7923" s="562">
        <f t="shared" si="480"/>
        <v>141691242</v>
      </c>
      <c r="H7923" s="362"/>
      <c r="I7923" s="362"/>
      <c r="J7923" s="362"/>
    </row>
    <row r="7924" spans="1:10" x14ac:dyDescent="0.25">
      <c r="A7924" s="362"/>
      <c r="B7924" s="611">
        <v>44628</v>
      </c>
      <c r="C7924" s="362" t="s">
        <v>84</v>
      </c>
      <c r="D7924" s="562">
        <v>302178091</v>
      </c>
      <c r="E7924" s="562"/>
      <c r="F7924" s="562"/>
      <c r="G7924" s="562">
        <f t="shared" si="480"/>
        <v>302178091</v>
      </c>
      <c r="H7924" s="362"/>
      <c r="I7924" s="362"/>
      <c r="J7924" s="362"/>
    </row>
    <row r="7925" spans="1:10" x14ac:dyDescent="0.25">
      <c r="A7925" s="362"/>
      <c r="B7925" s="611">
        <v>44628</v>
      </c>
      <c r="C7925" s="362" t="s">
        <v>4751</v>
      </c>
      <c r="D7925" s="562">
        <v>267152100</v>
      </c>
      <c r="E7925" s="562"/>
      <c r="F7925" s="562"/>
      <c r="G7925" s="562">
        <f t="shared" si="480"/>
        <v>267152100</v>
      </c>
      <c r="H7925" s="362"/>
      <c r="I7925" s="362"/>
      <c r="J7925" s="362"/>
    </row>
    <row r="7926" spans="1:10" x14ac:dyDescent="0.25">
      <c r="A7926" s="362"/>
      <c r="B7926" s="611">
        <v>44628</v>
      </c>
      <c r="C7926" s="362" t="s">
        <v>166</v>
      </c>
      <c r="D7926" s="562">
        <v>108436570</v>
      </c>
      <c r="E7926" s="562"/>
      <c r="F7926" s="562"/>
      <c r="G7926" s="562">
        <f t="shared" si="480"/>
        <v>108436570</v>
      </c>
      <c r="H7926" s="362"/>
      <c r="I7926" s="362"/>
      <c r="J7926" s="362"/>
    </row>
    <row r="7927" spans="1:10" x14ac:dyDescent="0.25">
      <c r="A7927" s="362"/>
      <c r="B7927" s="611">
        <v>44628</v>
      </c>
      <c r="C7927" s="362" t="s">
        <v>3435</v>
      </c>
      <c r="D7927" s="562">
        <v>88849982</v>
      </c>
      <c r="E7927" s="562"/>
      <c r="F7927" s="562"/>
      <c r="G7927" s="562">
        <f t="shared" si="480"/>
        <v>88849982</v>
      </c>
      <c r="H7927" s="362"/>
      <c r="I7927" s="362"/>
      <c r="J7927" s="362"/>
    </row>
    <row r="7928" spans="1:10" x14ac:dyDescent="0.25">
      <c r="A7928" s="362"/>
      <c r="B7928" s="611">
        <v>44628</v>
      </c>
      <c r="C7928" s="370" t="s">
        <v>85</v>
      </c>
      <c r="D7928" s="562">
        <v>37804200</v>
      </c>
      <c r="E7928" s="562"/>
      <c r="F7928" s="562"/>
      <c r="G7928" s="562">
        <f t="shared" si="480"/>
        <v>37804200</v>
      </c>
      <c r="H7928" s="362"/>
      <c r="I7928" s="362"/>
      <c r="J7928" s="362"/>
    </row>
    <row r="7929" spans="1:10" x14ac:dyDescent="0.25">
      <c r="A7929" s="532"/>
      <c r="B7929" s="532"/>
      <c r="C7929" s="532"/>
      <c r="D7929" s="564">
        <f>SUM(D7914:D7928)</f>
        <v>2610050571</v>
      </c>
      <c r="E7929" s="564">
        <f t="shared" ref="E7929:G7929" si="483">SUM(E7914:E7928)</f>
        <v>0</v>
      </c>
      <c r="F7929" s="564">
        <f t="shared" si="483"/>
        <v>0</v>
      </c>
      <c r="G7929" s="564">
        <f t="shared" si="483"/>
        <v>2610050571</v>
      </c>
      <c r="H7929" s="532"/>
      <c r="I7929" s="532"/>
      <c r="J7929" s="532"/>
    </row>
    <row r="7930" spans="1:10" x14ac:dyDescent="0.25">
      <c r="A7930" s="362"/>
      <c r="B7930" s="611">
        <v>44629</v>
      </c>
      <c r="C7930" s="362" t="s">
        <v>86</v>
      </c>
      <c r="D7930" s="562">
        <v>244437900</v>
      </c>
      <c r="E7930" s="562"/>
      <c r="F7930" s="562"/>
      <c r="G7930" s="562">
        <f t="shared" si="480"/>
        <v>244437900</v>
      </c>
      <c r="H7930" s="362"/>
      <c r="I7930" s="362"/>
      <c r="J7930" s="362"/>
    </row>
    <row r="7931" spans="1:10" x14ac:dyDescent="0.25">
      <c r="A7931" s="362"/>
      <c r="B7931" s="611">
        <v>44629</v>
      </c>
      <c r="C7931" s="362" t="s">
        <v>87</v>
      </c>
      <c r="D7931" s="562">
        <v>226863024</v>
      </c>
      <c r="E7931" s="562"/>
      <c r="F7931" s="562"/>
      <c r="G7931" s="562">
        <f t="shared" si="480"/>
        <v>226863024</v>
      </c>
      <c r="H7931" s="362"/>
      <c r="I7931" s="362"/>
      <c r="J7931" s="362"/>
    </row>
    <row r="7932" spans="1:10" x14ac:dyDescent="0.25">
      <c r="A7932" s="362"/>
      <c r="B7932" s="611">
        <v>44629</v>
      </c>
      <c r="C7932" s="362" t="s">
        <v>88</v>
      </c>
      <c r="D7932" s="562">
        <v>118396088</v>
      </c>
      <c r="E7932" s="562"/>
      <c r="F7932" s="562"/>
      <c r="G7932" s="562">
        <f t="shared" si="480"/>
        <v>118396088</v>
      </c>
      <c r="H7932" s="362"/>
      <c r="I7932" s="362"/>
      <c r="J7932" s="362"/>
    </row>
    <row r="7933" spans="1:10" x14ac:dyDescent="0.25">
      <c r="A7933" s="362"/>
      <c r="B7933" s="611">
        <v>44629</v>
      </c>
      <c r="C7933" s="362" t="s">
        <v>82</v>
      </c>
      <c r="D7933" s="562">
        <v>156918675</v>
      </c>
      <c r="E7933" s="562"/>
      <c r="F7933" s="562"/>
      <c r="G7933" s="562">
        <f t="shared" si="480"/>
        <v>156918675</v>
      </c>
      <c r="H7933" s="362"/>
      <c r="I7933" s="362"/>
      <c r="J7933" s="362"/>
    </row>
    <row r="7934" spans="1:10" x14ac:dyDescent="0.25">
      <c r="A7934" s="362"/>
      <c r="B7934" s="611">
        <v>44629</v>
      </c>
      <c r="C7934" s="362" t="s">
        <v>80</v>
      </c>
      <c r="D7934" s="562">
        <v>331665189</v>
      </c>
      <c r="E7934" s="562"/>
      <c r="F7934" s="562"/>
      <c r="G7934" s="562">
        <f t="shared" si="480"/>
        <v>331665189</v>
      </c>
      <c r="H7934" s="362"/>
      <c r="I7934" s="362"/>
      <c r="J7934" s="362"/>
    </row>
    <row r="7935" spans="1:10" x14ac:dyDescent="0.25">
      <c r="A7935" s="362"/>
      <c r="B7935" s="611">
        <v>44629</v>
      </c>
      <c r="C7935" s="362" t="s">
        <v>83</v>
      </c>
      <c r="D7935" s="562">
        <v>254270300</v>
      </c>
      <c r="E7935" s="562"/>
      <c r="F7935" s="562"/>
      <c r="G7935" s="562">
        <f t="shared" si="480"/>
        <v>254270300</v>
      </c>
      <c r="H7935" s="362"/>
      <c r="I7935" s="362"/>
      <c r="J7935" s="362"/>
    </row>
    <row r="7936" spans="1:10" x14ac:dyDescent="0.25">
      <c r="A7936" s="362"/>
      <c r="B7936" s="611">
        <v>44629</v>
      </c>
      <c r="C7936" s="362" t="s">
        <v>78</v>
      </c>
      <c r="D7936" s="562">
        <v>134796816</v>
      </c>
      <c r="E7936" s="562"/>
      <c r="F7936" s="562"/>
      <c r="G7936" s="562">
        <f t="shared" si="480"/>
        <v>134796816</v>
      </c>
      <c r="H7936" s="362"/>
      <c r="I7936" s="362"/>
      <c r="J7936" s="362"/>
    </row>
    <row r="7937" spans="1:10" x14ac:dyDescent="0.25">
      <c r="A7937" s="362"/>
      <c r="B7937" s="611">
        <v>44629</v>
      </c>
      <c r="C7937" s="362" t="s">
        <v>141</v>
      </c>
      <c r="D7937" s="562">
        <v>169763796</v>
      </c>
      <c r="E7937" s="562"/>
      <c r="F7937" s="562"/>
      <c r="G7937" s="562">
        <f t="shared" si="480"/>
        <v>169763796</v>
      </c>
      <c r="H7937" s="362"/>
      <c r="I7937" s="362"/>
      <c r="J7937" s="362"/>
    </row>
    <row r="7938" spans="1:10" x14ac:dyDescent="0.25">
      <c r="A7938" s="362"/>
      <c r="B7938" s="611">
        <v>44629</v>
      </c>
      <c r="C7938" s="362" t="s">
        <v>89</v>
      </c>
      <c r="D7938" s="562">
        <v>170935400</v>
      </c>
      <c r="E7938" s="562"/>
      <c r="F7938" s="562"/>
      <c r="G7938" s="562">
        <f t="shared" si="480"/>
        <v>170935400</v>
      </c>
      <c r="H7938" s="362"/>
      <c r="I7938" s="362"/>
      <c r="J7938" s="362"/>
    </row>
    <row r="7939" spans="1:10" x14ac:dyDescent="0.25">
      <c r="A7939" s="362"/>
      <c r="B7939" s="611">
        <v>44629</v>
      </c>
      <c r="C7939" s="362" t="s">
        <v>81</v>
      </c>
      <c r="D7939" s="562">
        <v>167976417</v>
      </c>
      <c r="E7939" s="562"/>
      <c r="F7939" s="562"/>
      <c r="G7939" s="562">
        <f t="shared" si="480"/>
        <v>167976417</v>
      </c>
      <c r="H7939" s="362"/>
      <c r="I7939" s="362"/>
      <c r="J7939" s="362"/>
    </row>
    <row r="7940" spans="1:10" x14ac:dyDescent="0.25">
      <c r="A7940" s="362"/>
      <c r="B7940" s="611">
        <v>44629</v>
      </c>
      <c r="C7940" s="362" t="s">
        <v>84</v>
      </c>
      <c r="D7940" s="562">
        <v>396984888</v>
      </c>
      <c r="E7940" s="562"/>
      <c r="F7940" s="562"/>
      <c r="G7940" s="562">
        <f t="shared" si="480"/>
        <v>396984888</v>
      </c>
      <c r="H7940" s="362"/>
      <c r="I7940" s="362"/>
      <c r="J7940" s="362"/>
    </row>
    <row r="7941" spans="1:10" x14ac:dyDescent="0.25">
      <c r="A7941" s="362"/>
      <c r="B7941" s="611">
        <v>44629</v>
      </c>
      <c r="C7941" s="362" t="s">
        <v>4751</v>
      </c>
      <c r="D7941" s="562">
        <v>208744500</v>
      </c>
      <c r="E7941" s="562"/>
      <c r="F7941" s="562"/>
      <c r="G7941" s="562">
        <f t="shared" si="480"/>
        <v>208744500</v>
      </c>
      <c r="H7941" s="362"/>
      <c r="I7941" s="362"/>
      <c r="J7941" s="362"/>
    </row>
    <row r="7942" spans="1:10" x14ac:dyDescent="0.25">
      <c r="A7942" s="362"/>
      <c r="B7942" s="611">
        <v>44629</v>
      </c>
      <c r="C7942" s="362" t="s">
        <v>166</v>
      </c>
      <c r="D7942" s="562">
        <v>53750052</v>
      </c>
      <c r="E7942" s="562"/>
      <c r="F7942" s="562"/>
      <c r="G7942" s="562">
        <f t="shared" si="480"/>
        <v>53750052</v>
      </c>
      <c r="H7942" s="362"/>
      <c r="I7942" s="362"/>
      <c r="J7942" s="362"/>
    </row>
    <row r="7943" spans="1:10" x14ac:dyDescent="0.25">
      <c r="A7943" s="362"/>
      <c r="B7943" s="611">
        <v>44629</v>
      </c>
      <c r="C7943" s="362" t="s">
        <v>3435</v>
      </c>
      <c r="D7943" s="562">
        <v>44214991</v>
      </c>
      <c r="E7943" s="562"/>
      <c r="F7943" s="562"/>
      <c r="G7943" s="562">
        <f t="shared" si="480"/>
        <v>44214991</v>
      </c>
      <c r="H7943" s="362"/>
      <c r="I7943" s="362"/>
      <c r="J7943" s="362"/>
    </row>
    <row r="7944" spans="1:10" x14ac:dyDescent="0.25">
      <c r="A7944" s="362"/>
      <c r="B7944" s="611">
        <v>44629</v>
      </c>
      <c r="C7944" s="370" t="s">
        <v>85</v>
      </c>
      <c r="D7944" s="562">
        <v>90742700</v>
      </c>
      <c r="E7944" s="562"/>
      <c r="F7944" s="562"/>
      <c r="G7944" s="562">
        <f t="shared" si="480"/>
        <v>90742700</v>
      </c>
      <c r="H7944" s="362"/>
      <c r="I7944" s="362"/>
      <c r="J7944" s="362"/>
    </row>
    <row r="7945" spans="1:10" x14ac:dyDescent="0.25">
      <c r="A7945" s="532"/>
      <c r="B7945" s="532"/>
      <c r="C7945" s="532"/>
      <c r="D7945" s="564">
        <f>SUM(D7930:D7944)</f>
        <v>2770460736</v>
      </c>
      <c r="E7945" s="564">
        <f t="shared" ref="E7945:G7945" si="484">SUM(E7930:E7944)</f>
        <v>0</v>
      </c>
      <c r="F7945" s="564">
        <f t="shared" si="484"/>
        <v>0</v>
      </c>
      <c r="G7945" s="564">
        <f t="shared" si="484"/>
        <v>2770460736</v>
      </c>
      <c r="H7945" s="532"/>
      <c r="I7945" s="532"/>
      <c r="J7945" s="532"/>
    </row>
    <row r="7946" spans="1:10" x14ac:dyDescent="0.25">
      <c r="A7946" s="362"/>
      <c r="B7946" s="611">
        <v>44630</v>
      </c>
      <c r="C7946" s="362" t="s">
        <v>86</v>
      </c>
      <c r="D7946" s="562"/>
      <c r="E7946" s="562"/>
      <c r="F7946" s="562"/>
      <c r="G7946" s="562">
        <f t="shared" si="480"/>
        <v>0</v>
      </c>
      <c r="H7946" s="362"/>
      <c r="I7946" s="362"/>
      <c r="J7946" s="362"/>
    </row>
    <row r="7947" spans="1:10" x14ac:dyDescent="0.25">
      <c r="A7947" s="362"/>
      <c r="B7947" s="611">
        <v>44630</v>
      </c>
      <c r="C7947" s="362" t="s">
        <v>87</v>
      </c>
      <c r="D7947" s="562">
        <v>288072601</v>
      </c>
      <c r="E7947" s="562"/>
      <c r="F7947" s="562"/>
      <c r="G7947" s="562">
        <f t="shared" si="480"/>
        <v>288072601</v>
      </c>
      <c r="H7947" s="362"/>
      <c r="I7947" s="362"/>
      <c r="J7947" s="362"/>
    </row>
    <row r="7948" spans="1:10" x14ac:dyDescent="0.25">
      <c r="A7948" s="362"/>
      <c r="B7948" s="611">
        <v>44630</v>
      </c>
      <c r="C7948" s="362" t="s">
        <v>88</v>
      </c>
      <c r="D7948" s="562"/>
      <c r="E7948" s="562"/>
      <c r="F7948" s="562"/>
      <c r="G7948" s="562">
        <f t="shared" ref="G7948:G8027" si="485">D7948+E7948-F7948</f>
        <v>0</v>
      </c>
      <c r="H7948" s="362"/>
      <c r="I7948" s="362"/>
      <c r="J7948" s="362"/>
    </row>
    <row r="7949" spans="1:10" x14ac:dyDescent="0.25">
      <c r="A7949" s="362"/>
      <c r="B7949" s="611">
        <v>44630</v>
      </c>
      <c r="C7949" s="362" t="s">
        <v>82</v>
      </c>
      <c r="D7949" s="562"/>
      <c r="E7949" s="562"/>
      <c r="F7949" s="562"/>
      <c r="G7949" s="562">
        <f t="shared" si="485"/>
        <v>0</v>
      </c>
      <c r="H7949" s="362"/>
      <c r="I7949" s="362"/>
      <c r="J7949" s="362"/>
    </row>
    <row r="7950" spans="1:10" x14ac:dyDescent="0.25">
      <c r="A7950" s="362"/>
      <c r="B7950" s="611">
        <v>44630</v>
      </c>
      <c r="C7950" s="362" t="s">
        <v>80</v>
      </c>
      <c r="D7950" s="562"/>
      <c r="E7950" s="562"/>
      <c r="F7950" s="562"/>
      <c r="G7950" s="562">
        <f t="shared" si="485"/>
        <v>0</v>
      </c>
      <c r="H7950" s="362"/>
      <c r="I7950" s="362"/>
      <c r="J7950" s="362"/>
    </row>
    <row r="7951" spans="1:10" x14ac:dyDescent="0.25">
      <c r="A7951" s="362"/>
      <c r="B7951" s="611">
        <v>44630</v>
      </c>
      <c r="C7951" s="362" t="s">
        <v>83</v>
      </c>
      <c r="D7951" s="562">
        <v>115665839</v>
      </c>
      <c r="E7951" s="562"/>
      <c r="F7951" s="562"/>
      <c r="G7951" s="562">
        <f t="shared" si="485"/>
        <v>115665839</v>
      </c>
      <c r="H7951" s="362"/>
      <c r="I7951" s="362"/>
      <c r="J7951" s="362"/>
    </row>
    <row r="7952" spans="1:10" x14ac:dyDescent="0.25">
      <c r="A7952" s="362"/>
      <c r="B7952" s="611">
        <v>44630</v>
      </c>
      <c r="C7952" s="362" t="s">
        <v>78</v>
      </c>
      <c r="D7952" s="562"/>
      <c r="E7952" s="562"/>
      <c r="F7952" s="562"/>
      <c r="G7952" s="562">
        <f t="shared" si="485"/>
        <v>0</v>
      </c>
      <c r="H7952" s="362"/>
      <c r="I7952" s="362"/>
      <c r="J7952" s="362"/>
    </row>
    <row r="7953" spans="1:10" x14ac:dyDescent="0.25">
      <c r="A7953" s="362"/>
      <c r="B7953" s="611">
        <v>44630</v>
      </c>
      <c r="C7953" s="362" t="s">
        <v>141</v>
      </c>
      <c r="D7953" s="562"/>
      <c r="E7953" s="562"/>
      <c r="F7953" s="562"/>
      <c r="G7953" s="562">
        <f t="shared" si="485"/>
        <v>0</v>
      </c>
      <c r="H7953" s="362"/>
      <c r="I7953" s="362"/>
      <c r="J7953" s="362"/>
    </row>
    <row r="7954" spans="1:10" x14ac:dyDescent="0.25">
      <c r="A7954" s="362"/>
      <c r="B7954" s="611">
        <v>44630</v>
      </c>
      <c r="C7954" s="362" t="s">
        <v>89</v>
      </c>
      <c r="D7954" s="562">
        <v>241523200</v>
      </c>
      <c r="E7954" s="562"/>
      <c r="F7954" s="562"/>
      <c r="G7954" s="562">
        <f t="shared" si="485"/>
        <v>241523200</v>
      </c>
      <c r="H7954" s="362"/>
      <c r="I7954" s="362"/>
      <c r="J7954" s="362"/>
    </row>
    <row r="7955" spans="1:10" x14ac:dyDescent="0.25">
      <c r="A7955" s="362"/>
      <c r="B7955" s="611">
        <v>44630</v>
      </c>
      <c r="C7955" s="362" t="s">
        <v>81</v>
      </c>
      <c r="D7955" s="562">
        <v>170945167</v>
      </c>
      <c r="E7955" s="562"/>
      <c r="F7955" s="562"/>
      <c r="G7955" s="562">
        <f t="shared" si="485"/>
        <v>170945167</v>
      </c>
      <c r="H7955" s="362"/>
      <c r="I7955" s="362"/>
      <c r="J7955" s="362"/>
    </row>
    <row r="7956" spans="1:10" x14ac:dyDescent="0.25">
      <c r="A7956" s="362"/>
      <c r="B7956" s="611">
        <v>44630</v>
      </c>
      <c r="C7956" s="362" t="s">
        <v>84</v>
      </c>
      <c r="D7956" s="562">
        <v>369135117</v>
      </c>
      <c r="E7956" s="562"/>
      <c r="F7956" s="562"/>
      <c r="G7956" s="562">
        <f t="shared" si="485"/>
        <v>369135117</v>
      </c>
      <c r="H7956" s="362"/>
      <c r="I7956" s="362"/>
      <c r="J7956" s="362"/>
    </row>
    <row r="7957" spans="1:10" x14ac:dyDescent="0.25">
      <c r="A7957" s="362"/>
      <c r="B7957" s="611">
        <v>44630</v>
      </c>
      <c r="C7957" s="362" t="s">
        <v>4751</v>
      </c>
      <c r="D7957" s="562">
        <v>235427800</v>
      </c>
      <c r="E7957" s="562"/>
      <c r="F7957" s="562"/>
      <c r="G7957" s="562">
        <f t="shared" si="485"/>
        <v>235427800</v>
      </c>
      <c r="H7957" s="362"/>
      <c r="I7957" s="362"/>
      <c r="J7957" s="362"/>
    </row>
    <row r="7958" spans="1:10" x14ac:dyDescent="0.25">
      <c r="A7958" s="362"/>
      <c r="B7958" s="611">
        <v>44630</v>
      </c>
      <c r="C7958" s="362" t="s">
        <v>166</v>
      </c>
      <c r="D7958" s="562"/>
      <c r="E7958" s="562"/>
      <c r="F7958" s="562"/>
      <c r="G7958" s="562">
        <f t="shared" si="485"/>
        <v>0</v>
      </c>
      <c r="H7958" s="362"/>
      <c r="I7958" s="362"/>
      <c r="J7958" s="362"/>
    </row>
    <row r="7959" spans="1:10" x14ac:dyDescent="0.25">
      <c r="A7959" s="362"/>
      <c r="B7959" s="611">
        <v>44630</v>
      </c>
      <c r="C7959" s="362" t="s">
        <v>3435</v>
      </c>
      <c r="D7959" s="562"/>
      <c r="E7959" s="562"/>
      <c r="F7959" s="562"/>
      <c r="G7959" s="562">
        <f t="shared" si="485"/>
        <v>0</v>
      </c>
      <c r="H7959" s="362"/>
      <c r="I7959" s="362"/>
      <c r="J7959" s="362"/>
    </row>
    <row r="7960" spans="1:10" x14ac:dyDescent="0.25">
      <c r="A7960" s="362"/>
      <c r="B7960" s="611">
        <v>44630</v>
      </c>
      <c r="C7960" s="370" t="s">
        <v>85</v>
      </c>
      <c r="D7960" s="562">
        <v>34490600</v>
      </c>
      <c r="E7960" s="562"/>
      <c r="F7960" s="562"/>
      <c r="G7960" s="562">
        <f t="shared" si="485"/>
        <v>34490600</v>
      </c>
      <c r="H7960" s="362"/>
      <c r="I7960" s="362"/>
      <c r="J7960" s="362"/>
    </row>
    <row r="7961" spans="1:10" x14ac:dyDescent="0.25">
      <c r="A7961" s="532"/>
      <c r="B7961" s="532"/>
      <c r="C7961" s="532"/>
      <c r="D7961" s="564">
        <f>SUM(D7946:D7960)</f>
        <v>1455260324</v>
      </c>
      <c r="E7961" s="564">
        <f t="shared" ref="E7961:G7961" si="486">SUM(E7946:E7960)</f>
        <v>0</v>
      </c>
      <c r="F7961" s="564">
        <f t="shared" si="486"/>
        <v>0</v>
      </c>
      <c r="G7961" s="564">
        <f t="shared" si="486"/>
        <v>1455260324</v>
      </c>
      <c r="H7961" s="532"/>
      <c r="I7961" s="532"/>
      <c r="J7961" s="532"/>
    </row>
    <row r="7962" spans="1:10" s="567" customFormat="1" x14ac:dyDescent="0.25">
      <c r="A7962" s="370"/>
      <c r="B7962" s="852">
        <v>44631</v>
      </c>
      <c r="C7962" s="362" t="s">
        <v>86</v>
      </c>
      <c r="D7962" s="565">
        <v>124364911</v>
      </c>
      <c r="E7962" s="565"/>
      <c r="F7962" s="565"/>
      <c r="G7962" s="562">
        <f t="shared" si="485"/>
        <v>124364911</v>
      </c>
      <c r="H7962" s="370"/>
      <c r="I7962" s="370"/>
      <c r="J7962" s="370"/>
    </row>
    <row r="7963" spans="1:10" s="567" customFormat="1" x14ac:dyDescent="0.25">
      <c r="A7963" s="370"/>
      <c r="B7963" s="852">
        <v>44631</v>
      </c>
      <c r="C7963" s="362" t="s">
        <v>87</v>
      </c>
      <c r="D7963" s="565">
        <v>363917345</v>
      </c>
      <c r="E7963" s="565"/>
      <c r="F7963" s="565"/>
      <c r="G7963" s="562">
        <f t="shared" si="485"/>
        <v>363917345</v>
      </c>
      <c r="H7963" s="370"/>
      <c r="I7963" s="370"/>
      <c r="J7963" s="370"/>
    </row>
    <row r="7964" spans="1:10" s="567" customFormat="1" x14ac:dyDescent="0.25">
      <c r="A7964" s="370"/>
      <c r="B7964" s="852">
        <v>44631</v>
      </c>
      <c r="C7964" s="362" t="s">
        <v>88</v>
      </c>
      <c r="D7964" s="565">
        <v>266281140</v>
      </c>
      <c r="E7964" s="565"/>
      <c r="F7964" s="565"/>
      <c r="G7964" s="562">
        <f t="shared" si="485"/>
        <v>266281140</v>
      </c>
      <c r="H7964" s="370"/>
      <c r="I7964" s="370"/>
      <c r="J7964" s="370"/>
    </row>
    <row r="7965" spans="1:10" s="567" customFormat="1" x14ac:dyDescent="0.25">
      <c r="A7965" s="370"/>
      <c r="B7965" s="852">
        <v>44631</v>
      </c>
      <c r="C7965" s="362" t="s">
        <v>82</v>
      </c>
      <c r="D7965" s="565">
        <v>171072501</v>
      </c>
      <c r="E7965" s="565"/>
      <c r="F7965" s="565"/>
      <c r="G7965" s="562">
        <f t="shared" si="485"/>
        <v>171072501</v>
      </c>
      <c r="H7965" s="370"/>
      <c r="I7965" s="370"/>
      <c r="J7965" s="370"/>
    </row>
    <row r="7966" spans="1:10" s="567" customFormat="1" x14ac:dyDescent="0.25">
      <c r="A7966" s="370"/>
      <c r="B7966" s="852">
        <v>44631</v>
      </c>
      <c r="C7966" s="362" t="s">
        <v>80</v>
      </c>
      <c r="D7966" s="565">
        <v>262495000</v>
      </c>
      <c r="E7966" s="565"/>
      <c r="F7966" s="565"/>
      <c r="G7966" s="562">
        <f t="shared" si="485"/>
        <v>262495000</v>
      </c>
      <c r="H7966" s="370"/>
      <c r="I7966" s="370"/>
      <c r="J7966" s="370"/>
    </row>
    <row r="7967" spans="1:10" s="567" customFormat="1" x14ac:dyDescent="0.25">
      <c r="A7967" s="370"/>
      <c r="B7967" s="852">
        <v>44631</v>
      </c>
      <c r="C7967" s="362" t="s">
        <v>83</v>
      </c>
      <c r="D7967" s="565">
        <v>376738300</v>
      </c>
      <c r="E7967" s="565"/>
      <c r="F7967" s="565"/>
      <c r="G7967" s="562">
        <f t="shared" si="485"/>
        <v>376738300</v>
      </c>
      <c r="H7967" s="370"/>
      <c r="I7967" s="370"/>
      <c r="J7967" s="370"/>
    </row>
    <row r="7968" spans="1:10" s="567" customFormat="1" x14ac:dyDescent="0.25">
      <c r="A7968" s="370"/>
      <c r="B7968" s="852">
        <v>44631</v>
      </c>
      <c r="C7968" s="362" t="s">
        <v>78</v>
      </c>
      <c r="D7968" s="565">
        <v>253540026</v>
      </c>
      <c r="E7968" s="565"/>
      <c r="F7968" s="565"/>
      <c r="G7968" s="562">
        <f t="shared" si="485"/>
        <v>253540026</v>
      </c>
      <c r="H7968" s="370"/>
      <c r="I7968" s="370"/>
      <c r="J7968" s="370"/>
    </row>
    <row r="7969" spans="1:10" s="567" customFormat="1" x14ac:dyDescent="0.25">
      <c r="A7969" s="370"/>
      <c r="B7969" s="852">
        <v>44631</v>
      </c>
      <c r="C7969" s="362" t="s">
        <v>141</v>
      </c>
      <c r="D7969" s="565">
        <v>86478823</v>
      </c>
      <c r="E7969" s="565"/>
      <c r="F7969" s="565"/>
      <c r="G7969" s="562">
        <f t="shared" si="485"/>
        <v>86478823</v>
      </c>
      <c r="H7969" s="370"/>
      <c r="I7969" s="370"/>
      <c r="J7969" s="370"/>
    </row>
    <row r="7970" spans="1:10" s="567" customFormat="1" x14ac:dyDescent="0.25">
      <c r="A7970" s="370"/>
      <c r="B7970" s="852">
        <v>44631</v>
      </c>
      <c r="C7970" s="362" t="s">
        <v>89</v>
      </c>
      <c r="D7970" s="565">
        <v>168183900</v>
      </c>
      <c r="E7970" s="565"/>
      <c r="F7970" s="565"/>
      <c r="G7970" s="562">
        <f t="shared" si="485"/>
        <v>168183900</v>
      </c>
      <c r="H7970" s="370"/>
      <c r="I7970" s="370"/>
      <c r="J7970" s="370"/>
    </row>
    <row r="7971" spans="1:10" s="567" customFormat="1" x14ac:dyDescent="0.25">
      <c r="A7971" s="370"/>
      <c r="B7971" s="852">
        <v>44631</v>
      </c>
      <c r="C7971" s="362" t="s">
        <v>81</v>
      </c>
      <c r="D7971" s="565">
        <v>155558971</v>
      </c>
      <c r="E7971" s="565"/>
      <c r="F7971" s="565"/>
      <c r="G7971" s="562">
        <f t="shared" si="485"/>
        <v>155558971</v>
      </c>
      <c r="H7971" s="370"/>
      <c r="I7971" s="370"/>
      <c r="J7971" s="370"/>
    </row>
    <row r="7972" spans="1:10" s="567" customFormat="1" x14ac:dyDescent="0.25">
      <c r="A7972" s="370"/>
      <c r="B7972" s="852">
        <v>44631</v>
      </c>
      <c r="C7972" s="362" t="s">
        <v>84</v>
      </c>
      <c r="D7972" s="565">
        <v>332751127</v>
      </c>
      <c r="E7972" s="565"/>
      <c r="F7972" s="565"/>
      <c r="G7972" s="562">
        <f t="shared" si="485"/>
        <v>332751127</v>
      </c>
      <c r="H7972" s="370"/>
      <c r="I7972" s="370"/>
      <c r="J7972" s="370"/>
    </row>
    <row r="7973" spans="1:10" s="567" customFormat="1" x14ac:dyDescent="0.25">
      <c r="A7973" s="370"/>
      <c r="B7973" s="852">
        <v>44631</v>
      </c>
      <c r="C7973" s="362" t="s">
        <v>4751</v>
      </c>
      <c r="D7973" s="565">
        <v>158604900</v>
      </c>
      <c r="E7973" s="565"/>
      <c r="F7973" s="565"/>
      <c r="G7973" s="562">
        <f t="shared" si="485"/>
        <v>158604900</v>
      </c>
      <c r="H7973" s="370"/>
      <c r="I7973" s="370"/>
      <c r="J7973" s="370"/>
    </row>
    <row r="7974" spans="1:10" s="567" customFormat="1" x14ac:dyDescent="0.25">
      <c r="A7974" s="370"/>
      <c r="B7974" s="852">
        <v>44631</v>
      </c>
      <c r="C7974" s="362" t="s">
        <v>166</v>
      </c>
      <c r="D7974" s="565">
        <v>96042031</v>
      </c>
      <c r="E7974" s="565"/>
      <c r="F7974" s="565"/>
      <c r="G7974" s="562">
        <f t="shared" si="485"/>
        <v>96042031</v>
      </c>
      <c r="H7974" s="370"/>
      <c r="I7974" s="370"/>
      <c r="J7974" s="370"/>
    </row>
    <row r="7975" spans="1:10" s="567" customFormat="1" x14ac:dyDescent="0.25">
      <c r="A7975" s="370"/>
      <c r="B7975" s="852">
        <v>44631</v>
      </c>
      <c r="C7975" s="362" t="s">
        <v>3435</v>
      </c>
      <c r="D7975" s="565">
        <v>31312718</v>
      </c>
      <c r="E7975" s="565"/>
      <c r="F7975" s="565"/>
      <c r="G7975" s="562">
        <f t="shared" si="485"/>
        <v>31312718</v>
      </c>
      <c r="H7975" s="370"/>
      <c r="I7975" s="370"/>
      <c r="J7975" s="370"/>
    </row>
    <row r="7976" spans="1:10" s="567" customFormat="1" x14ac:dyDescent="0.25">
      <c r="A7976" s="370"/>
      <c r="B7976" s="852">
        <v>44631</v>
      </c>
      <c r="C7976" s="370" t="s">
        <v>85</v>
      </c>
      <c r="D7976" s="565">
        <v>36852100</v>
      </c>
      <c r="E7976" s="565"/>
      <c r="F7976" s="565"/>
      <c r="G7976" s="562">
        <f t="shared" si="485"/>
        <v>36852100</v>
      </c>
      <c r="H7976" s="370"/>
      <c r="I7976" s="370"/>
      <c r="J7976" s="370"/>
    </row>
    <row r="7977" spans="1:10" s="567" customFormat="1" x14ac:dyDescent="0.25">
      <c r="A7977" s="532"/>
      <c r="B7977" s="532"/>
      <c r="C7977" s="532"/>
      <c r="D7977" s="564">
        <f>SUM(D7962:D7976)</f>
        <v>2884193793</v>
      </c>
      <c r="E7977" s="564">
        <f t="shared" ref="E7977:G7977" si="487">SUM(E7962:E7976)</f>
        <v>0</v>
      </c>
      <c r="F7977" s="564">
        <f t="shared" si="487"/>
        <v>0</v>
      </c>
      <c r="G7977" s="564">
        <f t="shared" si="487"/>
        <v>2884193793</v>
      </c>
      <c r="H7977" s="532"/>
      <c r="I7977" s="532"/>
      <c r="J7977" s="532"/>
    </row>
    <row r="7978" spans="1:10" s="567" customFormat="1" x14ac:dyDescent="0.25">
      <c r="A7978" s="370"/>
      <c r="B7978" s="852">
        <v>44632</v>
      </c>
      <c r="C7978" s="362" t="s">
        <v>86</v>
      </c>
      <c r="D7978" s="565">
        <v>131358522</v>
      </c>
      <c r="E7978" s="565"/>
      <c r="F7978" s="565"/>
      <c r="G7978" s="562">
        <f t="shared" si="485"/>
        <v>131358522</v>
      </c>
      <c r="H7978" s="370"/>
      <c r="I7978" s="370"/>
      <c r="J7978" s="370"/>
    </row>
    <row r="7979" spans="1:10" s="567" customFormat="1" x14ac:dyDescent="0.25">
      <c r="A7979" s="370"/>
      <c r="B7979" s="852">
        <v>44632</v>
      </c>
      <c r="C7979" s="362" t="s">
        <v>87</v>
      </c>
      <c r="D7979" s="565">
        <v>160119875</v>
      </c>
      <c r="E7979" s="565"/>
      <c r="F7979" s="565"/>
      <c r="G7979" s="562">
        <f t="shared" si="485"/>
        <v>160119875</v>
      </c>
      <c r="H7979" s="370"/>
      <c r="I7979" s="370"/>
      <c r="J7979" s="370"/>
    </row>
    <row r="7980" spans="1:10" s="567" customFormat="1" x14ac:dyDescent="0.25">
      <c r="A7980" s="370"/>
      <c r="B7980" s="852">
        <v>44632</v>
      </c>
      <c r="C7980" s="362" t="s">
        <v>88</v>
      </c>
      <c r="D7980" s="565">
        <v>101954408</v>
      </c>
      <c r="E7980" s="565"/>
      <c r="F7980" s="565"/>
      <c r="G7980" s="562">
        <f t="shared" si="485"/>
        <v>101954408</v>
      </c>
      <c r="H7980" s="370"/>
      <c r="I7980" s="370"/>
      <c r="J7980" s="370"/>
    </row>
    <row r="7981" spans="1:10" s="567" customFormat="1" x14ac:dyDescent="0.25">
      <c r="A7981" s="370"/>
      <c r="B7981" s="852">
        <v>44632</v>
      </c>
      <c r="C7981" s="362" t="s">
        <v>82</v>
      </c>
      <c r="D7981" s="565">
        <v>71361386</v>
      </c>
      <c r="E7981" s="565"/>
      <c r="F7981" s="565"/>
      <c r="G7981" s="562">
        <f t="shared" si="485"/>
        <v>71361386</v>
      </c>
      <c r="H7981" s="370"/>
      <c r="I7981" s="370"/>
      <c r="J7981" s="370"/>
    </row>
    <row r="7982" spans="1:10" s="567" customFormat="1" x14ac:dyDescent="0.25">
      <c r="A7982" s="370"/>
      <c r="B7982" s="852">
        <v>44632</v>
      </c>
      <c r="C7982" s="362" t="s">
        <v>80</v>
      </c>
      <c r="D7982" s="565">
        <v>233969000</v>
      </c>
      <c r="E7982" s="565"/>
      <c r="F7982" s="565"/>
      <c r="G7982" s="562">
        <f t="shared" si="485"/>
        <v>233969000</v>
      </c>
      <c r="H7982" s="370"/>
      <c r="I7982" s="370"/>
      <c r="J7982" s="370"/>
    </row>
    <row r="7983" spans="1:10" s="567" customFormat="1" x14ac:dyDescent="0.25">
      <c r="A7983" s="370"/>
      <c r="B7983" s="852">
        <v>44632</v>
      </c>
      <c r="C7983" s="362" t="s">
        <v>83</v>
      </c>
      <c r="D7983" s="565">
        <v>261964600</v>
      </c>
      <c r="E7983" s="565"/>
      <c r="F7983" s="565"/>
      <c r="G7983" s="562">
        <f t="shared" si="485"/>
        <v>261964600</v>
      </c>
      <c r="H7983" s="370"/>
      <c r="I7983" s="370"/>
      <c r="J7983" s="370"/>
    </row>
    <row r="7984" spans="1:10" s="567" customFormat="1" x14ac:dyDescent="0.25">
      <c r="A7984" s="370"/>
      <c r="B7984" s="852">
        <v>44632</v>
      </c>
      <c r="C7984" s="362" t="s">
        <v>78</v>
      </c>
      <c r="D7984" s="565">
        <v>131865574</v>
      </c>
      <c r="E7984" s="565"/>
      <c r="F7984" s="565"/>
      <c r="G7984" s="562">
        <f t="shared" si="485"/>
        <v>131865574</v>
      </c>
      <c r="H7984" s="370"/>
      <c r="I7984" s="370"/>
      <c r="J7984" s="370"/>
    </row>
    <row r="7985" spans="1:10" s="567" customFormat="1" x14ac:dyDescent="0.25">
      <c r="A7985" s="370"/>
      <c r="B7985" s="852">
        <v>44632</v>
      </c>
      <c r="C7985" s="362" t="s">
        <v>141</v>
      </c>
      <c r="D7985" s="565">
        <v>73401410</v>
      </c>
      <c r="E7985" s="565"/>
      <c r="F7985" s="565"/>
      <c r="G7985" s="562">
        <f t="shared" si="485"/>
        <v>73401410</v>
      </c>
      <c r="H7985" s="370"/>
      <c r="I7985" s="370"/>
      <c r="J7985" s="370"/>
    </row>
    <row r="7986" spans="1:10" s="567" customFormat="1" x14ac:dyDescent="0.25">
      <c r="A7986" s="370"/>
      <c r="B7986" s="852">
        <v>44632</v>
      </c>
      <c r="C7986" s="362" t="s">
        <v>89</v>
      </c>
      <c r="D7986" s="565">
        <v>268307900</v>
      </c>
      <c r="E7986" s="565"/>
      <c r="F7986" s="565"/>
      <c r="G7986" s="562">
        <f t="shared" si="485"/>
        <v>268307900</v>
      </c>
      <c r="H7986" s="370"/>
      <c r="I7986" s="370"/>
      <c r="J7986" s="370"/>
    </row>
    <row r="7987" spans="1:10" s="567" customFormat="1" x14ac:dyDescent="0.25">
      <c r="A7987" s="370"/>
      <c r="B7987" s="852">
        <v>44632</v>
      </c>
      <c r="C7987" s="362" t="s">
        <v>81</v>
      </c>
      <c r="D7987" s="565">
        <v>197708925</v>
      </c>
      <c r="E7987" s="565"/>
      <c r="F7987" s="565"/>
      <c r="G7987" s="562">
        <f t="shared" si="485"/>
        <v>197708925</v>
      </c>
      <c r="H7987" s="370"/>
      <c r="I7987" s="370"/>
      <c r="J7987" s="370"/>
    </row>
    <row r="7988" spans="1:10" s="567" customFormat="1" x14ac:dyDescent="0.25">
      <c r="A7988" s="370"/>
      <c r="B7988" s="852">
        <v>44632</v>
      </c>
      <c r="C7988" s="362" t="s">
        <v>84</v>
      </c>
      <c r="D7988" s="565">
        <v>283308439</v>
      </c>
      <c r="E7988" s="565"/>
      <c r="F7988" s="565"/>
      <c r="G7988" s="562">
        <f t="shared" si="485"/>
        <v>283308439</v>
      </c>
      <c r="H7988" s="370"/>
      <c r="I7988" s="370"/>
      <c r="J7988" s="370"/>
    </row>
    <row r="7989" spans="1:10" s="567" customFormat="1" x14ac:dyDescent="0.25">
      <c r="A7989" s="370"/>
      <c r="B7989" s="852">
        <v>44632</v>
      </c>
      <c r="C7989" s="362" t="s">
        <v>4751</v>
      </c>
      <c r="D7989" s="565">
        <v>270669500</v>
      </c>
      <c r="E7989" s="565"/>
      <c r="F7989" s="565"/>
      <c r="G7989" s="562">
        <f t="shared" si="485"/>
        <v>270669500</v>
      </c>
      <c r="H7989" s="370"/>
      <c r="I7989" s="370"/>
      <c r="J7989" s="370"/>
    </row>
    <row r="7990" spans="1:10" s="567" customFormat="1" x14ac:dyDescent="0.25">
      <c r="A7990" s="370"/>
      <c r="B7990" s="852">
        <v>44632</v>
      </c>
      <c r="C7990" s="362" t="s">
        <v>166</v>
      </c>
      <c r="D7990" s="565"/>
      <c r="E7990" s="565"/>
      <c r="F7990" s="565"/>
      <c r="G7990" s="562">
        <f t="shared" si="485"/>
        <v>0</v>
      </c>
      <c r="H7990" s="370"/>
      <c r="I7990" s="370"/>
      <c r="J7990" s="370"/>
    </row>
    <row r="7991" spans="1:10" s="567" customFormat="1" x14ac:dyDescent="0.25">
      <c r="A7991" s="370"/>
      <c r="B7991" s="852">
        <v>44632</v>
      </c>
      <c r="C7991" s="362" t="s">
        <v>3435</v>
      </c>
      <c r="D7991" s="565"/>
      <c r="E7991" s="565"/>
      <c r="F7991" s="565"/>
      <c r="G7991" s="562">
        <f t="shared" si="485"/>
        <v>0</v>
      </c>
      <c r="H7991" s="370"/>
      <c r="I7991" s="370"/>
      <c r="J7991" s="370"/>
    </row>
    <row r="7992" spans="1:10" s="567" customFormat="1" x14ac:dyDescent="0.25">
      <c r="A7992" s="370"/>
      <c r="B7992" s="852">
        <v>44632</v>
      </c>
      <c r="C7992" s="370" t="s">
        <v>85</v>
      </c>
      <c r="D7992" s="565">
        <v>23526100</v>
      </c>
      <c r="E7992" s="565"/>
      <c r="F7992" s="565"/>
      <c r="G7992" s="562">
        <f t="shared" si="485"/>
        <v>23526100</v>
      </c>
      <c r="H7992" s="370"/>
      <c r="I7992" s="370"/>
      <c r="J7992" s="370"/>
    </row>
    <row r="7993" spans="1:10" s="567" customFormat="1" x14ac:dyDescent="0.25">
      <c r="A7993" s="532"/>
      <c r="B7993" s="532"/>
      <c r="C7993" s="532"/>
      <c r="D7993" s="564">
        <f>SUM(D7978:D7992)</f>
        <v>2209515639</v>
      </c>
      <c r="E7993" s="564">
        <f t="shared" ref="E7993:G7993" si="488">SUM(E7978:E7992)</f>
        <v>0</v>
      </c>
      <c r="F7993" s="564">
        <f t="shared" si="488"/>
        <v>0</v>
      </c>
      <c r="G7993" s="564">
        <f t="shared" si="488"/>
        <v>2209515639</v>
      </c>
      <c r="H7993" s="532"/>
      <c r="I7993" s="532"/>
      <c r="J7993" s="532"/>
    </row>
    <row r="7994" spans="1:10" x14ac:dyDescent="0.25">
      <c r="A7994" s="362"/>
      <c r="B7994" s="611">
        <v>44634</v>
      </c>
      <c r="C7994" s="362" t="s">
        <v>86</v>
      </c>
      <c r="D7994" s="562">
        <v>208977346</v>
      </c>
      <c r="E7994" s="562"/>
      <c r="F7994" s="562"/>
      <c r="G7994" s="562">
        <f t="shared" si="485"/>
        <v>208977346</v>
      </c>
      <c r="H7994" s="362"/>
      <c r="I7994" s="362"/>
      <c r="J7994" s="362"/>
    </row>
    <row r="7995" spans="1:10" x14ac:dyDescent="0.25">
      <c r="A7995" s="362"/>
      <c r="B7995" s="611">
        <v>44634</v>
      </c>
      <c r="C7995" s="362" t="s">
        <v>87</v>
      </c>
      <c r="D7995" s="562">
        <v>157259743</v>
      </c>
      <c r="E7995" s="562"/>
      <c r="F7995" s="562"/>
      <c r="G7995" s="562">
        <f t="shared" si="485"/>
        <v>157259743</v>
      </c>
      <c r="H7995" s="362"/>
      <c r="I7995" s="362"/>
      <c r="J7995" s="362"/>
    </row>
    <row r="7996" spans="1:10" x14ac:dyDescent="0.25">
      <c r="A7996" s="362"/>
      <c r="B7996" s="611">
        <v>44634</v>
      </c>
      <c r="C7996" s="362" t="s">
        <v>88</v>
      </c>
      <c r="D7996" s="562">
        <v>168081745</v>
      </c>
      <c r="E7996" s="562"/>
      <c r="F7996" s="562"/>
      <c r="G7996" s="562">
        <f t="shared" si="485"/>
        <v>168081745</v>
      </c>
      <c r="H7996" s="362"/>
      <c r="I7996" s="362"/>
      <c r="J7996" s="362"/>
    </row>
    <row r="7997" spans="1:10" x14ac:dyDescent="0.25">
      <c r="A7997" s="362"/>
      <c r="B7997" s="611">
        <v>44634</v>
      </c>
      <c r="C7997" s="362" t="s">
        <v>82</v>
      </c>
      <c r="D7997" s="562">
        <v>67193995</v>
      </c>
      <c r="E7997" s="562"/>
      <c r="F7997" s="562"/>
      <c r="G7997" s="562">
        <f t="shared" si="485"/>
        <v>67193995</v>
      </c>
      <c r="H7997" s="362"/>
      <c r="I7997" s="362"/>
      <c r="J7997" s="362"/>
    </row>
    <row r="7998" spans="1:10" x14ac:dyDescent="0.25">
      <c r="A7998" s="362"/>
      <c r="B7998" s="611">
        <v>44634</v>
      </c>
      <c r="C7998" s="362" t="s">
        <v>80</v>
      </c>
      <c r="D7998" s="562">
        <v>506959064</v>
      </c>
      <c r="E7998" s="562"/>
      <c r="F7998" s="562"/>
      <c r="G7998" s="562">
        <f t="shared" si="485"/>
        <v>506959064</v>
      </c>
      <c r="H7998" s="362"/>
      <c r="I7998" s="362"/>
      <c r="J7998" s="362"/>
    </row>
    <row r="7999" spans="1:10" x14ac:dyDescent="0.25">
      <c r="A7999" s="362"/>
      <c r="B7999" s="611">
        <v>44634</v>
      </c>
      <c r="C7999" s="362" t="s">
        <v>83</v>
      </c>
      <c r="D7999" s="562">
        <v>236379984</v>
      </c>
      <c r="E7999" s="562"/>
      <c r="F7999" s="562"/>
      <c r="G7999" s="562">
        <f t="shared" si="485"/>
        <v>236379984</v>
      </c>
      <c r="H7999" s="362"/>
      <c r="I7999" s="362"/>
      <c r="J7999" s="362"/>
    </row>
    <row r="8000" spans="1:10" x14ac:dyDescent="0.25">
      <c r="A8000" s="362"/>
      <c r="B8000" s="611">
        <v>44634</v>
      </c>
      <c r="C8000" s="362" t="s">
        <v>78</v>
      </c>
      <c r="D8000" s="562">
        <v>163974291</v>
      </c>
      <c r="E8000" s="562"/>
      <c r="F8000" s="562"/>
      <c r="G8000" s="562">
        <f t="shared" si="485"/>
        <v>163974291</v>
      </c>
      <c r="H8000" s="362"/>
      <c r="I8000" s="362"/>
      <c r="J8000" s="362"/>
    </row>
    <row r="8001" spans="1:10" x14ac:dyDescent="0.25">
      <c r="A8001" s="362"/>
      <c r="B8001" s="611">
        <v>44634</v>
      </c>
      <c r="C8001" s="362" t="s">
        <v>141</v>
      </c>
      <c r="D8001" s="562">
        <v>146208834</v>
      </c>
      <c r="E8001" s="562"/>
      <c r="F8001" s="562"/>
      <c r="G8001" s="562">
        <f t="shared" si="485"/>
        <v>146208834</v>
      </c>
      <c r="H8001" s="362"/>
      <c r="I8001" s="362"/>
      <c r="J8001" s="362"/>
    </row>
    <row r="8002" spans="1:10" x14ac:dyDescent="0.25">
      <c r="A8002" s="362"/>
      <c r="B8002" s="611">
        <v>44634</v>
      </c>
      <c r="C8002" s="362" t="s">
        <v>89</v>
      </c>
      <c r="D8002" s="562">
        <v>105663000</v>
      </c>
      <c r="E8002" s="562"/>
      <c r="F8002" s="562"/>
      <c r="G8002" s="562">
        <f t="shared" si="485"/>
        <v>105663000</v>
      </c>
      <c r="H8002" s="362"/>
      <c r="I8002" s="362"/>
      <c r="J8002" s="362"/>
    </row>
    <row r="8003" spans="1:10" x14ac:dyDescent="0.25">
      <c r="A8003" s="362"/>
      <c r="B8003" s="611">
        <v>44634</v>
      </c>
      <c r="C8003" s="362" t="s">
        <v>81</v>
      </c>
      <c r="D8003" s="562">
        <v>120537670</v>
      </c>
      <c r="E8003" s="562"/>
      <c r="F8003" s="562"/>
      <c r="G8003" s="562">
        <f t="shared" si="485"/>
        <v>120537670</v>
      </c>
      <c r="H8003" s="362"/>
      <c r="I8003" s="362"/>
      <c r="J8003" s="362"/>
    </row>
    <row r="8004" spans="1:10" x14ac:dyDescent="0.25">
      <c r="A8004" s="362"/>
      <c r="B8004" s="611">
        <v>44634</v>
      </c>
      <c r="C8004" s="362" t="s">
        <v>84</v>
      </c>
      <c r="D8004" s="562">
        <v>346909387</v>
      </c>
      <c r="E8004" s="562"/>
      <c r="F8004" s="562"/>
      <c r="G8004" s="562">
        <f t="shared" si="485"/>
        <v>346909387</v>
      </c>
      <c r="H8004" s="362"/>
      <c r="I8004" s="362"/>
      <c r="J8004" s="362"/>
    </row>
    <row r="8005" spans="1:10" x14ac:dyDescent="0.25">
      <c r="A8005" s="362"/>
      <c r="B8005" s="611">
        <v>44634</v>
      </c>
      <c r="C8005" s="362" t="s">
        <v>4751</v>
      </c>
      <c r="D8005" s="562">
        <v>159953200</v>
      </c>
      <c r="E8005" s="562"/>
      <c r="F8005" s="562"/>
      <c r="G8005" s="562">
        <f t="shared" si="485"/>
        <v>159953200</v>
      </c>
      <c r="H8005" s="362"/>
      <c r="I8005" s="362"/>
      <c r="J8005" s="362"/>
    </row>
    <row r="8006" spans="1:10" x14ac:dyDescent="0.25">
      <c r="A8006" s="362"/>
      <c r="B8006" s="611">
        <v>44634</v>
      </c>
      <c r="C8006" s="362" t="s">
        <v>166</v>
      </c>
      <c r="D8006" s="562">
        <v>84015767</v>
      </c>
      <c r="E8006" s="562"/>
      <c r="F8006" s="562"/>
      <c r="G8006" s="562">
        <f t="shared" si="485"/>
        <v>84015767</v>
      </c>
      <c r="H8006" s="362"/>
      <c r="I8006" s="362"/>
      <c r="J8006" s="362"/>
    </row>
    <row r="8007" spans="1:10" x14ac:dyDescent="0.25">
      <c r="A8007" s="362"/>
      <c r="B8007" s="611">
        <v>44634</v>
      </c>
      <c r="C8007" s="362" t="s">
        <v>3435</v>
      </c>
      <c r="D8007" s="562">
        <v>18115346</v>
      </c>
      <c r="E8007" s="562"/>
      <c r="F8007" s="562"/>
      <c r="G8007" s="562">
        <f t="shared" si="485"/>
        <v>18115346</v>
      </c>
      <c r="H8007" s="362"/>
      <c r="I8007" s="362"/>
      <c r="J8007" s="362"/>
    </row>
    <row r="8008" spans="1:10" x14ac:dyDescent="0.25">
      <c r="A8008" s="362"/>
      <c r="B8008" s="611">
        <v>44634</v>
      </c>
      <c r="C8008" s="370" t="s">
        <v>85</v>
      </c>
      <c r="D8008" s="562">
        <v>51940400</v>
      </c>
      <c r="E8008" s="562"/>
      <c r="F8008" s="562"/>
      <c r="G8008" s="562">
        <f t="shared" si="485"/>
        <v>51940400</v>
      </c>
      <c r="H8008" s="362"/>
      <c r="I8008" s="362"/>
      <c r="J8008" s="362"/>
    </row>
    <row r="8009" spans="1:10" x14ac:dyDescent="0.25">
      <c r="A8009" s="532"/>
      <c r="B8009" s="532"/>
      <c r="C8009" s="532"/>
      <c r="D8009" s="564">
        <f>SUM(D7994:D8008)</f>
        <v>2542169772</v>
      </c>
      <c r="E8009" s="564">
        <f t="shared" ref="E8009:G8009" si="489">SUM(E7994:E8008)</f>
        <v>0</v>
      </c>
      <c r="F8009" s="564">
        <f t="shared" si="489"/>
        <v>0</v>
      </c>
      <c r="G8009" s="564">
        <f t="shared" si="489"/>
        <v>2542169772</v>
      </c>
      <c r="H8009" s="532"/>
      <c r="I8009" s="532"/>
      <c r="J8009" s="532"/>
    </row>
    <row r="8010" spans="1:10" x14ac:dyDescent="0.25">
      <c r="A8010" s="362"/>
      <c r="B8010" s="611">
        <v>44635</v>
      </c>
      <c r="C8010" s="362" t="s">
        <v>86</v>
      </c>
      <c r="D8010" s="562">
        <v>115209348</v>
      </c>
      <c r="E8010" s="562"/>
      <c r="F8010" s="562">
        <v>115209200</v>
      </c>
      <c r="G8010" s="562">
        <f t="shared" si="485"/>
        <v>148</v>
      </c>
      <c r="H8010" s="362"/>
      <c r="I8010" s="362"/>
      <c r="J8010" s="362"/>
    </row>
    <row r="8011" spans="1:10" x14ac:dyDescent="0.25">
      <c r="A8011" s="362"/>
      <c r="B8011" s="611">
        <v>44635</v>
      </c>
      <c r="C8011" s="362" t="s">
        <v>87</v>
      </c>
      <c r="D8011" s="562">
        <v>121847245</v>
      </c>
      <c r="E8011" s="562"/>
      <c r="F8011" s="562">
        <v>121847300</v>
      </c>
      <c r="G8011" s="562">
        <f t="shared" si="485"/>
        <v>-55</v>
      </c>
      <c r="H8011" s="362"/>
      <c r="I8011" s="362"/>
      <c r="J8011" s="362"/>
    </row>
    <row r="8012" spans="1:10" x14ac:dyDescent="0.25">
      <c r="A8012" s="362"/>
      <c r="B8012" s="611">
        <v>44635</v>
      </c>
      <c r="C8012" s="362" t="s">
        <v>88</v>
      </c>
      <c r="D8012" s="562">
        <v>213606739</v>
      </c>
      <c r="E8012" s="562"/>
      <c r="F8012" s="562">
        <v>213606800</v>
      </c>
      <c r="G8012" s="562">
        <f t="shared" si="485"/>
        <v>-61</v>
      </c>
      <c r="H8012" s="362"/>
      <c r="I8012" s="362"/>
      <c r="J8012" s="362"/>
    </row>
    <row r="8013" spans="1:10" x14ac:dyDescent="0.25">
      <c r="A8013" s="362"/>
      <c r="B8013" s="611">
        <v>44635</v>
      </c>
      <c r="C8013" s="362" t="s">
        <v>82</v>
      </c>
      <c r="D8013" s="562">
        <v>96567530</v>
      </c>
      <c r="E8013" s="562"/>
      <c r="F8013" s="562">
        <v>96567600</v>
      </c>
      <c r="G8013" s="562">
        <f t="shared" si="485"/>
        <v>-70</v>
      </c>
      <c r="H8013" s="362"/>
      <c r="I8013" s="362"/>
      <c r="J8013" s="362"/>
    </row>
    <row r="8014" spans="1:10" x14ac:dyDescent="0.25">
      <c r="A8014" s="362"/>
      <c r="B8014" s="611">
        <v>44635</v>
      </c>
      <c r="C8014" s="362" t="s">
        <v>80</v>
      </c>
      <c r="D8014" s="562">
        <v>306073590</v>
      </c>
      <c r="E8014" s="562"/>
      <c r="F8014" s="562">
        <v>306073600</v>
      </c>
      <c r="G8014" s="562">
        <f t="shared" si="485"/>
        <v>-10</v>
      </c>
      <c r="H8014" s="362"/>
      <c r="I8014" s="362"/>
      <c r="J8014" s="362"/>
    </row>
    <row r="8015" spans="1:10" x14ac:dyDescent="0.25">
      <c r="A8015" s="362"/>
      <c r="B8015" s="611">
        <v>44635</v>
      </c>
      <c r="C8015" s="362" t="s">
        <v>83</v>
      </c>
      <c r="D8015" s="562">
        <v>253959430</v>
      </c>
      <c r="E8015" s="562"/>
      <c r="F8015" s="562">
        <v>253959500</v>
      </c>
      <c r="G8015" s="562">
        <f t="shared" si="485"/>
        <v>-70</v>
      </c>
      <c r="H8015" s="362"/>
      <c r="I8015" s="362"/>
      <c r="J8015" s="362"/>
    </row>
    <row r="8016" spans="1:10" x14ac:dyDescent="0.25">
      <c r="A8016" s="362"/>
      <c r="B8016" s="611">
        <v>44635</v>
      </c>
      <c r="C8016" s="362" t="s">
        <v>78</v>
      </c>
      <c r="D8016" s="562">
        <v>171103074</v>
      </c>
      <c r="E8016" s="562"/>
      <c r="F8016" s="562">
        <v>171103200</v>
      </c>
      <c r="G8016" s="562">
        <f t="shared" si="485"/>
        <v>-126</v>
      </c>
      <c r="H8016" s="362"/>
      <c r="I8016" s="362"/>
      <c r="J8016" s="362"/>
    </row>
    <row r="8017" spans="1:10" x14ac:dyDescent="0.25">
      <c r="A8017" s="362"/>
      <c r="B8017" s="611">
        <v>44635</v>
      </c>
      <c r="C8017" s="362" t="s">
        <v>141</v>
      </c>
      <c r="D8017" s="562">
        <v>66706195</v>
      </c>
      <c r="E8017" s="562"/>
      <c r="F8017" s="562">
        <v>66706200</v>
      </c>
      <c r="G8017" s="562">
        <f t="shared" si="485"/>
        <v>-5</v>
      </c>
      <c r="H8017" s="362"/>
      <c r="I8017" s="362"/>
      <c r="J8017" s="362"/>
    </row>
    <row r="8018" spans="1:10" x14ac:dyDescent="0.25">
      <c r="A8018" s="362"/>
      <c r="B8018" s="611">
        <v>44635</v>
      </c>
      <c r="C8018" s="362" t="s">
        <v>89</v>
      </c>
      <c r="D8018" s="562">
        <v>116667200</v>
      </c>
      <c r="E8018" s="562"/>
      <c r="F8018" s="562">
        <v>116667100</v>
      </c>
      <c r="G8018" s="562">
        <f t="shared" si="485"/>
        <v>100</v>
      </c>
      <c r="H8018" s="362"/>
      <c r="I8018" s="362"/>
      <c r="J8018" s="362"/>
    </row>
    <row r="8019" spans="1:10" x14ac:dyDescent="0.25">
      <c r="A8019" s="362"/>
      <c r="B8019" s="611">
        <v>44635</v>
      </c>
      <c r="C8019" s="362" t="s">
        <v>81</v>
      </c>
      <c r="D8019" s="562">
        <v>94843060</v>
      </c>
      <c r="E8019" s="562"/>
      <c r="F8019" s="562">
        <v>94843000</v>
      </c>
      <c r="G8019" s="562">
        <f t="shared" si="485"/>
        <v>60</v>
      </c>
      <c r="H8019" s="362"/>
      <c r="I8019" s="362"/>
      <c r="J8019" s="362"/>
    </row>
    <row r="8020" spans="1:10" x14ac:dyDescent="0.25">
      <c r="A8020" s="362"/>
      <c r="B8020" s="611">
        <v>44635</v>
      </c>
      <c r="C8020" s="362" t="s">
        <v>84</v>
      </c>
      <c r="D8020" s="562">
        <v>353628557</v>
      </c>
      <c r="E8020" s="562"/>
      <c r="F8020" s="562">
        <v>353628600</v>
      </c>
      <c r="G8020" s="562">
        <f t="shared" si="485"/>
        <v>-43</v>
      </c>
      <c r="H8020" s="362"/>
      <c r="I8020" s="362"/>
      <c r="J8020" s="362"/>
    </row>
    <row r="8021" spans="1:10" x14ac:dyDescent="0.25">
      <c r="A8021" s="362"/>
      <c r="B8021" s="611">
        <v>44635</v>
      </c>
      <c r="C8021" s="362" t="s">
        <v>4751</v>
      </c>
      <c r="D8021" s="562">
        <v>259264500</v>
      </c>
      <c r="E8021" s="562"/>
      <c r="F8021" s="562">
        <v>259264500</v>
      </c>
      <c r="G8021" s="562">
        <f t="shared" si="485"/>
        <v>0</v>
      </c>
      <c r="H8021" s="362"/>
      <c r="I8021" s="362"/>
      <c r="J8021" s="362"/>
    </row>
    <row r="8022" spans="1:10" x14ac:dyDescent="0.25">
      <c r="A8022" s="362"/>
      <c r="B8022" s="611">
        <v>44635</v>
      </c>
      <c r="C8022" s="362" t="s">
        <v>166</v>
      </c>
      <c r="D8022" s="562">
        <v>124693980</v>
      </c>
      <c r="E8022" s="562"/>
      <c r="F8022" s="562">
        <v>124694000</v>
      </c>
      <c r="G8022" s="562">
        <f t="shared" si="485"/>
        <v>-20</v>
      </c>
      <c r="H8022" s="362"/>
      <c r="I8022" s="362"/>
      <c r="J8022" s="362"/>
    </row>
    <row r="8023" spans="1:10" x14ac:dyDescent="0.25">
      <c r="A8023" s="362"/>
      <c r="B8023" s="611">
        <v>44635</v>
      </c>
      <c r="C8023" s="362" t="s">
        <v>3435</v>
      </c>
      <c r="D8023" s="562">
        <v>61266967</v>
      </c>
      <c r="E8023" s="562"/>
      <c r="F8023" s="562">
        <v>61267000</v>
      </c>
      <c r="G8023" s="562">
        <f t="shared" si="485"/>
        <v>-33</v>
      </c>
      <c r="H8023" s="362"/>
      <c r="I8023" s="362"/>
      <c r="J8023" s="362"/>
    </row>
    <row r="8024" spans="1:10" x14ac:dyDescent="0.25">
      <c r="A8024" s="362"/>
      <c r="B8024" s="611">
        <v>44635</v>
      </c>
      <c r="C8024" s="370" t="s">
        <v>85</v>
      </c>
      <c r="D8024" s="562">
        <v>37353900</v>
      </c>
      <c r="E8024" s="562"/>
      <c r="F8024" s="562">
        <v>37353900</v>
      </c>
      <c r="G8024" s="562">
        <f t="shared" si="485"/>
        <v>0</v>
      </c>
      <c r="H8024" s="362"/>
      <c r="I8024" s="362"/>
      <c r="J8024" s="362"/>
    </row>
    <row r="8025" spans="1:10" x14ac:dyDescent="0.25">
      <c r="A8025" s="532"/>
      <c r="B8025" s="532"/>
      <c r="C8025" s="532"/>
      <c r="D8025" s="564">
        <f>SUM(D8010:D8024)</f>
        <v>2392791315</v>
      </c>
      <c r="E8025" s="564">
        <f t="shared" ref="E8025:G8025" si="490">SUM(E8010:E8024)</f>
        <v>0</v>
      </c>
      <c r="F8025" s="564">
        <f t="shared" si="490"/>
        <v>2392791500</v>
      </c>
      <c r="G8025" s="564">
        <f t="shared" si="490"/>
        <v>-185</v>
      </c>
      <c r="H8025" s="532"/>
      <c r="I8025" s="532"/>
      <c r="J8025" s="532"/>
    </row>
    <row r="8026" spans="1:10" x14ac:dyDescent="0.25">
      <c r="A8026" s="362"/>
      <c r="B8026" s="611">
        <v>44636</v>
      </c>
      <c r="C8026" s="362" t="s">
        <v>86</v>
      </c>
      <c r="D8026" s="562">
        <v>172029910</v>
      </c>
      <c r="E8026" s="562"/>
      <c r="F8026" s="562"/>
      <c r="G8026" s="562">
        <f t="shared" si="485"/>
        <v>172029910</v>
      </c>
      <c r="H8026" s="362"/>
      <c r="I8026" s="362"/>
      <c r="J8026" s="362"/>
    </row>
    <row r="8027" spans="1:10" x14ac:dyDescent="0.25">
      <c r="A8027" s="362"/>
      <c r="B8027" s="611">
        <v>44636</v>
      </c>
      <c r="C8027" s="362" t="s">
        <v>87</v>
      </c>
      <c r="D8027" s="562">
        <v>283451947</v>
      </c>
      <c r="E8027" s="562"/>
      <c r="F8027" s="562"/>
      <c r="G8027" s="562">
        <f t="shared" si="485"/>
        <v>283451947</v>
      </c>
      <c r="H8027" s="362"/>
      <c r="I8027" s="362"/>
      <c r="J8027" s="362"/>
    </row>
    <row r="8028" spans="1:10" x14ac:dyDescent="0.25">
      <c r="A8028" s="362"/>
      <c r="B8028" s="611">
        <v>44636</v>
      </c>
      <c r="C8028" s="362" t="s">
        <v>88</v>
      </c>
      <c r="D8028" s="562">
        <v>160345335</v>
      </c>
      <c r="E8028" s="562"/>
      <c r="F8028" s="562"/>
      <c r="G8028" s="562">
        <f t="shared" ref="G8028:G8091" si="491">D8028+E8028-F8028</f>
        <v>160345335</v>
      </c>
      <c r="H8028" s="362"/>
      <c r="I8028" s="362"/>
      <c r="J8028" s="362"/>
    </row>
    <row r="8029" spans="1:10" x14ac:dyDescent="0.25">
      <c r="A8029" s="362"/>
      <c r="B8029" s="611">
        <v>44636</v>
      </c>
      <c r="C8029" s="362" t="s">
        <v>82</v>
      </c>
      <c r="D8029" s="562">
        <v>101356501</v>
      </c>
      <c r="E8029" s="562"/>
      <c r="F8029" s="562"/>
      <c r="G8029" s="562">
        <f t="shared" si="491"/>
        <v>101356501</v>
      </c>
      <c r="H8029" s="362"/>
      <c r="I8029" s="362"/>
      <c r="J8029" s="362"/>
    </row>
    <row r="8030" spans="1:10" x14ac:dyDescent="0.25">
      <c r="A8030" s="362"/>
      <c r="B8030" s="611">
        <v>44636</v>
      </c>
      <c r="C8030" s="362" t="s">
        <v>80</v>
      </c>
      <c r="D8030" s="562">
        <v>353322926</v>
      </c>
      <c r="E8030" s="562"/>
      <c r="F8030" s="562"/>
      <c r="G8030" s="562">
        <f t="shared" si="491"/>
        <v>353322926</v>
      </c>
      <c r="H8030" s="362"/>
      <c r="I8030" s="362"/>
      <c r="J8030" s="362"/>
    </row>
    <row r="8031" spans="1:10" x14ac:dyDescent="0.25">
      <c r="A8031" s="362"/>
      <c r="B8031" s="611">
        <v>44636</v>
      </c>
      <c r="C8031" s="362" t="s">
        <v>83</v>
      </c>
      <c r="D8031" s="562">
        <v>223741760</v>
      </c>
      <c r="E8031" s="562"/>
      <c r="F8031" s="562"/>
      <c r="G8031" s="562">
        <f t="shared" si="491"/>
        <v>223741760</v>
      </c>
      <c r="H8031" s="362"/>
      <c r="I8031" s="362"/>
      <c r="J8031" s="362"/>
    </row>
    <row r="8032" spans="1:10" x14ac:dyDescent="0.25">
      <c r="A8032" s="362"/>
      <c r="B8032" s="611">
        <v>44636</v>
      </c>
      <c r="C8032" s="362" t="s">
        <v>78</v>
      </c>
      <c r="D8032" s="562">
        <v>158141953</v>
      </c>
      <c r="E8032" s="562"/>
      <c r="F8032" s="562"/>
      <c r="G8032" s="562">
        <f t="shared" si="491"/>
        <v>158141953</v>
      </c>
      <c r="H8032" s="362"/>
      <c r="I8032" s="362"/>
      <c r="J8032" s="362"/>
    </row>
    <row r="8033" spans="1:10" x14ac:dyDescent="0.25">
      <c r="A8033" s="362"/>
      <c r="B8033" s="611">
        <v>44636</v>
      </c>
      <c r="C8033" s="362" t="s">
        <v>141</v>
      </c>
      <c r="D8033" s="562">
        <v>149554984</v>
      </c>
      <c r="E8033" s="562"/>
      <c r="F8033" s="562"/>
      <c r="G8033" s="562">
        <f t="shared" si="491"/>
        <v>149554984</v>
      </c>
      <c r="H8033" s="362"/>
      <c r="I8033" s="362"/>
      <c r="J8033" s="362"/>
    </row>
    <row r="8034" spans="1:10" x14ac:dyDescent="0.25">
      <c r="A8034" s="362"/>
      <c r="B8034" s="611">
        <v>44636</v>
      </c>
      <c r="C8034" s="362" t="s">
        <v>89</v>
      </c>
      <c r="D8034" s="562">
        <v>198711700</v>
      </c>
      <c r="E8034" s="562"/>
      <c r="F8034" s="562"/>
      <c r="G8034" s="562">
        <f t="shared" si="491"/>
        <v>198711700</v>
      </c>
      <c r="H8034" s="362"/>
      <c r="I8034" s="362"/>
      <c r="J8034" s="362"/>
    </row>
    <row r="8035" spans="1:10" x14ac:dyDescent="0.25">
      <c r="A8035" s="362"/>
      <c r="B8035" s="611">
        <v>44636</v>
      </c>
      <c r="C8035" s="362" t="s">
        <v>81</v>
      </c>
      <c r="D8035" s="562">
        <v>117179192</v>
      </c>
      <c r="E8035" s="562"/>
      <c r="F8035" s="562"/>
      <c r="G8035" s="562">
        <f t="shared" si="491"/>
        <v>117179192</v>
      </c>
      <c r="H8035" s="362"/>
      <c r="I8035" s="362"/>
      <c r="J8035" s="362"/>
    </row>
    <row r="8036" spans="1:10" x14ac:dyDescent="0.25">
      <c r="A8036" s="362"/>
      <c r="B8036" s="611">
        <v>44636</v>
      </c>
      <c r="C8036" s="362" t="s">
        <v>84</v>
      </c>
      <c r="D8036" s="562">
        <v>283611717</v>
      </c>
      <c r="E8036" s="562"/>
      <c r="F8036" s="562"/>
      <c r="G8036" s="562">
        <f t="shared" si="491"/>
        <v>283611717</v>
      </c>
      <c r="H8036" s="362"/>
      <c r="I8036" s="362"/>
      <c r="J8036" s="362"/>
    </row>
    <row r="8037" spans="1:10" x14ac:dyDescent="0.25">
      <c r="A8037" s="362"/>
      <c r="B8037" s="611">
        <v>44636</v>
      </c>
      <c r="C8037" s="362" t="s">
        <v>4751</v>
      </c>
      <c r="D8037" s="562">
        <v>274611100</v>
      </c>
      <c r="E8037" s="562"/>
      <c r="F8037" s="562"/>
      <c r="G8037" s="562">
        <f t="shared" si="491"/>
        <v>274611100</v>
      </c>
      <c r="H8037" s="362"/>
      <c r="I8037" s="362"/>
      <c r="J8037" s="362"/>
    </row>
    <row r="8038" spans="1:10" x14ac:dyDescent="0.25">
      <c r="A8038" s="362"/>
      <c r="B8038" s="611">
        <v>44636</v>
      </c>
      <c r="C8038" s="362" t="s">
        <v>166</v>
      </c>
      <c r="D8038" s="562"/>
      <c r="E8038" s="562"/>
      <c r="F8038" s="562"/>
      <c r="G8038" s="562">
        <f t="shared" si="491"/>
        <v>0</v>
      </c>
      <c r="H8038" s="362"/>
      <c r="I8038" s="362"/>
      <c r="J8038" s="362"/>
    </row>
    <row r="8039" spans="1:10" x14ac:dyDescent="0.25">
      <c r="A8039" s="362"/>
      <c r="B8039" s="611">
        <v>44636</v>
      </c>
      <c r="C8039" s="362" t="s">
        <v>3435</v>
      </c>
      <c r="D8039" s="562">
        <v>31584457</v>
      </c>
      <c r="E8039" s="562"/>
      <c r="F8039" s="562"/>
      <c r="G8039" s="562">
        <f t="shared" si="491"/>
        <v>31584457</v>
      </c>
      <c r="H8039" s="362"/>
      <c r="I8039" s="362"/>
      <c r="J8039" s="362"/>
    </row>
    <row r="8040" spans="1:10" x14ac:dyDescent="0.25">
      <c r="A8040" s="362"/>
      <c r="B8040" s="611">
        <v>44636</v>
      </c>
      <c r="C8040" s="370" t="s">
        <v>85</v>
      </c>
      <c r="D8040" s="562">
        <v>49068100</v>
      </c>
      <c r="E8040" s="562"/>
      <c r="F8040" s="562"/>
      <c r="G8040" s="562">
        <f t="shared" si="491"/>
        <v>49068100</v>
      </c>
      <c r="H8040" s="362"/>
      <c r="I8040" s="362"/>
      <c r="J8040" s="362"/>
    </row>
    <row r="8041" spans="1:10" x14ac:dyDescent="0.25">
      <c r="A8041" s="532"/>
      <c r="B8041" s="532"/>
      <c r="C8041" s="532"/>
      <c r="D8041" s="564">
        <f>SUM(D8026:D8040)</f>
        <v>2556711582</v>
      </c>
      <c r="E8041" s="564">
        <f t="shared" ref="E8041:G8041" si="492">SUM(E8026:E8040)</f>
        <v>0</v>
      </c>
      <c r="F8041" s="564">
        <f t="shared" si="492"/>
        <v>0</v>
      </c>
      <c r="G8041" s="564">
        <f t="shared" si="492"/>
        <v>2556711582</v>
      </c>
      <c r="H8041" s="532"/>
      <c r="I8041" s="532"/>
      <c r="J8041" s="532"/>
    </row>
    <row r="8042" spans="1:10" x14ac:dyDescent="0.25">
      <c r="A8042" s="362"/>
      <c r="B8042" s="611">
        <v>44637</v>
      </c>
      <c r="C8042" s="362" t="s">
        <v>86</v>
      </c>
      <c r="D8042" s="562">
        <v>319868703</v>
      </c>
      <c r="E8042" s="562"/>
      <c r="F8042" s="562"/>
      <c r="G8042" s="562">
        <f t="shared" si="491"/>
        <v>319868703</v>
      </c>
      <c r="H8042" s="362"/>
      <c r="I8042" s="362"/>
      <c r="J8042" s="362"/>
    </row>
    <row r="8043" spans="1:10" x14ac:dyDescent="0.25">
      <c r="A8043" s="362"/>
      <c r="B8043" s="611">
        <v>44637</v>
      </c>
      <c r="C8043" s="362" t="s">
        <v>87</v>
      </c>
      <c r="D8043" s="562">
        <v>171753636</v>
      </c>
      <c r="E8043" s="562"/>
      <c r="F8043" s="562"/>
      <c r="G8043" s="562">
        <f t="shared" si="491"/>
        <v>171753636</v>
      </c>
      <c r="H8043" s="362"/>
      <c r="I8043" s="362"/>
      <c r="J8043" s="362"/>
    </row>
    <row r="8044" spans="1:10" x14ac:dyDescent="0.25">
      <c r="A8044" s="362"/>
      <c r="B8044" s="611">
        <v>44637</v>
      </c>
      <c r="C8044" s="362" t="s">
        <v>88</v>
      </c>
      <c r="D8044" s="562">
        <v>182783329</v>
      </c>
      <c r="E8044" s="562"/>
      <c r="F8044" s="562"/>
      <c r="G8044" s="562">
        <f t="shared" si="491"/>
        <v>182783329</v>
      </c>
      <c r="H8044" s="362"/>
      <c r="I8044" s="362"/>
      <c r="J8044" s="362"/>
    </row>
    <row r="8045" spans="1:10" x14ac:dyDescent="0.25">
      <c r="A8045" s="362"/>
      <c r="B8045" s="611">
        <v>44637</v>
      </c>
      <c r="C8045" s="362" t="s">
        <v>82</v>
      </c>
      <c r="D8045" s="562">
        <v>252684482</v>
      </c>
      <c r="E8045" s="562"/>
      <c r="F8045" s="562"/>
      <c r="G8045" s="562">
        <f t="shared" si="491"/>
        <v>252684482</v>
      </c>
      <c r="H8045" s="362"/>
      <c r="I8045" s="362"/>
      <c r="J8045" s="362"/>
    </row>
    <row r="8046" spans="1:10" x14ac:dyDescent="0.25">
      <c r="A8046" s="362"/>
      <c r="B8046" s="611">
        <v>44637</v>
      </c>
      <c r="C8046" s="362" t="s">
        <v>80</v>
      </c>
      <c r="D8046" s="562">
        <v>975086209</v>
      </c>
      <c r="E8046" s="562"/>
      <c r="F8046" s="562"/>
      <c r="G8046" s="562">
        <f t="shared" si="491"/>
        <v>975086209</v>
      </c>
      <c r="H8046" s="362"/>
      <c r="I8046" s="362"/>
      <c r="J8046" s="362"/>
    </row>
    <row r="8047" spans="1:10" x14ac:dyDescent="0.25">
      <c r="A8047" s="362"/>
      <c r="B8047" s="611">
        <v>44637</v>
      </c>
      <c r="C8047" s="362" t="s">
        <v>83</v>
      </c>
      <c r="D8047" s="562">
        <v>197899600</v>
      </c>
      <c r="E8047" s="562"/>
      <c r="F8047" s="562"/>
      <c r="G8047" s="562">
        <f t="shared" si="491"/>
        <v>197899600</v>
      </c>
      <c r="H8047" s="362"/>
      <c r="I8047" s="362"/>
      <c r="J8047" s="362"/>
    </row>
    <row r="8048" spans="1:10" x14ac:dyDescent="0.25">
      <c r="A8048" s="362"/>
      <c r="B8048" s="611">
        <v>44637</v>
      </c>
      <c r="C8048" s="362" t="s">
        <v>78</v>
      </c>
      <c r="D8048" s="562">
        <v>145162550</v>
      </c>
      <c r="E8048" s="562"/>
      <c r="F8048" s="562"/>
      <c r="G8048" s="562">
        <f t="shared" si="491"/>
        <v>145162550</v>
      </c>
      <c r="H8048" s="362"/>
      <c r="I8048" s="362"/>
      <c r="J8048" s="362"/>
    </row>
    <row r="8049" spans="1:10" x14ac:dyDescent="0.25">
      <c r="A8049" s="362"/>
      <c r="B8049" s="611">
        <v>44637</v>
      </c>
      <c r="C8049" s="362" t="s">
        <v>141</v>
      </c>
      <c r="D8049" s="562">
        <v>151212524</v>
      </c>
      <c r="E8049" s="562"/>
      <c r="F8049" s="562"/>
      <c r="G8049" s="562">
        <f t="shared" si="491"/>
        <v>151212524</v>
      </c>
      <c r="H8049" s="362"/>
      <c r="I8049" s="362"/>
      <c r="J8049" s="362"/>
    </row>
    <row r="8050" spans="1:10" x14ac:dyDescent="0.25">
      <c r="A8050" s="362"/>
      <c r="B8050" s="611">
        <v>44637</v>
      </c>
      <c r="C8050" s="362" t="s">
        <v>89</v>
      </c>
      <c r="D8050" s="562">
        <v>191381700</v>
      </c>
      <c r="E8050" s="562"/>
      <c r="F8050" s="562"/>
      <c r="G8050" s="562">
        <f t="shared" si="491"/>
        <v>191381700</v>
      </c>
      <c r="H8050" s="362"/>
      <c r="I8050" s="362"/>
      <c r="J8050" s="362"/>
    </row>
    <row r="8051" spans="1:10" x14ac:dyDescent="0.25">
      <c r="A8051" s="362"/>
      <c r="B8051" s="611">
        <v>44637</v>
      </c>
      <c r="C8051" s="362" t="s">
        <v>81</v>
      </c>
      <c r="D8051" s="562">
        <v>113724305</v>
      </c>
      <c r="E8051" s="562"/>
      <c r="F8051" s="562"/>
      <c r="G8051" s="562">
        <f t="shared" si="491"/>
        <v>113724305</v>
      </c>
      <c r="H8051" s="362"/>
      <c r="I8051" s="362"/>
      <c r="J8051" s="362"/>
    </row>
    <row r="8052" spans="1:10" x14ac:dyDescent="0.25">
      <c r="A8052" s="362"/>
      <c r="B8052" s="611">
        <v>44637</v>
      </c>
      <c r="C8052" s="362" t="s">
        <v>84</v>
      </c>
      <c r="D8052" s="562">
        <v>199141364</v>
      </c>
      <c r="E8052" s="562"/>
      <c r="F8052" s="562"/>
      <c r="G8052" s="562">
        <f t="shared" si="491"/>
        <v>199141364</v>
      </c>
      <c r="H8052" s="362"/>
      <c r="I8052" s="362"/>
      <c r="J8052" s="362"/>
    </row>
    <row r="8053" spans="1:10" x14ac:dyDescent="0.25">
      <c r="A8053" s="362"/>
      <c r="B8053" s="611">
        <v>44637</v>
      </c>
      <c r="C8053" s="362" t="s">
        <v>4751</v>
      </c>
      <c r="D8053" s="562">
        <v>260127500</v>
      </c>
      <c r="E8053" s="562"/>
      <c r="F8053" s="562"/>
      <c r="G8053" s="562">
        <f t="shared" si="491"/>
        <v>260127500</v>
      </c>
      <c r="H8053" s="362"/>
      <c r="I8053" s="362"/>
      <c r="J8053" s="362"/>
    </row>
    <row r="8054" spans="1:10" x14ac:dyDescent="0.25">
      <c r="A8054" s="362"/>
      <c r="B8054" s="611">
        <v>44637</v>
      </c>
      <c r="C8054" s="362" t="s">
        <v>166</v>
      </c>
      <c r="D8054" s="562"/>
      <c r="E8054" s="562"/>
      <c r="F8054" s="562"/>
      <c r="G8054" s="562">
        <f t="shared" si="491"/>
        <v>0</v>
      </c>
      <c r="H8054" s="362"/>
      <c r="I8054" s="362"/>
      <c r="J8054" s="362"/>
    </row>
    <row r="8055" spans="1:10" x14ac:dyDescent="0.25">
      <c r="A8055" s="362"/>
      <c r="B8055" s="611">
        <v>44637</v>
      </c>
      <c r="C8055" s="362" t="s">
        <v>3435</v>
      </c>
      <c r="D8055" s="562">
        <v>65904867</v>
      </c>
      <c r="E8055" s="562"/>
      <c r="F8055" s="562"/>
      <c r="G8055" s="562">
        <f t="shared" si="491"/>
        <v>65904867</v>
      </c>
      <c r="H8055" s="362"/>
      <c r="I8055" s="362"/>
      <c r="J8055" s="362"/>
    </row>
    <row r="8056" spans="1:10" x14ac:dyDescent="0.25">
      <c r="A8056" s="362"/>
      <c r="B8056" s="611">
        <v>44637</v>
      </c>
      <c r="C8056" s="370" t="s">
        <v>85</v>
      </c>
      <c r="D8056" s="562">
        <v>28883100</v>
      </c>
      <c r="E8056" s="562"/>
      <c r="F8056" s="562"/>
      <c r="G8056" s="562">
        <f t="shared" si="491"/>
        <v>28883100</v>
      </c>
      <c r="H8056" s="362"/>
      <c r="I8056" s="362"/>
      <c r="J8056" s="362"/>
    </row>
    <row r="8057" spans="1:10" x14ac:dyDescent="0.25">
      <c r="A8057" s="532"/>
      <c r="B8057" s="532"/>
      <c r="C8057" s="532"/>
      <c r="D8057" s="564">
        <f>SUM(D8042:D8056)</f>
        <v>3255613869</v>
      </c>
      <c r="E8057" s="564">
        <f t="shared" ref="E8057:G8057" si="493">SUM(E8042:E8056)</f>
        <v>0</v>
      </c>
      <c r="F8057" s="564">
        <f t="shared" si="493"/>
        <v>0</v>
      </c>
      <c r="G8057" s="564">
        <f t="shared" si="493"/>
        <v>3255613869</v>
      </c>
      <c r="H8057" s="532"/>
      <c r="I8057" s="532"/>
      <c r="J8057" s="532"/>
    </row>
    <row r="8058" spans="1:10" x14ac:dyDescent="0.25">
      <c r="A8058" s="362"/>
      <c r="B8058" s="611">
        <v>44638</v>
      </c>
      <c r="C8058" s="362" t="s">
        <v>86</v>
      </c>
      <c r="D8058" s="562">
        <v>104649850</v>
      </c>
      <c r="E8058" s="562"/>
      <c r="F8058" s="562"/>
      <c r="G8058" s="562">
        <f t="shared" si="491"/>
        <v>104649850</v>
      </c>
      <c r="H8058" s="362"/>
      <c r="I8058" s="362"/>
      <c r="J8058" s="362"/>
    </row>
    <row r="8059" spans="1:10" x14ac:dyDescent="0.25">
      <c r="A8059" s="362"/>
      <c r="B8059" s="611">
        <v>44638</v>
      </c>
      <c r="C8059" s="362" t="s">
        <v>87</v>
      </c>
      <c r="D8059" s="562">
        <v>194155170</v>
      </c>
      <c r="E8059" s="562"/>
      <c r="F8059" s="562"/>
      <c r="G8059" s="562">
        <f t="shared" si="491"/>
        <v>194155170</v>
      </c>
      <c r="H8059" s="362"/>
      <c r="I8059" s="362"/>
      <c r="J8059" s="362"/>
    </row>
    <row r="8060" spans="1:10" x14ac:dyDescent="0.25">
      <c r="A8060" s="362"/>
      <c r="B8060" s="611">
        <v>44638</v>
      </c>
      <c r="C8060" s="362" t="s">
        <v>88</v>
      </c>
      <c r="D8060" s="562">
        <v>99140635</v>
      </c>
      <c r="E8060" s="562"/>
      <c r="F8060" s="562"/>
      <c r="G8060" s="562">
        <f t="shared" si="491"/>
        <v>99140635</v>
      </c>
      <c r="H8060" s="362"/>
      <c r="I8060" s="362"/>
      <c r="J8060" s="362"/>
    </row>
    <row r="8061" spans="1:10" x14ac:dyDescent="0.25">
      <c r="A8061" s="362"/>
      <c r="B8061" s="611">
        <v>44638</v>
      </c>
      <c r="C8061" s="362" t="s">
        <v>82</v>
      </c>
      <c r="D8061" s="562">
        <v>86050176</v>
      </c>
      <c r="E8061" s="562"/>
      <c r="F8061" s="562"/>
      <c r="G8061" s="562">
        <f t="shared" si="491"/>
        <v>86050176</v>
      </c>
      <c r="H8061" s="362"/>
      <c r="I8061" s="362"/>
      <c r="J8061" s="362"/>
    </row>
    <row r="8062" spans="1:10" x14ac:dyDescent="0.25">
      <c r="A8062" s="362"/>
      <c r="B8062" s="611">
        <v>44638</v>
      </c>
      <c r="C8062" s="362" t="s">
        <v>80</v>
      </c>
      <c r="D8062" s="562">
        <v>297820199</v>
      </c>
      <c r="E8062" s="562"/>
      <c r="F8062" s="562"/>
      <c r="G8062" s="562">
        <f t="shared" si="491"/>
        <v>297820199</v>
      </c>
      <c r="H8062" s="362"/>
      <c r="I8062" s="362"/>
      <c r="J8062" s="362"/>
    </row>
    <row r="8063" spans="1:10" x14ac:dyDescent="0.25">
      <c r="A8063" s="362"/>
      <c r="B8063" s="611">
        <v>44638</v>
      </c>
      <c r="C8063" s="362" t="s">
        <v>83</v>
      </c>
      <c r="D8063" s="562">
        <v>126710500</v>
      </c>
      <c r="E8063" s="562"/>
      <c r="F8063" s="562"/>
      <c r="G8063" s="562">
        <f t="shared" si="491"/>
        <v>126710500</v>
      </c>
      <c r="H8063" s="362"/>
      <c r="I8063" s="362"/>
      <c r="J8063" s="362"/>
    </row>
    <row r="8064" spans="1:10" x14ac:dyDescent="0.25">
      <c r="A8064" s="362"/>
      <c r="B8064" s="611">
        <v>44638</v>
      </c>
      <c r="C8064" s="362" t="s">
        <v>78</v>
      </c>
      <c r="D8064" s="562">
        <v>194116014</v>
      </c>
      <c r="E8064" s="562"/>
      <c r="F8064" s="562"/>
      <c r="G8064" s="562">
        <f t="shared" si="491"/>
        <v>194116014</v>
      </c>
      <c r="H8064" s="362"/>
      <c r="I8064" s="362"/>
      <c r="J8064" s="362"/>
    </row>
    <row r="8065" spans="1:10" x14ac:dyDescent="0.25">
      <c r="A8065" s="362"/>
      <c r="B8065" s="611">
        <v>44638</v>
      </c>
      <c r="C8065" s="362" t="s">
        <v>141</v>
      </c>
      <c r="D8065" s="562">
        <v>102876859</v>
      </c>
      <c r="E8065" s="562"/>
      <c r="F8065" s="562"/>
      <c r="G8065" s="562">
        <f t="shared" si="491"/>
        <v>102876859</v>
      </c>
      <c r="H8065" s="362"/>
      <c r="I8065" s="362"/>
      <c r="J8065" s="362"/>
    </row>
    <row r="8066" spans="1:10" x14ac:dyDescent="0.25">
      <c r="A8066" s="362"/>
      <c r="B8066" s="611">
        <v>44638</v>
      </c>
      <c r="C8066" s="362" t="s">
        <v>89</v>
      </c>
      <c r="D8066" s="562">
        <v>230097600</v>
      </c>
      <c r="E8066" s="562"/>
      <c r="F8066" s="562"/>
      <c r="G8066" s="562">
        <f t="shared" si="491"/>
        <v>230097600</v>
      </c>
      <c r="H8066" s="362"/>
      <c r="I8066" s="362"/>
      <c r="J8066" s="362"/>
    </row>
    <row r="8067" spans="1:10" x14ac:dyDescent="0.25">
      <c r="A8067" s="362"/>
      <c r="B8067" s="611">
        <v>44638</v>
      </c>
      <c r="C8067" s="362" t="s">
        <v>81</v>
      </c>
      <c r="D8067" s="562">
        <v>197360056</v>
      </c>
      <c r="E8067" s="562"/>
      <c r="F8067" s="562"/>
      <c r="G8067" s="562">
        <f t="shared" si="491"/>
        <v>197360056</v>
      </c>
      <c r="H8067" s="362"/>
      <c r="I8067" s="362"/>
      <c r="J8067" s="362"/>
    </row>
    <row r="8068" spans="1:10" x14ac:dyDescent="0.25">
      <c r="A8068" s="362"/>
      <c r="B8068" s="611">
        <v>44638</v>
      </c>
      <c r="C8068" s="362" t="s">
        <v>84</v>
      </c>
      <c r="D8068" s="562">
        <v>220676089</v>
      </c>
      <c r="E8068" s="562"/>
      <c r="F8068" s="562"/>
      <c r="G8068" s="562">
        <f t="shared" si="491"/>
        <v>220676089</v>
      </c>
      <c r="H8068" s="362"/>
      <c r="I8068" s="362"/>
      <c r="J8068" s="362"/>
    </row>
    <row r="8069" spans="1:10" x14ac:dyDescent="0.25">
      <c r="A8069" s="362"/>
      <c r="B8069" s="611">
        <v>44638</v>
      </c>
      <c r="C8069" s="362" t="s">
        <v>4751</v>
      </c>
      <c r="D8069" s="562">
        <v>213864000</v>
      </c>
      <c r="E8069" s="562"/>
      <c r="F8069" s="562"/>
      <c r="G8069" s="562">
        <f t="shared" si="491"/>
        <v>213864000</v>
      </c>
      <c r="H8069" s="362"/>
      <c r="I8069" s="362"/>
      <c r="J8069" s="362"/>
    </row>
    <row r="8070" spans="1:10" x14ac:dyDescent="0.25">
      <c r="A8070" s="362"/>
      <c r="B8070" s="611">
        <v>44638</v>
      </c>
      <c r="C8070" s="362" t="s">
        <v>166</v>
      </c>
      <c r="D8070" s="562">
        <v>46567215</v>
      </c>
      <c r="E8070" s="562"/>
      <c r="F8070" s="562"/>
      <c r="G8070" s="562">
        <f t="shared" si="491"/>
        <v>46567215</v>
      </c>
      <c r="H8070" s="362"/>
      <c r="I8070" s="362"/>
      <c r="J8070" s="362"/>
    </row>
    <row r="8071" spans="1:10" x14ac:dyDescent="0.25">
      <c r="A8071" s="362"/>
      <c r="B8071" s="611">
        <v>44638</v>
      </c>
      <c r="C8071" s="362" t="s">
        <v>3435</v>
      </c>
      <c r="D8071" s="562">
        <v>105758347</v>
      </c>
      <c r="E8071" s="562"/>
      <c r="F8071" s="562"/>
      <c r="G8071" s="562">
        <f t="shared" si="491"/>
        <v>105758347</v>
      </c>
      <c r="H8071" s="362"/>
      <c r="I8071" s="362"/>
      <c r="J8071" s="362"/>
    </row>
    <row r="8072" spans="1:10" x14ac:dyDescent="0.25">
      <c r="A8072" s="362"/>
      <c r="B8072" s="611">
        <v>44638</v>
      </c>
      <c r="C8072" s="370" t="s">
        <v>85</v>
      </c>
      <c r="D8072" s="562">
        <v>27157200</v>
      </c>
      <c r="E8072" s="562"/>
      <c r="F8072" s="562"/>
      <c r="G8072" s="562">
        <f t="shared" si="491"/>
        <v>27157200</v>
      </c>
      <c r="H8072" s="362"/>
      <c r="I8072" s="362"/>
      <c r="J8072" s="362"/>
    </row>
    <row r="8073" spans="1:10" x14ac:dyDescent="0.25">
      <c r="A8073" s="532"/>
      <c r="B8073" s="532"/>
      <c r="C8073" s="532"/>
      <c r="D8073" s="564">
        <f>SUM(D8058:D8072)</f>
        <v>2246999910</v>
      </c>
      <c r="E8073" s="564">
        <f t="shared" ref="E8073:G8073" si="494">SUM(E8058:E8072)</f>
        <v>0</v>
      </c>
      <c r="F8073" s="564">
        <f t="shared" si="494"/>
        <v>0</v>
      </c>
      <c r="G8073" s="564">
        <f t="shared" si="494"/>
        <v>2246999910</v>
      </c>
      <c r="H8073" s="532"/>
      <c r="I8073" s="532"/>
      <c r="J8073" s="532"/>
    </row>
    <row r="8074" spans="1:10" x14ac:dyDescent="0.25">
      <c r="A8074" s="362"/>
      <c r="B8074" s="611">
        <v>44639</v>
      </c>
      <c r="C8074" s="362" t="s">
        <v>86</v>
      </c>
      <c r="D8074" s="562">
        <v>137016607</v>
      </c>
      <c r="E8074" s="562"/>
      <c r="F8074" s="562"/>
      <c r="G8074" s="562">
        <f t="shared" si="491"/>
        <v>137016607</v>
      </c>
      <c r="H8074" s="362"/>
      <c r="I8074" s="362"/>
      <c r="J8074" s="362"/>
    </row>
    <row r="8075" spans="1:10" x14ac:dyDescent="0.25">
      <c r="A8075" s="362"/>
      <c r="B8075" s="611">
        <v>44639</v>
      </c>
      <c r="C8075" s="362" t="s">
        <v>87</v>
      </c>
      <c r="D8075" s="562">
        <v>258543691</v>
      </c>
      <c r="E8075" s="562"/>
      <c r="F8075" s="562"/>
      <c r="G8075" s="562">
        <f t="shared" si="491"/>
        <v>258543691</v>
      </c>
      <c r="H8075" s="362"/>
      <c r="I8075" s="362"/>
      <c r="J8075" s="362"/>
    </row>
    <row r="8076" spans="1:10" x14ac:dyDescent="0.25">
      <c r="A8076" s="362"/>
      <c r="B8076" s="611">
        <v>44639</v>
      </c>
      <c r="C8076" s="362" t="s">
        <v>88</v>
      </c>
      <c r="D8076" s="562">
        <v>141561433</v>
      </c>
      <c r="E8076" s="562"/>
      <c r="F8076" s="562"/>
      <c r="G8076" s="562">
        <f t="shared" si="491"/>
        <v>141561433</v>
      </c>
      <c r="H8076" s="362"/>
      <c r="I8076" s="362"/>
      <c r="J8076" s="362"/>
    </row>
    <row r="8077" spans="1:10" x14ac:dyDescent="0.25">
      <c r="A8077" s="362"/>
      <c r="B8077" s="611">
        <v>44639</v>
      </c>
      <c r="C8077" s="362" t="s">
        <v>82</v>
      </c>
      <c r="D8077" s="562">
        <v>64763512</v>
      </c>
      <c r="E8077" s="562"/>
      <c r="F8077" s="562"/>
      <c r="G8077" s="562">
        <f t="shared" si="491"/>
        <v>64763512</v>
      </c>
      <c r="H8077" s="362"/>
      <c r="I8077" s="362"/>
      <c r="J8077" s="362"/>
    </row>
    <row r="8078" spans="1:10" x14ac:dyDescent="0.25">
      <c r="A8078" s="362"/>
      <c r="B8078" s="611">
        <v>44639</v>
      </c>
      <c r="C8078" s="362" t="s">
        <v>80</v>
      </c>
      <c r="D8078" s="562">
        <v>316777447</v>
      </c>
      <c r="E8078" s="562"/>
      <c r="F8078" s="562"/>
      <c r="G8078" s="562">
        <f t="shared" si="491"/>
        <v>316777447</v>
      </c>
      <c r="H8078" s="362"/>
      <c r="I8078" s="362"/>
      <c r="J8078" s="362"/>
    </row>
    <row r="8079" spans="1:10" x14ac:dyDescent="0.25">
      <c r="A8079" s="362"/>
      <c r="B8079" s="611">
        <v>44639</v>
      </c>
      <c r="C8079" s="362" t="s">
        <v>83</v>
      </c>
      <c r="D8079" s="562">
        <v>296620546</v>
      </c>
      <c r="E8079" s="562"/>
      <c r="F8079" s="562"/>
      <c r="G8079" s="562">
        <f t="shared" si="491"/>
        <v>296620546</v>
      </c>
      <c r="H8079" s="362"/>
      <c r="I8079" s="362"/>
      <c r="J8079" s="362"/>
    </row>
    <row r="8080" spans="1:10" x14ac:dyDescent="0.25">
      <c r="A8080" s="362"/>
      <c r="B8080" s="611">
        <v>44639</v>
      </c>
      <c r="C8080" s="362" t="s">
        <v>78</v>
      </c>
      <c r="D8080" s="562">
        <v>120030363</v>
      </c>
      <c r="E8080" s="562"/>
      <c r="F8080" s="562"/>
      <c r="G8080" s="562">
        <f t="shared" si="491"/>
        <v>120030363</v>
      </c>
      <c r="H8080" s="362"/>
      <c r="I8080" s="362"/>
      <c r="J8080" s="362"/>
    </row>
    <row r="8081" spans="1:10" x14ac:dyDescent="0.25">
      <c r="A8081" s="362"/>
      <c r="B8081" s="611">
        <v>44639</v>
      </c>
      <c r="C8081" s="362" t="s">
        <v>141</v>
      </c>
      <c r="D8081" s="562">
        <v>57178530</v>
      </c>
      <c r="E8081" s="562"/>
      <c r="F8081" s="562"/>
      <c r="G8081" s="562">
        <f t="shared" si="491"/>
        <v>57178530</v>
      </c>
      <c r="H8081" s="362"/>
      <c r="I8081" s="362"/>
      <c r="J8081" s="362"/>
    </row>
    <row r="8082" spans="1:10" x14ac:dyDescent="0.25">
      <c r="A8082" s="362"/>
      <c r="B8082" s="611">
        <v>44639</v>
      </c>
      <c r="C8082" s="362" t="s">
        <v>89</v>
      </c>
      <c r="D8082" s="562">
        <v>92431500</v>
      </c>
      <c r="E8082" s="562"/>
      <c r="F8082" s="562"/>
      <c r="G8082" s="562">
        <f t="shared" si="491"/>
        <v>92431500</v>
      </c>
      <c r="H8082" s="362"/>
      <c r="I8082" s="362"/>
      <c r="J8082" s="362"/>
    </row>
    <row r="8083" spans="1:10" x14ac:dyDescent="0.25">
      <c r="A8083" s="362"/>
      <c r="B8083" s="611">
        <v>44639</v>
      </c>
      <c r="C8083" s="362" t="s">
        <v>81</v>
      </c>
      <c r="D8083" s="562">
        <v>126238684</v>
      </c>
      <c r="E8083" s="562"/>
      <c r="F8083" s="562"/>
      <c r="G8083" s="562">
        <f t="shared" si="491"/>
        <v>126238684</v>
      </c>
      <c r="H8083" s="362"/>
      <c r="I8083" s="362"/>
      <c r="J8083" s="362"/>
    </row>
    <row r="8084" spans="1:10" x14ac:dyDescent="0.25">
      <c r="A8084" s="362"/>
      <c r="B8084" s="611">
        <v>44639</v>
      </c>
      <c r="C8084" s="362" t="s">
        <v>84</v>
      </c>
      <c r="D8084" s="562">
        <v>82956201</v>
      </c>
      <c r="E8084" s="562"/>
      <c r="F8084" s="562"/>
      <c r="G8084" s="562">
        <f t="shared" si="491"/>
        <v>82956201</v>
      </c>
      <c r="H8084" s="362"/>
      <c r="I8084" s="362"/>
      <c r="J8084" s="362"/>
    </row>
    <row r="8085" spans="1:10" x14ac:dyDescent="0.25">
      <c r="A8085" s="362"/>
      <c r="B8085" s="611">
        <v>44639</v>
      </c>
      <c r="C8085" s="362" t="s">
        <v>4751</v>
      </c>
      <c r="D8085" s="562">
        <v>105354100</v>
      </c>
      <c r="E8085" s="562"/>
      <c r="F8085" s="562"/>
      <c r="G8085" s="562">
        <f t="shared" si="491"/>
        <v>105354100</v>
      </c>
      <c r="H8085" s="362"/>
      <c r="I8085" s="362"/>
      <c r="J8085" s="362"/>
    </row>
    <row r="8086" spans="1:10" x14ac:dyDescent="0.25">
      <c r="A8086" s="362"/>
      <c r="B8086" s="611">
        <v>44639</v>
      </c>
      <c r="C8086" s="362" t="s">
        <v>166</v>
      </c>
      <c r="D8086" s="562"/>
      <c r="E8086" s="562"/>
      <c r="F8086" s="562"/>
      <c r="G8086" s="562">
        <f t="shared" si="491"/>
        <v>0</v>
      </c>
      <c r="H8086" s="362"/>
      <c r="I8086" s="362"/>
      <c r="J8086" s="362"/>
    </row>
    <row r="8087" spans="1:10" x14ac:dyDescent="0.25">
      <c r="A8087" s="362"/>
      <c r="B8087" s="611">
        <v>44639</v>
      </c>
      <c r="C8087" s="362" t="s">
        <v>3435</v>
      </c>
      <c r="D8087" s="562"/>
      <c r="E8087" s="562"/>
      <c r="F8087" s="562"/>
      <c r="G8087" s="562">
        <f t="shared" si="491"/>
        <v>0</v>
      </c>
      <c r="H8087" s="362"/>
      <c r="I8087" s="362"/>
      <c r="J8087" s="362"/>
    </row>
    <row r="8088" spans="1:10" x14ac:dyDescent="0.25">
      <c r="A8088" s="362"/>
      <c r="B8088" s="611">
        <v>44639</v>
      </c>
      <c r="C8088" s="370" t="s">
        <v>85</v>
      </c>
      <c r="D8088" s="562">
        <v>3173400</v>
      </c>
      <c r="E8088" s="562"/>
      <c r="F8088" s="562"/>
      <c r="G8088" s="562">
        <f t="shared" si="491"/>
        <v>3173400</v>
      </c>
      <c r="H8088" s="362"/>
      <c r="I8088" s="362"/>
      <c r="J8088" s="362"/>
    </row>
    <row r="8089" spans="1:10" x14ac:dyDescent="0.25">
      <c r="A8089" s="532"/>
      <c r="B8089" s="532"/>
      <c r="C8089" s="532"/>
      <c r="D8089" s="564">
        <f>SUM(D8074:D8088)</f>
        <v>1802646014</v>
      </c>
      <c r="E8089" s="564">
        <f t="shared" ref="E8089:G8089" si="495">SUM(E8074:E8088)</f>
        <v>0</v>
      </c>
      <c r="F8089" s="564">
        <f t="shared" si="495"/>
        <v>0</v>
      </c>
      <c r="G8089" s="564">
        <f t="shared" si="495"/>
        <v>1802646014</v>
      </c>
      <c r="H8089" s="532"/>
      <c r="I8089" s="532"/>
      <c r="J8089" s="532"/>
    </row>
    <row r="8090" spans="1:10" x14ac:dyDescent="0.25">
      <c r="A8090" s="362"/>
      <c r="B8090" s="611">
        <v>44641</v>
      </c>
      <c r="C8090" s="362" t="s">
        <v>86</v>
      </c>
      <c r="D8090" s="562">
        <v>66951203</v>
      </c>
      <c r="E8090" s="562"/>
      <c r="F8090" s="562"/>
      <c r="G8090" s="562">
        <f t="shared" si="491"/>
        <v>66951203</v>
      </c>
      <c r="H8090" s="362"/>
      <c r="I8090" s="362"/>
      <c r="J8090" s="362"/>
    </row>
    <row r="8091" spans="1:10" x14ac:dyDescent="0.25">
      <c r="A8091" s="362"/>
      <c r="B8091" s="611">
        <v>44641</v>
      </c>
      <c r="C8091" s="362" t="s">
        <v>87</v>
      </c>
      <c r="D8091" s="562">
        <v>253813471</v>
      </c>
      <c r="E8091" s="562"/>
      <c r="F8091" s="562"/>
      <c r="G8091" s="562">
        <f t="shared" si="491"/>
        <v>253813471</v>
      </c>
      <c r="H8091" s="362"/>
      <c r="I8091" s="362"/>
      <c r="J8091" s="362"/>
    </row>
    <row r="8092" spans="1:10" x14ac:dyDescent="0.25">
      <c r="A8092" s="362"/>
      <c r="B8092" s="611">
        <v>44641</v>
      </c>
      <c r="C8092" s="362" t="s">
        <v>88</v>
      </c>
      <c r="D8092" s="562">
        <v>189055109</v>
      </c>
      <c r="E8092" s="562"/>
      <c r="F8092" s="562"/>
      <c r="G8092" s="562">
        <f t="shared" ref="G8092:G8155" si="496">D8092+E8092-F8092</f>
        <v>189055109</v>
      </c>
      <c r="H8092" s="362"/>
      <c r="I8092" s="362"/>
      <c r="J8092" s="362"/>
    </row>
    <row r="8093" spans="1:10" x14ac:dyDescent="0.25">
      <c r="A8093" s="362"/>
      <c r="B8093" s="611">
        <v>44641</v>
      </c>
      <c r="C8093" s="362" t="s">
        <v>82</v>
      </c>
      <c r="D8093" s="562">
        <v>61593541</v>
      </c>
      <c r="E8093" s="562"/>
      <c r="F8093" s="562"/>
      <c r="G8093" s="562">
        <f t="shared" si="496"/>
        <v>61593541</v>
      </c>
      <c r="H8093" s="362"/>
      <c r="I8093" s="362"/>
      <c r="J8093" s="362"/>
    </row>
    <row r="8094" spans="1:10" x14ac:dyDescent="0.25">
      <c r="A8094" s="362"/>
      <c r="B8094" s="611">
        <v>44641</v>
      </c>
      <c r="C8094" s="362" t="s">
        <v>80</v>
      </c>
      <c r="D8094" s="562">
        <v>1100988973</v>
      </c>
      <c r="E8094" s="562"/>
      <c r="F8094" s="562"/>
      <c r="G8094" s="562">
        <f t="shared" si="496"/>
        <v>1100988973</v>
      </c>
      <c r="H8094" s="362"/>
      <c r="I8094" s="362"/>
      <c r="J8094" s="362"/>
    </row>
    <row r="8095" spans="1:10" x14ac:dyDescent="0.25">
      <c r="A8095" s="362"/>
      <c r="B8095" s="611">
        <v>44641</v>
      </c>
      <c r="C8095" s="362" t="s">
        <v>83</v>
      </c>
      <c r="D8095" s="562">
        <v>410171260</v>
      </c>
      <c r="E8095" s="562"/>
      <c r="F8095" s="562"/>
      <c r="G8095" s="562">
        <f t="shared" si="496"/>
        <v>410171260</v>
      </c>
      <c r="H8095" s="362"/>
      <c r="I8095" s="362"/>
      <c r="J8095" s="362"/>
    </row>
    <row r="8096" spans="1:10" x14ac:dyDescent="0.25">
      <c r="A8096" s="362"/>
      <c r="B8096" s="611">
        <v>44641</v>
      </c>
      <c r="C8096" s="362" t="s">
        <v>78</v>
      </c>
      <c r="D8096" s="562">
        <v>95402840</v>
      </c>
      <c r="E8096" s="562"/>
      <c r="F8096" s="562"/>
      <c r="G8096" s="562">
        <f t="shared" si="496"/>
        <v>95402840</v>
      </c>
      <c r="H8096" s="362"/>
      <c r="I8096" s="362"/>
      <c r="J8096" s="362"/>
    </row>
    <row r="8097" spans="1:10" x14ac:dyDescent="0.25">
      <c r="A8097" s="362"/>
      <c r="B8097" s="611">
        <v>44641</v>
      </c>
      <c r="C8097" s="362" t="s">
        <v>141</v>
      </c>
      <c r="D8097" s="562">
        <v>61418809</v>
      </c>
      <c r="E8097" s="562"/>
      <c r="F8097" s="562"/>
      <c r="G8097" s="562">
        <f t="shared" si="496"/>
        <v>61418809</v>
      </c>
      <c r="H8097" s="362"/>
      <c r="I8097" s="362"/>
      <c r="J8097" s="362"/>
    </row>
    <row r="8098" spans="1:10" x14ac:dyDescent="0.25">
      <c r="A8098" s="362"/>
      <c r="B8098" s="611">
        <v>44641</v>
      </c>
      <c r="C8098" s="362" t="s">
        <v>89</v>
      </c>
      <c r="D8098" s="562">
        <v>140220800</v>
      </c>
      <c r="E8098" s="562"/>
      <c r="F8098" s="562"/>
      <c r="G8098" s="562">
        <f t="shared" si="496"/>
        <v>140220800</v>
      </c>
      <c r="H8098" s="362"/>
      <c r="I8098" s="362"/>
      <c r="J8098" s="362"/>
    </row>
    <row r="8099" spans="1:10" x14ac:dyDescent="0.25">
      <c r="A8099" s="362"/>
      <c r="B8099" s="611">
        <v>44641</v>
      </c>
      <c r="C8099" s="362" t="s">
        <v>81</v>
      </c>
      <c r="D8099" s="562">
        <v>166417558</v>
      </c>
      <c r="E8099" s="562"/>
      <c r="F8099" s="562"/>
      <c r="G8099" s="562">
        <f t="shared" si="496"/>
        <v>166417558</v>
      </c>
      <c r="H8099" s="362"/>
      <c r="I8099" s="362"/>
      <c r="J8099" s="362"/>
    </row>
    <row r="8100" spans="1:10" x14ac:dyDescent="0.25">
      <c r="A8100" s="362"/>
      <c r="B8100" s="611">
        <v>44641</v>
      </c>
      <c r="C8100" s="362" t="s">
        <v>84</v>
      </c>
      <c r="D8100" s="562">
        <v>385476888</v>
      </c>
      <c r="E8100" s="562"/>
      <c r="F8100" s="562"/>
      <c r="G8100" s="562">
        <f t="shared" si="496"/>
        <v>385476888</v>
      </c>
      <c r="H8100" s="362"/>
      <c r="I8100" s="362"/>
      <c r="J8100" s="362"/>
    </row>
    <row r="8101" spans="1:10" x14ac:dyDescent="0.25">
      <c r="A8101" s="362"/>
      <c r="B8101" s="611">
        <v>44641</v>
      </c>
      <c r="C8101" s="362" t="s">
        <v>4751</v>
      </c>
      <c r="D8101" s="562">
        <v>204254000</v>
      </c>
      <c r="E8101" s="562"/>
      <c r="F8101" s="562"/>
      <c r="G8101" s="562">
        <f t="shared" si="496"/>
        <v>204254000</v>
      </c>
      <c r="H8101" s="362"/>
      <c r="I8101" s="362"/>
      <c r="J8101" s="362"/>
    </row>
    <row r="8102" spans="1:10" x14ac:dyDescent="0.25">
      <c r="A8102" s="362"/>
      <c r="B8102" s="611">
        <v>44641</v>
      </c>
      <c r="C8102" s="362" t="s">
        <v>166</v>
      </c>
      <c r="D8102" s="562">
        <v>68561148</v>
      </c>
      <c r="E8102" s="562"/>
      <c r="F8102" s="562"/>
      <c r="G8102" s="562">
        <f t="shared" si="496"/>
        <v>68561148</v>
      </c>
      <c r="H8102" s="362"/>
      <c r="I8102" s="362"/>
      <c r="J8102" s="362"/>
    </row>
    <row r="8103" spans="1:10" x14ac:dyDescent="0.25">
      <c r="A8103" s="362"/>
      <c r="B8103" s="611">
        <v>44641</v>
      </c>
      <c r="C8103" s="362" t="s">
        <v>3435</v>
      </c>
      <c r="D8103" s="562">
        <v>28211429</v>
      </c>
      <c r="E8103" s="562"/>
      <c r="F8103" s="562"/>
      <c r="G8103" s="562">
        <f t="shared" si="496"/>
        <v>28211429</v>
      </c>
      <c r="H8103" s="362"/>
      <c r="I8103" s="362"/>
      <c r="J8103" s="362"/>
    </row>
    <row r="8104" spans="1:10" x14ac:dyDescent="0.25">
      <c r="A8104" s="362"/>
      <c r="B8104" s="611">
        <v>44641</v>
      </c>
      <c r="C8104" s="370" t="s">
        <v>85</v>
      </c>
      <c r="D8104" s="562">
        <v>56019600</v>
      </c>
      <c r="E8104" s="562"/>
      <c r="F8104" s="562"/>
      <c r="G8104" s="562">
        <f t="shared" si="496"/>
        <v>56019600</v>
      </c>
      <c r="H8104" s="362"/>
      <c r="I8104" s="362"/>
      <c r="J8104" s="362"/>
    </row>
    <row r="8105" spans="1:10" x14ac:dyDescent="0.25">
      <c r="A8105" s="532"/>
      <c r="B8105" s="532"/>
      <c r="C8105" s="532"/>
      <c r="D8105" s="564">
        <f>SUM(D8090:D8104)</f>
        <v>3288556629</v>
      </c>
      <c r="E8105" s="564">
        <f t="shared" ref="E8105:G8105" si="497">SUM(E8090:E8104)</f>
        <v>0</v>
      </c>
      <c r="F8105" s="564">
        <f t="shared" si="497"/>
        <v>0</v>
      </c>
      <c r="G8105" s="564">
        <f t="shared" si="497"/>
        <v>3288556629</v>
      </c>
      <c r="H8105" s="532"/>
      <c r="I8105" s="532"/>
      <c r="J8105" s="532"/>
    </row>
    <row r="8106" spans="1:10" x14ac:dyDescent="0.25">
      <c r="A8106" s="362"/>
      <c r="B8106" s="611">
        <v>44642</v>
      </c>
      <c r="C8106" s="362" t="s">
        <v>86</v>
      </c>
      <c r="D8106" s="562">
        <v>256876544</v>
      </c>
      <c r="E8106" s="562"/>
      <c r="F8106" s="562">
        <v>256876500</v>
      </c>
      <c r="G8106" s="562">
        <f t="shared" si="496"/>
        <v>44</v>
      </c>
      <c r="H8106" s="362"/>
      <c r="I8106" s="362"/>
      <c r="J8106" s="362"/>
    </row>
    <row r="8107" spans="1:10" x14ac:dyDescent="0.25">
      <c r="A8107" s="362"/>
      <c r="B8107" s="611">
        <v>44642</v>
      </c>
      <c r="C8107" s="362" t="s">
        <v>87</v>
      </c>
      <c r="D8107" s="562">
        <v>174766933</v>
      </c>
      <c r="E8107" s="562"/>
      <c r="F8107" s="562">
        <v>174767000</v>
      </c>
      <c r="G8107" s="562">
        <f t="shared" si="496"/>
        <v>-67</v>
      </c>
      <c r="H8107" s="362"/>
      <c r="I8107" s="362"/>
      <c r="J8107" s="362"/>
    </row>
    <row r="8108" spans="1:10" x14ac:dyDescent="0.25">
      <c r="A8108" s="362"/>
      <c r="B8108" s="611">
        <v>44642</v>
      </c>
      <c r="C8108" s="362" t="s">
        <v>88</v>
      </c>
      <c r="D8108" s="562">
        <v>225535225</v>
      </c>
      <c r="E8108" s="562"/>
      <c r="F8108" s="562">
        <v>225535300</v>
      </c>
      <c r="G8108" s="562">
        <f t="shared" si="496"/>
        <v>-75</v>
      </c>
      <c r="H8108" s="362"/>
      <c r="I8108" s="362"/>
      <c r="J8108" s="362"/>
    </row>
    <row r="8109" spans="1:10" x14ac:dyDescent="0.25">
      <c r="A8109" s="362"/>
      <c r="B8109" s="611">
        <v>44642</v>
      </c>
      <c r="C8109" s="362" t="s">
        <v>82</v>
      </c>
      <c r="D8109" s="562">
        <v>75874773</v>
      </c>
      <c r="E8109" s="562"/>
      <c r="F8109" s="562">
        <v>75874800</v>
      </c>
      <c r="G8109" s="562">
        <f t="shared" si="496"/>
        <v>-27</v>
      </c>
      <c r="H8109" s="362"/>
      <c r="I8109" s="362"/>
      <c r="J8109" s="362"/>
    </row>
    <row r="8110" spans="1:10" x14ac:dyDescent="0.25">
      <c r="A8110" s="362"/>
      <c r="B8110" s="611">
        <v>44642</v>
      </c>
      <c r="C8110" s="362" t="s">
        <v>80</v>
      </c>
      <c r="D8110" s="562">
        <v>477413500</v>
      </c>
      <c r="E8110" s="562"/>
      <c r="F8110" s="562">
        <v>477413500</v>
      </c>
      <c r="G8110" s="562">
        <f t="shared" si="496"/>
        <v>0</v>
      </c>
      <c r="H8110" s="362"/>
      <c r="I8110" s="362"/>
      <c r="J8110" s="362"/>
    </row>
    <row r="8111" spans="1:10" x14ac:dyDescent="0.25">
      <c r="A8111" s="362"/>
      <c r="B8111" s="611">
        <v>44642</v>
      </c>
      <c r="C8111" s="362" t="s">
        <v>83</v>
      </c>
      <c r="D8111" s="562">
        <v>224265500</v>
      </c>
      <c r="E8111" s="562"/>
      <c r="F8111" s="562">
        <v>224265500</v>
      </c>
      <c r="G8111" s="562">
        <f t="shared" si="496"/>
        <v>0</v>
      </c>
      <c r="H8111" s="362"/>
      <c r="I8111" s="362"/>
      <c r="J8111" s="362"/>
    </row>
    <row r="8112" spans="1:10" x14ac:dyDescent="0.25">
      <c r="A8112" s="362"/>
      <c r="B8112" s="611">
        <v>44642</v>
      </c>
      <c r="C8112" s="362" t="s">
        <v>78</v>
      </c>
      <c r="D8112" s="562">
        <v>194446500</v>
      </c>
      <c r="E8112" s="562"/>
      <c r="F8112" s="562">
        <v>194446500</v>
      </c>
      <c r="G8112" s="562">
        <f t="shared" si="496"/>
        <v>0</v>
      </c>
      <c r="H8112" s="362"/>
      <c r="I8112" s="362"/>
      <c r="J8112" s="362"/>
    </row>
    <row r="8113" spans="1:10" x14ac:dyDescent="0.25">
      <c r="A8113" s="362"/>
      <c r="B8113" s="611">
        <v>44642</v>
      </c>
      <c r="C8113" s="362" t="s">
        <v>141</v>
      </c>
      <c r="D8113" s="562">
        <v>126038190</v>
      </c>
      <c r="E8113" s="562"/>
      <c r="F8113" s="562">
        <v>126038200</v>
      </c>
      <c r="G8113" s="562">
        <f t="shared" si="496"/>
        <v>-10</v>
      </c>
      <c r="H8113" s="362"/>
      <c r="I8113" s="362"/>
      <c r="J8113" s="362"/>
    </row>
    <row r="8114" spans="1:10" x14ac:dyDescent="0.25">
      <c r="A8114" s="362"/>
      <c r="B8114" s="611">
        <v>44642</v>
      </c>
      <c r="C8114" s="362" t="s">
        <v>89</v>
      </c>
      <c r="D8114" s="562">
        <v>199435300</v>
      </c>
      <c r="E8114" s="562"/>
      <c r="F8114" s="562">
        <v>199435200</v>
      </c>
      <c r="G8114" s="562">
        <f t="shared" si="496"/>
        <v>100</v>
      </c>
      <c r="H8114" s="362"/>
      <c r="I8114" s="362"/>
      <c r="J8114" s="362"/>
    </row>
    <row r="8115" spans="1:10" x14ac:dyDescent="0.25">
      <c r="A8115" s="362"/>
      <c r="B8115" s="611">
        <v>44642</v>
      </c>
      <c r="C8115" s="362" t="s">
        <v>81</v>
      </c>
      <c r="D8115" s="562">
        <v>232503800</v>
      </c>
      <c r="E8115" s="562"/>
      <c r="F8115" s="562">
        <v>232503800</v>
      </c>
      <c r="G8115" s="562">
        <f t="shared" si="496"/>
        <v>0</v>
      </c>
      <c r="H8115" s="362"/>
      <c r="I8115" s="362"/>
      <c r="J8115" s="362"/>
    </row>
    <row r="8116" spans="1:10" x14ac:dyDescent="0.25">
      <c r="A8116" s="362"/>
      <c r="B8116" s="611">
        <v>44642</v>
      </c>
      <c r="C8116" s="362" t="s">
        <v>84</v>
      </c>
      <c r="D8116" s="562">
        <v>354689767</v>
      </c>
      <c r="E8116" s="562"/>
      <c r="F8116" s="562">
        <v>354688900</v>
      </c>
      <c r="G8116" s="562">
        <f t="shared" si="496"/>
        <v>867</v>
      </c>
      <c r="H8116" s="362"/>
      <c r="I8116" s="362"/>
      <c r="J8116" s="362"/>
    </row>
    <row r="8117" spans="1:10" x14ac:dyDescent="0.25">
      <c r="A8117" s="362"/>
      <c r="B8117" s="611">
        <v>44642</v>
      </c>
      <c r="C8117" s="362" t="s">
        <v>4751</v>
      </c>
      <c r="D8117" s="562">
        <v>255431400</v>
      </c>
      <c r="E8117" s="562"/>
      <c r="F8117" s="562">
        <v>255431400</v>
      </c>
      <c r="G8117" s="562">
        <f t="shared" si="496"/>
        <v>0</v>
      </c>
      <c r="H8117" s="362"/>
      <c r="I8117" s="362"/>
      <c r="J8117" s="362"/>
    </row>
    <row r="8118" spans="1:10" x14ac:dyDescent="0.25">
      <c r="A8118" s="362"/>
      <c r="B8118" s="611">
        <v>44642</v>
      </c>
      <c r="C8118" s="362" t="s">
        <v>166</v>
      </c>
      <c r="D8118" s="562">
        <v>81873016</v>
      </c>
      <c r="E8118" s="562"/>
      <c r="F8118" s="562">
        <v>81873000</v>
      </c>
      <c r="G8118" s="562">
        <f t="shared" si="496"/>
        <v>16</v>
      </c>
      <c r="H8118" s="362"/>
      <c r="I8118" s="362"/>
      <c r="J8118" s="362"/>
    </row>
    <row r="8119" spans="1:10" x14ac:dyDescent="0.25">
      <c r="A8119" s="362"/>
      <c r="B8119" s="611">
        <v>44642</v>
      </c>
      <c r="C8119" s="362" t="s">
        <v>3435</v>
      </c>
      <c r="D8119" s="562">
        <v>17159250</v>
      </c>
      <c r="E8119" s="562"/>
      <c r="F8119" s="562">
        <v>17159300</v>
      </c>
      <c r="G8119" s="562">
        <f t="shared" si="496"/>
        <v>-50</v>
      </c>
      <c r="H8119" s="362"/>
      <c r="I8119" s="362"/>
      <c r="J8119" s="362"/>
    </row>
    <row r="8120" spans="1:10" x14ac:dyDescent="0.25">
      <c r="A8120" s="362"/>
      <c r="B8120" s="611">
        <v>44642</v>
      </c>
      <c r="C8120" s="370" t="s">
        <v>85</v>
      </c>
      <c r="D8120" s="562">
        <v>44879300</v>
      </c>
      <c r="E8120" s="562"/>
      <c r="F8120" s="562">
        <v>44879300</v>
      </c>
      <c r="G8120" s="562">
        <f t="shared" si="496"/>
        <v>0</v>
      </c>
      <c r="H8120" s="362"/>
      <c r="I8120" s="362"/>
      <c r="J8120" s="362"/>
    </row>
    <row r="8121" spans="1:10" x14ac:dyDescent="0.25">
      <c r="A8121" s="532"/>
      <c r="B8121" s="532"/>
      <c r="C8121" s="532"/>
      <c r="D8121" s="564">
        <f>SUM(D8106:D8120)</f>
        <v>2941188998</v>
      </c>
      <c r="E8121" s="564">
        <f t="shared" ref="E8121:G8121" si="498">SUM(E8106:E8120)</f>
        <v>0</v>
      </c>
      <c r="F8121" s="564">
        <f t="shared" si="498"/>
        <v>2941188200</v>
      </c>
      <c r="G8121" s="564">
        <f t="shared" si="498"/>
        <v>798</v>
      </c>
      <c r="H8121" s="532"/>
      <c r="I8121" s="532"/>
      <c r="J8121" s="532"/>
    </row>
    <row r="8122" spans="1:10" x14ac:dyDescent="0.25">
      <c r="A8122" s="362"/>
      <c r="B8122" s="611">
        <v>44643</v>
      </c>
      <c r="C8122" s="362" t="s">
        <v>86</v>
      </c>
      <c r="D8122" s="562">
        <v>147549564</v>
      </c>
      <c r="E8122" s="562"/>
      <c r="F8122" s="562"/>
      <c r="G8122" s="562">
        <f t="shared" si="496"/>
        <v>147549564</v>
      </c>
      <c r="H8122" s="362"/>
      <c r="I8122" s="362"/>
      <c r="J8122" s="362"/>
    </row>
    <row r="8123" spans="1:10" x14ac:dyDescent="0.25">
      <c r="A8123" s="362"/>
      <c r="B8123" s="611">
        <v>44643</v>
      </c>
      <c r="C8123" s="362" t="s">
        <v>87</v>
      </c>
      <c r="D8123" s="562">
        <v>142639897</v>
      </c>
      <c r="E8123" s="562"/>
      <c r="F8123" s="562"/>
      <c r="G8123" s="562">
        <f t="shared" si="496"/>
        <v>142639897</v>
      </c>
      <c r="H8123" s="362"/>
      <c r="I8123" s="362"/>
      <c r="J8123" s="362"/>
    </row>
    <row r="8124" spans="1:10" x14ac:dyDescent="0.25">
      <c r="A8124" s="362"/>
      <c r="B8124" s="611">
        <v>44643</v>
      </c>
      <c r="C8124" s="362" t="s">
        <v>88</v>
      </c>
      <c r="D8124" s="562">
        <v>240190190</v>
      </c>
      <c r="E8124" s="562"/>
      <c r="F8124" s="562"/>
      <c r="G8124" s="562">
        <f t="shared" si="496"/>
        <v>240190190</v>
      </c>
      <c r="H8124" s="362"/>
      <c r="I8124" s="362"/>
      <c r="J8124" s="362"/>
    </row>
    <row r="8125" spans="1:10" x14ac:dyDescent="0.25">
      <c r="A8125" s="362"/>
      <c r="B8125" s="611">
        <v>44643</v>
      </c>
      <c r="C8125" s="362" t="s">
        <v>82</v>
      </c>
      <c r="D8125" s="562">
        <v>137760881</v>
      </c>
      <c r="E8125" s="562"/>
      <c r="F8125" s="562"/>
      <c r="G8125" s="562">
        <f t="shared" si="496"/>
        <v>137760881</v>
      </c>
      <c r="H8125" s="362"/>
      <c r="I8125" s="362"/>
      <c r="J8125" s="362"/>
    </row>
    <row r="8126" spans="1:10" x14ac:dyDescent="0.25">
      <c r="A8126" s="362"/>
      <c r="B8126" s="611">
        <v>44643</v>
      </c>
      <c r="C8126" s="362" t="s">
        <v>80</v>
      </c>
      <c r="D8126" s="562">
        <v>334433879</v>
      </c>
      <c r="E8126" s="562"/>
      <c r="F8126" s="562"/>
      <c r="G8126" s="562">
        <f t="shared" si="496"/>
        <v>334433879</v>
      </c>
      <c r="H8126" s="362"/>
      <c r="I8126" s="362"/>
      <c r="J8126" s="362"/>
    </row>
    <row r="8127" spans="1:10" x14ac:dyDescent="0.25">
      <c r="A8127" s="362"/>
      <c r="B8127" s="611">
        <v>44643</v>
      </c>
      <c r="C8127" s="362" t="s">
        <v>83</v>
      </c>
      <c r="D8127" s="562">
        <v>213355093</v>
      </c>
      <c r="E8127" s="562"/>
      <c r="F8127" s="562"/>
      <c r="G8127" s="562">
        <f t="shared" si="496"/>
        <v>213355093</v>
      </c>
      <c r="H8127" s="362"/>
      <c r="I8127" s="362"/>
      <c r="J8127" s="362"/>
    </row>
    <row r="8128" spans="1:10" x14ac:dyDescent="0.25">
      <c r="A8128" s="362"/>
      <c r="B8128" s="611">
        <v>44643</v>
      </c>
      <c r="C8128" s="362" t="s">
        <v>78</v>
      </c>
      <c r="D8128" s="562">
        <v>219760721</v>
      </c>
      <c r="E8128" s="562"/>
      <c r="F8128" s="562"/>
      <c r="G8128" s="562">
        <f t="shared" si="496"/>
        <v>219760721</v>
      </c>
      <c r="H8128" s="362"/>
      <c r="I8128" s="362"/>
      <c r="J8128" s="362"/>
    </row>
    <row r="8129" spans="1:10" x14ac:dyDescent="0.25">
      <c r="A8129" s="362"/>
      <c r="B8129" s="611">
        <v>44643</v>
      </c>
      <c r="C8129" s="362" t="s">
        <v>141</v>
      </c>
      <c r="D8129" s="562">
        <v>92221810</v>
      </c>
      <c r="E8129" s="562"/>
      <c r="F8129" s="562"/>
      <c r="G8129" s="562">
        <f t="shared" si="496"/>
        <v>92221810</v>
      </c>
      <c r="H8129" s="362"/>
      <c r="I8129" s="362"/>
      <c r="J8129" s="362"/>
    </row>
    <row r="8130" spans="1:10" x14ac:dyDescent="0.25">
      <c r="A8130" s="362"/>
      <c r="B8130" s="611">
        <v>44643</v>
      </c>
      <c r="C8130" s="362" t="s">
        <v>89</v>
      </c>
      <c r="D8130" s="562">
        <v>217855800</v>
      </c>
      <c r="E8130" s="562"/>
      <c r="F8130" s="562"/>
      <c r="G8130" s="562">
        <f t="shared" si="496"/>
        <v>217855800</v>
      </c>
      <c r="H8130" s="362"/>
      <c r="I8130" s="362"/>
      <c r="J8130" s="362"/>
    </row>
    <row r="8131" spans="1:10" x14ac:dyDescent="0.25">
      <c r="A8131" s="362"/>
      <c r="B8131" s="611">
        <v>44643</v>
      </c>
      <c r="C8131" s="362" t="s">
        <v>81</v>
      </c>
      <c r="D8131" s="562">
        <v>277498146</v>
      </c>
      <c r="E8131" s="562"/>
      <c r="F8131" s="562"/>
      <c r="G8131" s="562">
        <f t="shared" si="496"/>
        <v>277498146</v>
      </c>
      <c r="H8131" s="362"/>
      <c r="I8131" s="362"/>
      <c r="J8131" s="362"/>
    </row>
    <row r="8132" spans="1:10" x14ac:dyDescent="0.25">
      <c r="A8132" s="362"/>
      <c r="B8132" s="611">
        <v>44643</v>
      </c>
      <c r="C8132" s="362" t="s">
        <v>84</v>
      </c>
      <c r="D8132" s="562">
        <v>521025143</v>
      </c>
      <c r="E8132" s="562"/>
      <c r="F8132" s="562"/>
      <c r="G8132" s="562">
        <f t="shared" si="496"/>
        <v>521025143</v>
      </c>
      <c r="H8132" s="362"/>
      <c r="I8132" s="362"/>
      <c r="J8132" s="362"/>
    </row>
    <row r="8133" spans="1:10" x14ac:dyDescent="0.25">
      <c r="A8133" s="362"/>
      <c r="B8133" s="611">
        <v>44643</v>
      </c>
      <c r="C8133" s="362" t="s">
        <v>4751</v>
      </c>
      <c r="D8133" s="562">
        <v>289700200</v>
      </c>
      <c r="E8133" s="562"/>
      <c r="F8133" s="562"/>
      <c r="G8133" s="562">
        <f t="shared" si="496"/>
        <v>289700200</v>
      </c>
      <c r="H8133" s="362"/>
      <c r="I8133" s="362"/>
      <c r="J8133" s="362"/>
    </row>
    <row r="8134" spans="1:10" x14ac:dyDescent="0.25">
      <c r="A8134" s="362"/>
      <c r="B8134" s="611">
        <v>44643</v>
      </c>
      <c r="C8134" s="362" t="s">
        <v>166</v>
      </c>
      <c r="D8134" s="562">
        <v>31047551</v>
      </c>
      <c r="E8134" s="562"/>
      <c r="F8134" s="562"/>
      <c r="G8134" s="562">
        <f t="shared" si="496"/>
        <v>31047551</v>
      </c>
      <c r="H8134" s="362"/>
      <c r="I8134" s="362"/>
      <c r="J8134" s="362"/>
    </row>
    <row r="8135" spans="1:10" x14ac:dyDescent="0.25">
      <c r="A8135" s="362"/>
      <c r="B8135" s="611">
        <v>44643</v>
      </c>
      <c r="C8135" s="362" t="s">
        <v>3435</v>
      </c>
      <c r="D8135" s="562">
        <v>52253571</v>
      </c>
      <c r="E8135" s="562"/>
      <c r="F8135" s="562"/>
      <c r="G8135" s="562">
        <f t="shared" si="496"/>
        <v>52253571</v>
      </c>
      <c r="H8135" s="362"/>
      <c r="I8135" s="362"/>
      <c r="J8135" s="362"/>
    </row>
    <row r="8136" spans="1:10" x14ac:dyDescent="0.25">
      <c r="A8136" s="362"/>
      <c r="B8136" s="611">
        <v>44643</v>
      </c>
      <c r="C8136" s="370" t="s">
        <v>85</v>
      </c>
      <c r="D8136" s="562">
        <v>52470800</v>
      </c>
      <c r="E8136" s="562"/>
      <c r="F8136" s="562"/>
      <c r="G8136" s="562">
        <f t="shared" si="496"/>
        <v>52470800</v>
      </c>
      <c r="H8136" s="362"/>
      <c r="I8136" s="362"/>
      <c r="J8136" s="362"/>
    </row>
    <row r="8137" spans="1:10" x14ac:dyDescent="0.25">
      <c r="A8137" s="532"/>
      <c r="B8137" s="532"/>
      <c r="C8137" s="532"/>
      <c r="D8137" s="564">
        <f>SUM(D8122:D8136)</f>
        <v>2969763246</v>
      </c>
      <c r="E8137" s="564">
        <f t="shared" ref="E8137:G8137" si="499">SUM(E8122:E8136)</f>
        <v>0</v>
      </c>
      <c r="F8137" s="564">
        <f t="shared" si="499"/>
        <v>0</v>
      </c>
      <c r="G8137" s="564">
        <f t="shared" si="499"/>
        <v>2969763246</v>
      </c>
      <c r="H8137" s="532"/>
      <c r="I8137" s="532"/>
      <c r="J8137" s="532"/>
    </row>
    <row r="8138" spans="1:10" x14ac:dyDescent="0.25">
      <c r="A8138" s="362"/>
      <c r="B8138" s="611">
        <v>44644</v>
      </c>
      <c r="C8138" s="362" t="s">
        <v>86</v>
      </c>
      <c r="D8138" s="562">
        <v>147431266</v>
      </c>
      <c r="E8138" s="562"/>
      <c r="F8138" s="562">
        <v>147431500</v>
      </c>
      <c r="G8138" s="562">
        <f t="shared" si="496"/>
        <v>-234</v>
      </c>
      <c r="H8138" s="362"/>
      <c r="I8138" s="362"/>
      <c r="J8138" s="362"/>
    </row>
    <row r="8139" spans="1:10" x14ac:dyDescent="0.25">
      <c r="A8139" s="362"/>
      <c r="B8139" s="611">
        <v>44644</v>
      </c>
      <c r="C8139" s="362" t="s">
        <v>87</v>
      </c>
      <c r="D8139" s="562">
        <v>246395992</v>
      </c>
      <c r="E8139" s="562"/>
      <c r="F8139" s="562">
        <v>246395500</v>
      </c>
      <c r="G8139" s="562">
        <f t="shared" si="496"/>
        <v>492</v>
      </c>
      <c r="H8139" s="362"/>
      <c r="I8139" s="362"/>
      <c r="J8139" s="362"/>
    </row>
    <row r="8140" spans="1:10" x14ac:dyDescent="0.25">
      <c r="A8140" s="362"/>
      <c r="B8140" s="611">
        <v>44644</v>
      </c>
      <c r="C8140" s="362" t="s">
        <v>88</v>
      </c>
      <c r="D8140" s="562">
        <v>181901837</v>
      </c>
      <c r="E8140" s="562"/>
      <c r="F8140" s="562">
        <v>181901900</v>
      </c>
      <c r="G8140" s="562">
        <f t="shared" si="496"/>
        <v>-63</v>
      </c>
      <c r="H8140" s="362"/>
      <c r="I8140" s="362"/>
      <c r="J8140" s="362"/>
    </row>
    <row r="8141" spans="1:10" x14ac:dyDescent="0.25">
      <c r="A8141" s="362"/>
      <c r="B8141" s="611">
        <v>44644</v>
      </c>
      <c r="C8141" s="362" t="s">
        <v>82</v>
      </c>
      <c r="D8141" s="562">
        <v>107313947</v>
      </c>
      <c r="E8141" s="562"/>
      <c r="F8141" s="562">
        <v>107314100</v>
      </c>
      <c r="G8141" s="562">
        <f t="shared" si="496"/>
        <v>-153</v>
      </c>
      <c r="H8141" s="362"/>
      <c r="I8141" s="362"/>
      <c r="J8141" s="362"/>
    </row>
    <row r="8142" spans="1:10" x14ac:dyDescent="0.25">
      <c r="A8142" s="362"/>
      <c r="B8142" s="611">
        <v>44644</v>
      </c>
      <c r="C8142" s="362" t="s">
        <v>80</v>
      </c>
      <c r="D8142" s="562">
        <v>281265400</v>
      </c>
      <c r="E8142" s="562"/>
      <c r="F8142" s="562">
        <v>281265400</v>
      </c>
      <c r="G8142" s="562">
        <f t="shared" si="496"/>
        <v>0</v>
      </c>
      <c r="H8142" s="362"/>
      <c r="I8142" s="362"/>
      <c r="J8142" s="362"/>
    </row>
    <row r="8143" spans="1:10" x14ac:dyDescent="0.25">
      <c r="A8143" s="362"/>
      <c r="B8143" s="611">
        <v>44644</v>
      </c>
      <c r="C8143" s="362" t="s">
        <v>83</v>
      </c>
      <c r="D8143" s="562">
        <v>193315700</v>
      </c>
      <c r="E8143" s="562"/>
      <c r="F8143" s="562">
        <v>193315700</v>
      </c>
      <c r="G8143" s="562">
        <f t="shared" si="496"/>
        <v>0</v>
      </c>
      <c r="H8143" s="362"/>
      <c r="I8143" s="362"/>
      <c r="J8143" s="362"/>
    </row>
    <row r="8144" spans="1:10" x14ac:dyDescent="0.25">
      <c r="A8144" s="362"/>
      <c r="B8144" s="611">
        <v>44644</v>
      </c>
      <c r="C8144" s="362" t="s">
        <v>78</v>
      </c>
      <c r="D8144" s="562">
        <v>203356356</v>
      </c>
      <c r="E8144" s="562"/>
      <c r="F8144" s="562">
        <v>203356400</v>
      </c>
      <c r="G8144" s="562">
        <f t="shared" si="496"/>
        <v>-44</v>
      </c>
      <c r="H8144" s="362"/>
      <c r="I8144" s="362"/>
      <c r="J8144" s="362"/>
    </row>
    <row r="8145" spans="1:10" x14ac:dyDescent="0.25">
      <c r="A8145" s="362"/>
      <c r="B8145" s="611">
        <v>44644</v>
      </c>
      <c r="C8145" s="362" t="s">
        <v>141</v>
      </c>
      <c r="D8145" s="562">
        <v>143670504</v>
      </c>
      <c r="E8145" s="562"/>
      <c r="F8145" s="562">
        <v>143670600</v>
      </c>
      <c r="G8145" s="562">
        <f t="shared" si="496"/>
        <v>-96</v>
      </c>
      <c r="H8145" s="362"/>
      <c r="I8145" s="362"/>
      <c r="J8145" s="362"/>
    </row>
    <row r="8146" spans="1:10" x14ac:dyDescent="0.25">
      <c r="A8146" s="362"/>
      <c r="B8146" s="611">
        <v>44644</v>
      </c>
      <c r="C8146" s="362" t="s">
        <v>89</v>
      </c>
      <c r="D8146" s="562">
        <v>182849600</v>
      </c>
      <c r="E8146" s="562"/>
      <c r="F8146" s="562">
        <v>182849700</v>
      </c>
      <c r="G8146" s="562">
        <f t="shared" si="496"/>
        <v>-100</v>
      </c>
      <c r="H8146" s="362"/>
      <c r="I8146" s="362"/>
      <c r="J8146" s="362"/>
    </row>
    <row r="8147" spans="1:10" x14ac:dyDescent="0.25">
      <c r="A8147" s="362"/>
      <c r="B8147" s="611">
        <v>44644</v>
      </c>
      <c r="C8147" s="362" t="s">
        <v>81</v>
      </c>
      <c r="D8147" s="562">
        <v>183188704</v>
      </c>
      <c r="E8147" s="562"/>
      <c r="F8147" s="562">
        <v>183188700</v>
      </c>
      <c r="G8147" s="562">
        <f t="shared" si="496"/>
        <v>4</v>
      </c>
      <c r="H8147" s="362"/>
      <c r="I8147" s="362"/>
      <c r="J8147" s="362"/>
    </row>
    <row r="8148" spans="1:10" x14ac:dyDescent="0.25">
      <c r="A8148" s="362"/>
      <c r="B8148" s="611">
        <v>44644</v>
      </c>
      <c r="C8148" s="362" t="s">
        <v>84</v>
      </c>
      <c r="D8148" s="562">
        <v>387979043</v>
      </c>
      <c r="E8148" s="562"/>
      <c r="F8148" s="562">
        <v>387978600</v>
      </c>
      <c r="G8148" s="562">
        <f t="shared" si="496"/>
        <v>443</v>
      </c>
      <c r="H8148" s="362"/>
      <c r="I8148" s="362"/>
      <c r="J8148" s="362"/>
    </row>
    <row r="8149" spans="1:10" x14ac:dyDescent="0.25">
      <c r="A8149" s="362"/>
      <c r="B8149" s="611">
        <v>44644</v>
      </c>
      <c r="C8149" s="362" t="s">
        <v>4751</v>
      </c>
      <c r="D8149" s="562">
        <v>381849600</v>
      </c>
      <c r="E8149" s="562"/>
      <c r="F8149" s="562">
        <v>381849600</v>
      </c>
      <c r="G8149" s="562">
        <f t="shared" si="496"/>
        <v>0</v>
      </c>
      <c r="H8149" s="362"/>
      <c r="I8149" s="362"/>
      <c r="J8149" s="362"/>
    </row>
    <row r="8150" spans="1:10" x14ac:dyDescent="0.25">
      <c r="A8150" s="362"/>
      <c r="B8150" s="611">
        <v>44644</v>
      </c>
      <c r="C8150" s="362" t="s">
        <v>166</v>
      </c>
      <c r="D8150" s="562">
        <v>141485823</v>
      </c>
      <c r="E8150" s="562"/>
      <c r="F8150" s="562">
        <v>141485900</v>
      </c>
      <c r="G8150" s="562">
        <f t="shared" si="496"/>
        <v>-77</v>
      </c>
      <c r="H8150" s="362"/>
      <c r="I8150" s="362"/>
      <c r="J8150" s="362"/>
    </row>
    <row r="8151" spans="1:10" x14ac:dyDescent="0.25">
      <c r="A8151" s="362"/>
      <c r="B8151" s="611">
        <v>44644</v>
      </c>
      <c r="C8151" s="362" t="s">
        <v>3435</v>
      </c>
      <c r="D8151" s="562">
        <v>62107613</v>
      </c>
      <c r="E8151" s="562"/>
      <c r="F8151" s="562">
        <v>62107700</v>
      </c>
      <c r="G8151" s="562">
        <f t="shared" si="496"/>
        <v>-87</v>
      </c>
      <c r="H8151" s="362"/>
      <c r="I8151" s="362"/>
      <c r="J8151" s="362"/>
    </row>
    <row r="8152" spans="1:10" x14ac:dyDescent="0.25">
      <c r="A8152" s="362"/>
      <c r="B8152" s="611">
        <v>44644</v>
      </c>
      <c r="C8152" s="370" t="s">
        <v>85</v>
      </c>
      <c r="D8152" s="562">
        <v>35327200</v>
      </c>
      <c r="E8152" s="562"/>
      <c r="F8152" s="562">
        <v>35327200</v>
      </c>
      <c r="G8152" s="562">
        <f t="shared" si="496"/>
        <v>0</v>
      </c>
      <c r="H8152" s="362"/>
      <c r="I8152" s="362"/>
      <c r="J8152" s="362"/>
    </row>
    <row r="8153" spans="1:10" x14ac:dyDescent="0.25">
      <c r="A8153" s="532"/>
      <c r="B8153" s="532"/>
      <c r="C8153" s="532"/>
      <c r="D8153" s="564">
        <f>SUM(D8138:D8152)</f>
        <v>2879438585</v>
      </c>
      <c r="E8153" s="564">
        <f t="shared" ref="E8153:G8153" si="500">SUM(E8138:E8152)</f>
        <v>0</v>
      </c>
      <c r="F8153" s="564">
        <f t="shared" si="500"/>
        <v>2879438500</v>
      </c>
      <c r="G8153" s="564">
        <f t="shared" si="500"/>
        <v>85</v>
      </c>
      <c r="H8153" s="532"/>
      <c r="I8153" s="532"/>
      <c r="J8153" s="532"/>
    </row>
    <row r="8154" spans="1:10" x14ac:dyDescent="0.25">
      <c r="A8154" s="362"/>
      <c r="B8154" s="611">
        <v>44645</v>
      </c>
      <c r="C8154" s="362" t="s">
        <v>86</v>
      </c>
      <c r="D8154" s="562">
        <v>160725860</v>
      </c>
      <c r="E8154" s="562"/>
      <c r="F8154" s="562">
        <v>160725700</v>
      </c>
      <c r="G8154" s="562">
        <f t="shared" si="496"/>
        <v>160</v>
      </c>
      <c r="H8154" s="362"/>
      <c r="I8154" s="362"/>
      <c r="J8154" s="362"/>
    </row>
    <row r="8155" spans="1:10" x14ac:dyDescent="0.25">
      <c r="A8155" s="362"/>
      <c r="B8155" s="611">
        <v>44645</v>
      </c>
      <c r="C8155" s="362" t="s">
        <v>87</v>
      </c>
      <c r="D8155" s="562">
        <v>219253854</v>
      </c>
      <c r="E8155" s="562"/>
      <c r="F8155" s="562">
        <v>219253800</v>
      </c>
      <c r="G8155" s="562">
        <f t="shared" si="496"/>
        <v>54</v>
      </c>
      <c r="H8155" s="362"/>
      <c r="I8155" s="362"/>
      <c r="J8155" s="362"/>
    </row>
    <row r="8156" spans="1:10" x14ac:dyDescent="0.25">
      <c r="A8156" s="362"/>
      <c r="B8156" s="611">
        <v>44645</v>
      </c>
      <c r="C8156" s="362" t="s">
        <v>88</v>
      </c>
      <c r="D8156" s="562">
        <v>149466167</v>
      </c>
      <c r="E8156" s="562"/>
      <c r="F8156" s="562">
        <v>149466200</v>
      </c>
      <c r="G8156" s="562">
        <f t="shared" ref="G8156:G8219" si="501">D8156+E8156-F8156</f>
        <v>-33</v>
      </c>
      <c r="H8156" s="362"/>
      <c r="I8156" s="362"/>
      <c r="J8156" s="362"/>
    </row>
    <row r="8157" spans="1:10" x14ac:dyDescent="0.25">
      <c r="A8157" s="362"/>
      <c r="B8157" s="611">
        <v>44645</v>
      </c>
      <c r="C8157" s="362" t="s">
        <v>82</v>
      </c>
      <c r="D8157" s="562">
        <v>139078573</v>
      </c>
      <c r="E8157" s="562"/>
      <c r="F8157" s="562">
        <v>139078600</v>
      </c>
      <c r="G8157" s="562">
        <f t="shared" si="501"/>
        <v>-27</v>
      </c>
      <c r="H8157" s="362"/>
      <c r="I8157" s="362"/>
      <c r="J8157" s="362"/>
    </row>
    <row r="8158" spans="1:10" x14ac:dyDescent="0.25">
      <c r="A8158" s="362"/>
      <c r="B8158" s="611">
        <v>44645</v>
      </c>
      <c r="C8158" s="362" t="s">
        <v>80</v>
      </c>
      <c r="D8158" s="562">
        <v>449915100</v>
      </c>
      <c r="E8158" s="562"/>
      <c r="F8158" s="562">
        <v>449915100</v>
      </c>
      <c r="G8158" s="562">
        <f t="shared" si="501"/>
        <v>0</v>
      </c>
      <c r="H8158" s="362"/>
      <c r="I8158" s="362"/>
      <c r="J8158" s="362"/>
    </row>
    <row r="8159" spans="1:10" x14ac:dyDescent="0.25">
      <c r="A8159" s="362"/>
      <c r="B8159" s="611">
        <v>44645</v>
      </c>
      <c r="C8159" s="362" t="s">
        <v>83</v>
      </c>
      <c r="D8159" s="562">
        <v>224110800</v>
      </c>
      <c r="E8159" s="562"/>
      <c r="F8159" s="562">
        <v>224110800</v>
      </c>
      <c r="G8159" s="562">
        <f t="shared" si="501"/>
        <v>0</v>
      </c>
      <c r="H8159" s="362"/>
      <c r="I8159" s="362"/>
      <c r="J8159" s="362"/>
    </row>
    <row r="8160" spans="1:10" x14ac:dyDescent="0.25">
      <c r="A8160" s="362"/>
      <c r="B8160" s="611">
        <v>44645</v>
      </c>
      <c r="C8160" s="362" t="s">
        <v>78</v>
      </c>
      <c r="D8160" s="562">
        <v>164600867</v>
      </c>
      <c r="E8160" s="562"/>
      <c r="F8160" s="562">
        <v>164600900</v>
      </c>
      <c r="G8160" s="562">
        <f t="shared" si="501"/>
        <v>-33</v>
      </c>
      <c r="H8160" s="362"/>
      <c r="I8160" s="362"/>
      <c r="J8160" s="362"/>
    </row>
    <row r="8161" spans="1:10" x14ac:dyDescent="0.25">
      <c r="A8161" s="362"/>
      <c r="B8161" s="611">
        <v>44645</v>
      </c>
      <c r="C8161" s="362" t="s">
        <v>141</v>
      </c>
      <c r="D8161" s="562">
        <v>78878166</v>
      </c>
      <c r="E8161" s="562"/>
      <c r="F8161" s="562">
        <v>78778200</v>
      </c>
      <c r="G8161" s="562">
        <f t="shared" si="501"/>
        <v>99966</v>
      </c>
      <c r="H8161" s="362"/>
      <c r="I8161" s="362"/>
      <c r="J8161" s="362"/>
    </row>
    <row r="8162" spans="1:10" x14ac:dyDescent="0.25">
      <c r="A8162" s="362"/>
      <c r="B8162" s="611">
        <v>44645</v>
      </c>
      <c r="C8162" s="362" t="s">
        <v>89</v>
      </c>
      <c r="D8162" s="562">
        <v>210544500</v>
      </c>
      <c r="E8162" s="562"/>
      <c r="F8162" s="562">
        <v>210544100</v>
      </c>
      <c r="G8162" s="562">
        <f t="shared" si="501"/>
        <v>400</v>
      </c>
      <c r="H8162" s="362"/>
      <c r="I8162" s="362"/>
      <c r="J8162" s="362"/>
    </row>
    <row r="8163" spans="1:10" x14ac:dyDescent="0.25">
      <c r="A8163" s="362"/>
      <c r="B8163" s="611">
        <v>44645</v>
      </c>
      <c r="C8163" s="362" t="s">
        <v>81</v>
      </c>
      <c r="D8163" s="562">
        <v>102149202</v>
      </c>
      <c r="E8163" s="562"/>
      <c r="F8163" s="562">
        <v>102149200</v>
      </c>
      <c r="G8163" s="562">
        <f t="shared" si="501"/>
        <v>2</v>
      </c>
      <c r="H8163" s="362"/>
      <c r="I8163" s="362"/>
      <c r="J8163" s="362"/>
    </row>
    <row r="8164" spans="1:10" x14ac:dyDescent="0.25">
      <c r="A8164" s="362"/>
      <c r="B8164" s="611">
        <v>44645</v>
      </c>
      <c r="C8164" s="362" t="s">
        <v>84</v>
      </c>
      <c r="D8164" s="562">
        <v>415231276</v>
      </c>
      <c r="E8164" s="562"/>
      <c r="F8164" s="562">
        <v>415231300</v>
      </c>
      <c r="G8164" s="562">
        <f t="shared" si="501"/>
        <v>-24</v>
      </c>
      <c r="H8164" s="362"/>
      <c r="I8164" s="362"/>
      <c r="J8164" s="362"/>
    </row>
    <row r="8165" spans="1:10" x14ac:dyDescent="0.25">
      <c r="A8165" s="362"/>
      <c r="B8165" s="611">
        <v>44645</v>
      </c>
      <c r="C8165" s="362" t="s">
        <v>4751</v>
      </c>
      <c r="D8165" s="562">
        <v>310311300</v>
      </c>
      <c r="E8165" s="562"/>
      <c r="F8165" s="562">
        <v>310311300</v>
      </c>
      <c r="G8165" s="562">
        <f t="shared" si="501"/>
        <v>0</v>
      </c>
      <c r="H8165" s="362"/>
      <c r="I8165" s="362"/>
      <c r="J8165" s="362"/>
    </row>
    <row r="8166" spans="1:10" x14ac:dyDescent="0.25">
      <c r="A8166" s="362"/>
      <c r="B8166" s="611">
        <v>44645</v>
      </c>
      <c r="C8166" s="362" t="s">
        <v>166</v>
      </c>
      <c r="D8166" s="562">
        <v>85422642</v>
      </c>
      <c r="E8166" s="562"/>
      <c r="F8166" s="562">
        <v>85422700</v>
      </c>
      <c r="G8166" s="562">
        <f t="shared" si="501"/>
        <v>-58</v>
      </c>
      <c r="H8166" s="362"/>
      <c r="I8166" s="362"/>
      <c r="J8166" s="362"/>
    </row>
    <row r="8167" spans="1:10" x14ac:dyDescent="0.25">
      <c r="A8167" s="362"/>
      <c r="B8167" s="611">
        <v>44645</v>
      </c>
      <c r="C8167" s="362" t="s">
        <v>3435</v>
      </c>
      <c r="D8167" s="562">
        <v>35291239</v>
      </c>
      <c r="E8167" s="562"/>
      <c r="F8167" s="562">
        <v>35291300</v>
      </c>
      <c r="G8167" s="562">
        <f t="shared" si="501"/>
        <v>-61</v>
      </c>
      <c r="H8167" s="362"/>
      <c r="I8167" s="362"/>
      <c r="J8167" s="362"/>
    </row>
    <row r="8168" spans="1:10" x14ac:dyDescent="0.25">
      <c r="A8168" s="362"/>
      <c r="B8168" s="611">
        <v>44645</v>
      </c>
      <c r="C8168" s="370" t="s">
        <v>85</v>
      </c>
      <c r="D8168" s="562">
        <v>38495200</v>
      </c>
      <c r="E8168" s="562"/>
      <c r="F8168" s="562">
        <v>38495200</v>
      </c>
      <c r="G8168" s="562">
        <f t="shared" si="501"/>
        <v>0</v>
      </c>
      <c r="H8168" s="362"/>
      <c r="I8168" s="362"/>
      <c r="J8168" s="362"/>
    </row>
    <row r="8169" spans="1:10" x14ac:dyDescent="0.25">
      <c r="A8169" s="532"/>
      <c r="B8169" s="532"/>
      <c r="C8169" s="532"/>
      <c r="D8169" s="564">
        <f>SUM(D8154:D8168)</f>
        <v>2783474746</v>
      </c>
      <c r="E8169" s="564">
        <f t="shared" ref="E8169:G8169" si="502">SUM(E8154:E8168)</f>
        <v>0</v>
      </c>
      <c r="F8169" s="564">
        <f t="shared" si="502"/>
        <v>2783374400</v>
      </c>
      <c r="G8169" s="564">
        <f t="shared" si="502"/>
        <v>100346</v>
      </c>
      <c r="H8169" s="532"/>
      <c r="I8169" s="532"/>
      <c r="J8169" s="532"/>
    </row>
    <row r="8170" spans="1:10" x14ac:dyDescent="0.25">
      <c r="A8170" s="362"/>
      <c r="B8170" s="611">
        <v>44646</v>
      </c>
      <c r="C8170" s="362" t="s">
        <v>86</v>
      </c>
      <c r="D8170" s="562">
        <v>277209084</v>
      </c>
      <c r="E8170" s="562"/>
      <c r="F8170" s="562"/>
      <c r="G8170" s="562">
        <f t="shared" si="501"/>
        <v>277209084</v>
      </c>
      <c r="H8170" s="362"/>
      <c r="I8170" s="362"/>
      <c r="J8170" s="362"/>
    </row>
    <row r="8171" spans="1:10" x14ac:dyDescent="0.25">
      <c r="A8171" s="362"/>
      <c r="B8171" s="611">
        <v>44646</v>
      </c>
      <c r="C8171" s="362" t="s">
        <v>87</v>
      </c>
      <c r="D8171" s="562">
        <v>143148314</v>
      </c>
      <c r="E8171" s="562"/>
      <c r="F8171" s="562"/>
      <c r="G8171" s="562">
        <f t="shared" si="501"/>
        <v>143148314</v>
      </c>
      <c r="H8171" s="362"/>
      <c r="I8171" s="362"/>
      <c r="J8171" s="362"/>
    </row>
    <row r="8172" spans="1:10" x14ac:dyDescent="0.25">
      <c r="A8172" s="362"/>
      <c r="B8172" s="611">
        <v>44646</v>
      </c>
      <c r="C8172" s="362" t="s">
        <v>88</v>
      </c>
      <c r="D8172" s="562">
        <v>118892855</v>
      </c>
      <c r="E8172" s="562"/>
      <c r="F8172" s="562"/>
      <c r="G8172" s="562">
        <f t="shared" si="501"/>
        <v>118892855</v>
      </c>
      <c r="H8172" s="362"/>
      <c r="I8172" s="362"/>
      <c r="J8172" s="362"/>
    </row>
    <row r="8173" spans="1:10" x14ac:dyDescent="0.25">
      <c r="A8173" s="362"/>
      <c r="B8173" s="611">
        <v>44646</v>
      </c>
      <c r="C8173" s="362" t="s">
        <v>82</v>
      </c>
      <c r="D8173" s="562">
        <v>100512035</v>
      </c>
      <c r="E8173" s="562"/>
      <c r="F8173" s="562"/>
      <c r="G8173" s="562">
        <f t="shared" si="501"/>
        <v>100512035</v>
      </c>
      <c r="H8173" s="362"/>
      <c r="I8173" s="362"/>
      <c r="J8173" s="362"/>
    </row>
    <row r="8174" spans="1:10" x14ac:dyDescent="0.25">
      <c r="A8174" s="362"/>
      <c r="B8174" s="611">
        <v>44646</v>
      </c>
      <c r="C8174" s="362" t="s">
        <v>80</v>
      </c>
      <c r="D8174" s="562">
        <v>487515000</v>
      </c>
      <c r="E8174" s="562"/>
      <c r="F8174" s="562"/>
      <c r="G8174" s="562">
        <f t="shared" si="501"/>
        <v>487515000</v>
      </c>
      <c r="H8174" s="362"/>
      <c r="I8174" s="362"/>
      <c r="J8174" s="362"/>
    </row>
    <row r="8175" spans="1:10" x14ac:dyDescent="0.25">
      <c r="A8175" s="362"/>
      <c r="B8175" s="611">
        <v>44646</v>
      </c>
      <c r="C8175" s="362" t="s">
        <v>83</v>
      </c>
      <c r="D8175" s="562">
        <v>165540600</v>
      </c>
      <c r="E8175" s="562"/>
      <c r="F8175" s="562"/>
      <c r="G8175" s="562">
        <f t="shared" si="501"/>
        <v>165540600</v>
      </c>
      <c r="H8175" s="362"/>
      <c r="I8175" s="362"/>
      <c r="J8175" s="362"/>
    </row>
    <row r="8176" spans="1:10" x14ac:dyDescent="0.25">
      <c r="A8176" s="362"/>
      <c r="B8176" s="611">
        <v>44646</v>
      </c>
      <c r="C8176" s="362" t="s">
        <v>78</v>
      </c>
      <c r="D8176" s="562">
        <v>147101615</v>
      </c>
      <c r="E8176" s="562"/>
      <c r="F8176" s="562"/>
      <c r="G8176" s="562">
        <f t="shared" si="501"/>
        <v>147101615</v>
      </c>
      <c r="H8176" s="362"/>
      <c r="I8176" s="362"/>
      <c r="J8176" s="362"/>
    </row>
    <row r="8177" spans="1:10" x14ac:dyDescent="0.25">
      <c r="A8177" s="362"/>
      <c r="B8177" s="611">
        <v>44646</v>
      </c>
      <c r="C8177" s="362" t="s">
        <v>141</v>
      </c>
      <c r="D8177" s="562">
        <v>42702346</v>
      </c>
      <c r="E8177" s="562"/>
      <c r="F8177" s="562"/>
      <c r="G8177" s="562">
        <f t="shared" si="501"/>
        <v>42702346</v>
      </c>
      <c r="H8177" s="362"/>
      <c r="I8177" s="362"/>
      <c r="J8177" s="362"/>
    </row>
    <row r="8178" spans="1:10" x14ac:dyDescent="0.25">
      <c r="A8178" s="362"/>
      <c r="B8178" s="611">
        <v>44646</v>
      </c>
      <c r="C8178" s="362" t="s">
        <v>89</v>
      </c>
      <c r="D8178" s="562">
        <v>208045100</v>
      </c>
      <c r="E8178" s="562"/>
      <c r="F8178" s="562"/>
      <c r="G8178" s="562">
        <f t="shared" si="501"/>
        <v>208045100</v>
      </c>
      <c r="H8178" s="362"/>
      <c r="I8178" s="362"/>
      <c r="J8178" s="362"/>
    </row>
    <row r="8179" spans="1:10" x14ac:dyDescent="0.25">
      <c r="A8179" s="362"/>
      <c r="B8179" s="611">
        <v>44646</v>
      </c>
      <c r="C8179" s="362" t="s">
        <v>81</v>
      </c>
      <c r="D8179" s="562">
        <v>157283768</v>
      </c>
      <c r="E8179" s="562"/>
      <c r="F8179" s="562"/>
      <c r="G8179" s="562">
        <f t="shared" si="501"/>
        <v>157283768</v>
      </c>
      <c r="H8179" s="362"/>
      <c r="I8179" s="362"/>
      <c r="J8179" s="362"/>
    </row>
    <row r="8180" spans="1:10" x14ac:dyDescent="0.25">
      <c r="A8180" s="362"/>
      <c r="B8180" s="611">
        <v>44646</v>
      </c>
      <c r="C8180" s="362" t="s">
        <v>84</v>
      </c>
      <c r="D8180" s="562">
        <v>243275527</v>
      </c>
      <c r="E8180" s="562"/>
      <c r="F8180" s="562"/>
      <c r="G8180" s="562">
        <f t="shared" si="501"/>
        <v>243275527</v>
      </c>
      <c r="H8180" s="362"/>
      <c r="I8180" s="362"/>
      <c r="J8180" s="362"/>
    </row>
    <row r="8181" spans="1:10" x14ac:dyDescent="0.25">
      <c r="A8181" s="362"/>
      <c r="B8181" s="611">
        <v>44646</v>
      </c>
      <c r="C8181" s="362" t="s">
        <v>4751</v>
      </c>
      <c r="D8181" s="562">
        <v>313587500</v>
      </c>
      <c r="E8181" s="562"/>
      <c r="F8181" s="562"/>
      <c r="G8181" s="562">
        <f t="shared" si="501"/>
        <v>313587500</v>
      </c>
      <c r="H8181" s="362"/>
      <c r="I8181" s="362"/>
      <c r="J8181" s="362"/>
    </row>
    <row r="8182" spans="1:10" x14ac:dyDescent="0.25">
      <c r="A8182" s="362"/>
      <c r="B8182" s="611">
        <v>44646</v>
      </c>
      <c r="C8182" s="362" t="s">
        <v>166</v>
      </c>
      <c r="D8182" s="562"/>
      <c r="E8182" s="562"/>
      <c r="F8182" s="562"/>
      <c r="G8182" s="562">
        <f t="shared" si="501"/>
        <v>0</v>
      </c>
      <c r="H8182" s="362"/>
      <c r="I8182" s="362"/>
      <c r="J8182" s="362"/>
    </row>
    <row r="8183" spans="1:10" x14ac:dyDescent="0.25">
      <c r="A8183" s="362"/>
      <c r="B8183" s="611">
        <v>44646</v>
      </c>
      <c r="C8183" s="362" t="s">
        <v>3435</v>
      </c>
      <c r="D8183" s="562"/>
      <c r="E8183" s="562"/>
      <c r="F8183" s="562"/>
      <c r="G8183" s="562">
        <f t="shared" si="501"/>
        <v>0</v>
      </c>
      <c r="H8183" s="362"/>
      <c r="I8183" s="362"/>
      <c r="J8183" s="362"/>
    </row>
    <row r="8184" spans="1:10" x14ac:dyDescent="0.25">
      <c r="A8184" s="362"/>
      <c r="B8184" s="611">
        <v>44646</v>
      </c>
      <c r="C8184" s="370" t="s">
        <v>85</v>
      </c>
      <c r="D8184" s="562">
        <v>27778500</v>
      </c>
      <c r="E8184" s="562"/>
      <c r="F8184" s="562"/>
      <c r="G8184" s="562">
        <f t="shared" si="501"/>
        <v>27778500</v>
      </c>
      <c r="H8184" s="362"/>
      <c r="I8184" s="362"/>
      <c r="J8184" s="362"/>
    </row>
    <row r="8185" spans="1:10" x14ac:dyDescent="0.25">
      <c r="A8185" s="532"/>
      <c r="B8185" s="532"/>
      <c r="C8185" s="532"/>
      <c r="D8185" s="564">
        <f>SUM(D8170:D8184)</f>
        <v>2432592244</v>
      </c>
      <c r="E8185" s="564">
        <f t="shared" ref="E8185:G8185" si="503">SUM(E8170:E8184)</f>
        <v>0</v>
      </c>
      <c r="F8185" s="564">
        <f t="shared" si="503"/>
        <v>0</v>
      </c>
      <c r="G8185" s="564">
        <f t="shared" si="503"/>
        <v>2432592244</v>
      </c>
      <c r="H8185" s="532"/>
      <c r="I8185" s="532"/>
      <c r="J8185" s="532"/>
    </row>
    <row r="8186" spans="1:10" x14ac:dyDescent="0.25">
      <c r="A8186" s="362"/>
      <c r="B8186" s="611">
        <v>44648</v>
      </c>
      <c r="C8186" s="362" t="s">
        <v>86</v>
      </c>
      <c r="D8186" s="562">
        <v>178811352</v>
      </c>
      <c r="E8186" s="562"/>
      <c r="F8186" s="562"/>
      <c r="G8186" s="562">
        <f t="shared" si="501"/>
        <v>178811352</v>
      </c>
      <c r="H8186" s="362"/>
      <c r="I8186" s="362"/>
      <c r="J8186" s="362"/>
    </row>
    <row r="8187" spans="1:10" x14ac:dyDescent="0.25">
      <c r="A8187" s="362"/>
      <c r="B8187" s="611">
        <v>44648</v>
      </c>
      <c r="C8187" s="362" t="s">
        <v>87</v>
      </c>
      <c r="D8187" s="562">
        <v>225664726</v>
      </c>
      <c r="E8187" s="562"/>
      <c r="F8187" s="562"/>
      <c r="G8187" s="562">
        <f t="shared" si="501"/>
        <v>225664726</v>
      </c>
      <c r="H8187" s="362"/>
      <c r="I8187" s="362"/>
      <c r="J8187" s="362"/>
    </row>
    <row r="8188" spans="1:10" x14ac:dyDescent="0.25">
      <c r="A8188" s="362"/>
      <c r="B8188" s="611">
        <v>44648</v>
      </c>
      <c r="C8188" s="362" t="s">
        <v>88</v>
      </c>
      <c r="D8188" s="562">
        <v>321440678</v>
      </c>
      <c r="E8188" s="562"/>
      <c r="F8188" s="562"/>
      <c r="G8188" s="562">
        <f t="shared" si="501"/>
        <v>321440678</v>
      </c>
      <c r="H8188" s="362"/>
      <c r="I8188" s="362"/>
      <c r="J8188" s="362"/>
    </row>
    <row r="8189" spans="1:10" x14ac:dyDescent="0.25">
      <c r="A8189" s="362"/>
      <c r="B8189" s="611">
        <v>44648</v>
      </c>
      <c r="C8189" s="362" t="s">
        <v>82</v>
      </c>
      <c r="D8189" s="562">
        <v>71372274</v>
      </c>
      <c r="E8189" s="562"/>
      <c r="F8189" s="562"/>
      <c r="G8189" s="562">
        <f t="shared" si="501"/>
        <v>71372274</v>
      </c>
      <c r="H8189" s="362"/>
      <c r="I8189" s="362"/>
      <c r="J8189" s="362"/>
    </row>
    <row r="8190" spans="1:10" x14ac:dyDescent="0.25">
      <c r="A8190" s="362"/>
      <c r="B8190" s="611">
        <v>44648</v>
      </c>
      <c r="C8190" s="362" t="s">
        <v>80</v>
      </c>
      <c r="D8190" s="562">
        <v>355669378</v>
      </c>
      <c r="E8190" s="562"/>
      <c r="F8190" s="562"/>
      <c r="G8190" s="562">
        <f t="shared" si="501"/>
        <v>355669378</v>
      </c>
      <c r="H8190" s="362"/>
      <c r="I8190" s="362"/>
      <c r="J8190" s="362"/>
    </row>
    <row r="8191" spans="1:10" x14ac:dyDescent="0.25">
      <c r="A8191" s="362"/>
      <c r="B8191" s="611">
        <v>44648</v>
      </c>
      <c r="C8191" s="362" t="s">
        <v>83</v>
      </c>
      <c r="D8191" s="562">
        <v>454613800</v>
      </c>
      <c r="E8191" s="562"/>
      <c r="F8191" s="562"/>
      <c r="G8191" s="562">
        <f t="shared" si="501"/>
        <v>454613800</v>
      </c>
      <c r="H8191" s="362"/>
      <c r="I8191" s="362"/>
      <c r="J8191" s="362"/>
    </row>
    <row r="8192" spans="1:10" x14ac:dyDescent="0.25">
      <c r="A8192" s="362"/>
      <c r="B8192" s="611">
        <v>44648</v>
      </c>
      <c r="C8192" s="362" t="s">
        <v>78</v>
      </c>
      <c r="D8192" s="562">
        <v>189624515</v>
      </c>
      <c r="E8192" s="562"/>
      <c r="F8192" s="562"/>
      <c r="G8192" s="562">
        <f t="shared" si="501"/>
        <v>189624515</v>
      </c>
      <c r="H8192" s="362"/>
      <c r="I8192" s="362"/>
      <c r="J8192" s="362"/>
    </row>
    <row r="8193" spans="1:10" x14ac:dyDescent="0.25">
      <c r="A8193" s="362"/>
      <c r="B8193" s="611">
        <v>44648</v>
      </c>
      <c r="C8193" s="362" t="s">
        <v>141</v>
      </c>
      <c r="D8193" s="562">
        <v>139572814</v>
      </c>
      <c r="E8193" s="562"/>
      <c r="F8193" s="562"/>
      <c r="G8193" s="562">
        <f t="shared" si="501"/>
        <v>139572814</v>
      </c>
      <c r="H8193" s="362"/>
      <c r="I8193" s="362"/>
      <c r="J8193" s="362"/>
    </row>
    <row r="8194" spans="1:10" x14ac:dyDescent="0.25">
      <c r="A8194" s="362"/>
      <c r="B8194" s="611">
        <v>44648</v>
      </c>
      <c r="C8194" s="362" t="s">
        <v>89</v>
      </c>
      <c r="D8194" s="562">
        <v>216534600</v>
      </c>
      <c r="E8194" s="562"/>
      <c r="F8194" s="562"/>
      <c r="G8194" s="562">
        <f t="shared" si="501"/>
        <v>216534600</v>
      </c>
      <c r="H8194" s="362"/>
      <c r="I8194" s="362"/>
      <c r="J8194" s="362"/>
    </row>
    <row r="8195" spans="1:10" x14ac:dyDescent="0.25">
      <c r="A8195" s="362"/>
      <c r="B8195" s="611">
        <v>44648</v>
      </c>
      <c r="C8195" s="362" t="s">
        <v>81</v>
      </c>
      <c r="D8195" s="562">
        <v>131644326</v>
      </c>
      <c r="E8195" s="562"/>
      <c r="F8195" s="562"/>
      <c r="G8195" s="562">
        <f t="shared" si="501"/>
        <v>131644326</v>
      </c>
      <c r="H8195" s="362"/>
      <c r="I8195" s="362"/>
      <c r="J8195" s="362"/>
    </row>
    <row r="8196" spans="1:10" x14ac:dyDescent="0.25">
      <c r="A8196" s="362"/>
      <c r="B8196" s="611">
        <v>44648</v>
      </c>
      <c r="C8196" s="362" t="s">
        <v>84</v>
      </c>
      <c r="D8196" s="562">
        <v>425427798</v>
      </c>
      <c r="E8196" s="562"/>
      <c r="F8196" s="562"/>
      <c r="G8196" s="562">
        <f t="shared" si="501"/>
        <v>425427798</v>
      </c>
      <c r="H8196" s="362"/>
      <c r="I8196" s="362"/>
      <c r="J8196" s="362"/>
    </row>
    <row r="8197" spans="1:10" x14ac:dyDescent="0.25">
      <c r="A8197" s="362"/>
      <c r="B8197" s="611">
        <v>44648</v>
      </c>
      <c r="C8197" s="362" t="s">
        <v>4751</v>
      </c>
      <c r="D8197" s="562">
        <v>265301600</v>
      </c>
      <c r="E8197" s="562"/>
      <c r="F8197" s="562"/>
      <c r="G8197" s="562">
        <f t="shared" si="501"/>
        <v>265301600</v>
      </c>
      <c r="H8197" s="362"/>
      <c r="I8197" s="362"/>
      <c r="J8197" s="362"/>
    </row>
    <row r="8198" spans="1:10" x14ac:dyDescent="0.25">
      <c r="A8198" s="362"/>
      <c r="B8198" s="611">
        <v>44648</v>
      </c>
      <c r="C8198" s="362" t="s">
        <v>166</v>
      </c>
      <c r="D8198" s="562">
        <v>71565360</v>
      </c>
      <c r="E8198" s="562"/>
      <c r="F8198" s="562"/>
      <c r="G8198" s="562">
        <f t="shared" si="501"/>
        <v>71565360</v>
      </c>
      <c r="H8198" s="362"/>
      <c r="I8198" s="362"/>
      <c r="J8198" s="362"/>
    </row>
    <row r="8199" spans="1:10" x14ac:dyDescent="0.25">
      <c r="A8199" s="362"/>
      <c r="B8199" s="611">
        <v>44648</v>
      </c>
      <c r="C8199" s="362" t="s">
        <v>3435</v>
      </c>
      <c r="D8199" s="562">
        <v>13068673</v>
      </c>
      <c r="E8199" s="562"/>
      <c r="F8199" s="562"/>
      <c r="G8199" s="562">
        <f t="shared" si="501"/>
        <v>13068673</v>
      </c>
      <c r="H8199" s="362"/>
      <c r="I8199" s="362"/>
      <c r="J8199" s="362"/>
    </row>
    <row r="8200" spans="1:10" x14ac:dyDescent="0.25">
      <c r="A8200" s="362"/>
      <c r="B8200" s="611">
        <v>44648</v>
      </c>
      <c r="C8200" s="370" t="s">
        <v>85</v>
      </c>
      <c r="D8200" s="562">
        <v>63708700</v>
      </c>
      <c r="E8200" s="562"/>
      <c r="F8200" s="562"/>
      <c r="G8200" s="562">
        <f t="shared" si="501"/>
        <v>63708700</v>
      </c>
      <c r="H8200" s="362"/>
      <c r="I8200" s="362"/>
      <c r="J8200" s="362"/>
    </row>
    <row r="8201" spans="1:10" x14ac:dyDescent="0.25">
      <c r="A8201" s="532"/>
      <c r="B8201" s="532"/>
      <c r="C8201" s="532"/>
      <c r="D8201" s="564">
        <f>SUM(D8186:D8200)</f>
        <v>3124020594</v>
      </c>
      <c r="E8201" s="564">
        <f t="shared" ref="E8201:G8201" si="504">SUM(E8186:E8200)</f>
        <v>0</v>
      </c>
      <c r="F8201" s="564">
        <f t="shared" si="504"/>
        <v>0</v>
      </c>
      <c r="G8201" s="564">
        <f t="shared" si="504"/>
        <v>3124020594</v>
      </c>
      <c r="H8201" s="532"/>
      <c r="I8201" s="532"/>
      <c r="J8201" s="532"/>
    </row>
    <row r="8202" spans="1:10" x14ac:dyDescent="0.25">
      <c r="A8202" s="362"/>
      <c r="B8202" s="611">
        <v>44649</v>
      </c>
      <c r="C8202" s="362" t="s">
        <v>86</v>
      </c>
      <c r="D8202" s="562">
        <v>159497247</v>
      </c>
      <c r="E8202" s="562"/>
      <c r="F8202" s="562"/>
      <c r="G8202" s="562">
        <f t="shared" si="501"/>
        <v>159497247</v>
      </c>
      <c r="H8202" s="362"/>
      <c r="I8202" s="362"/>
      <c r="J8202" s="362"/>
    </row>
    <row r="8203" spans="1:10" x14ac:dyDescent="0.25">
      <c r="A8203" s="362"/>
      <c r="B8203" s="611">
        <v>44649</v>
      </c>
      <c r="C8203" s="362" t="s">
        <v>87</v>
      </c>
      <c r="D8203" s="562">
        <v>333374749</v>
      </c>
      <c r="E8203" s="562"/>
      <c r="F8203" s="562"/>
      <c r="G8203" s="562">
        <f t="shared" si="501"/>
        <v>333374749</v>
      </c>
      <c r="H8203" s="362"/>
      <c r="I8203" s="362"/>
      <c r="J8203" s="362"/>
    </row>
    <row r="8204" spans="1:10" x14ac:dyDescent="0.25">
      <c r="A8204" s="362"/>
      <c r="B8204" s="611">
        <v>44649</v>
      </c>
      <c r="C8204" s="362" t="s">
        <v>88</v>
      </c>
      <c r="D8204" s="562">
        <v>384949493</v>
      </c>
      <c r="E8204" s="562"/>
      <c r="F8204" s="562"/>
      <c r="G8204" s="562">
        <f t="shared" si="501"/>
        <v>384949493</v>
      </c>
      <c r="H8204" s="362"/>
      <c r="I8204" s="362"/>
      <c r="J8204" s="362"/>
    </row>
    <row r="8205" spans="1:10" x14ac:dyDescent="0.25">
      <c r="A8205" s="362"/>
      <c r="B8205" s="611">
        <v>44649</v>
      </c>
      <c r="C8205" s="362" t="s">
        <v>82</v>
      </c>
      <c r="D8205" s="562">
        <v>80953700</v>
      </c>
      <c r="E8205" s="562"/>
      <c r="F8205" s="562"/>
      <c r="G8205" s="562">
        <f t="shared" si="501"/>
        <v>80953700</v>
      </c>
      <c r="H8205" s="362"/>
      <c r="I8205" s="362"/>
      <c r="J8205" s="362"/>
    </row>
    <row r="8206" spans="1:10" x14ac:dyDescent="0.25">
      <c r="A8206" s="362"/>
      <c r="B8206" s="611">
        <v>44649</v>
      </c>
      <c r="C8206" s="362" t="s">
        <v>80</v>
      </c>
      <c r="D8206" s="562">
        <v>508005492</v>
      </c>
      <c r="E8206" s="562"/>
      <c r="F8206" s="562"/>
      <c r="G8206" s="562">
        <f t="shared" si="501"/>
        <v>508005492</v>
      </c>
      <c r="H8206" s="362"/>
      <c r="I8206" s="362"/>
      <c r="J8206" s="362"/>
    </row>
    <row r="8207" spans="1:10" x14ac:dyDescent="0.25">
      <c r="A8207" s="362"/>
      <c r="B8207" s="611">
        <v>44649</v>
      </c>
      <c r="C8207" s="362" t="s">
        <v>83</v>
      </c>
      <c r="D8207" s="562">
        <v>327740600</v>
      </c>
      <c r="E8207" s="562"/>
      <c r="F8207" s="562"/>
      <c r="G8207" s="562">
        <f t="shared" si="501"/>
        <v>327740600</v>
      </c>
      <c r="H8207" s="362"/>
      <c r="I8207" s="362"/>
      <c r="J8207" s="362"/>
    </row>
    <row r="8208" spans="1:10" x14ac:dyDescent="0.25">
      <c r="A8208" s="362"/>
      <c r="B8208" s="611">
        <v>44649</v>
      </c>
      <c r="C8208" s="362" t="s">
        <v>78</v>
      </c>
      <c r="D8208" s="562">
        <v>197735908</v>
      </c>
      <c r="E8208" s="562"/>
      <c r="F8208" s="562"/>
      <c r="G8208" s="562">
        <f t="shared" si="501"/>
        <v>197735908</v>
      </c>
      <c r="H8208" s="362"/>
      <c r="I8208" s="362"/>
      <c r="J8208" s="362"/>
    </row>
    <row r="8209" spans="1:10" x14ac:dyDescent="0.25">
      <c r="A8209" s="362"/>
      <c r="B8209" s="611">
        <v>44649</v>
      </c>
      <c r="C8209" s="362" t="s">
        <v>141</v>
      </c>
      <c r="D8209" s="562">
        <v>89439153</v>
      </c>
      <c r="E8209" s="562"/>
      <c r="F8209" s="562"/>
      <c r="G8209" s="562">
        <f t="shared" si="501"/>
        <v>89439153</v>
      </c>
      <c r="H8209" s="362"/>
      <c r="I8209" s="362"/>
      <c r="J8209" s="362"/>
    </row>
    <row r="8210" spans="1:10" x14ac:dyDescent="0.25">
      <c r="A8210" s="362"/>
      <c r="B8210" s="611">
        <v>44649</v>
      </c>
      <c r="C8210" s="362" t="s">
        <v>89</v>
      </c>
      <c r="D8210" s="562">
        <v>161756600</v>
      </c>
      <c r="E8210" s="562"/>
      <c r="F8210" s="562"/>
      <c r="G8210" s="562">
        <f t="shared" si="501"/>
        <v>161756600</v>
      </c>
      <c r="H8210" s="362"/>
      <c r="I8210" s="362"/>
      <c r="J8210" s="362"/>
    </row>
    <row r="8211" spans="1:10" x14ac:dyDescent="0.25">
      <c r="A8211" s="362"/>
      <c r="B8211" s="611">
        <v>44649</v>
      </c>
      <c r="C8211" s="362" t="s">
        <v>81</v>
      </c>
      <c r="D8211" s="562">
        <v>110476529</v>
      </c>
      <c r="E8211" s="562"/>
      <c r="F8211" s="562"/>
      <c r="G8211" s="562">
        <f t="shared" si="501"/>
        <v>110476529</v>
      </c>
      <c r="H8211" s="362"/>
      <c r="I8211" s="362"/>
      <c r="J8211" s="362"/>
    </row>
    <row r="8212" spans="1:10" x14ac:dyDescent="0.25">
      <c r="A8212" s="362"/>
      <c r="B8212" s="611">
        <v>44649</v>
      </c>
      <c r="C8212" s="362" t="s">
        <v>84</v>
      </c>
      <c r="D8212" s="562">
        <v>403685052</v>
      </c>
      <c r="E8212" s="562"/>
      <c r="F8212" s="562"/>
      <c r="G8212" s="562">
        <f t="shared" si="501"/>
        <v>403685052</v>
      </c>
      <c r="H8212" s="362"/>
      <c r="I8212" s="362"/>
      <c r="J8212" s="362"/>
    </row>
    <row r="8213" spans="1:10" x14ac:dyDescent="0.25">
      <c r="A8213" s="362"/>
      <c r="B8213" s="611">
        <v>44649</v>
      </c>
      <c r="C8213" s="362" t="s">
        <v>4751</v>
      </c>
      <c r="D8213" s="562">
        <v>364917800</v>
      </c>
      <c r="E8213" s="562"/>
      <c r="F8213" s="562"/>
      <c r="G8213" s="562">
        <f t="shared" si="501"/>
        <v>364917800</v>
      </c>
      <c r="H8213" s="362"/>
      <c r="I8213" s="362"/>
      <c r="J8213" s="362"/>
    </row>
    <row r="8214" spans="1:10" x14ac:dyDescent="0.25">
      <c r="A8214" s="362"/>
      <c r="B8214" s="611">
        <v>44649</v>
      </c>
      <c r="C8214" s="362" t="s">
        <v>166</v>
      </c>
      <c r="D8214" s="562">
        <v>128381085</v>
      </c>
      <c r="E8214" s="562"/>
      <c r="F8214" s="562"/>
      <c r="G8214" s="562">
        <f t="shared" si="501"/>
        <v>128381085</v>
      </c>
      <c r="H8214" s="362"/>
      <c r="I8214" s="362"/>
      <c r="J8214" s="362"/>
    </row>
    <row r="8215" spans="1:10" x14ac:dyDescent="0.25">
      <c r="A8215" s="362"/>
      <c r="B8215" s="611">
        <v>44649</v>
      </c>
      <c r="C8215" s="362" t="s">
        <v>3435</v>
      </c>
      <c r="D8215" s="562">
        <v>86163373</v>
      </c>
      <c r="E8215" s="562"/>
      <c r="F8215" s="562"/>
      <c r="G8215" s="562">
        <f t="shared" si="501"/>
        <v>86163373</v>
      </c>
      <c r="H8215" s="362"/>
      <c r="I8215" s="362"/>
      <c r="J8215" s="362"/>
    </row>
    <row r="8216" spans="1:10" x14ac:dyDescent="0.25">
      <c r="A8216" s="362"/>
      <c r="B8216" s="611">
        <v>44649</v>
      </c>
      <c r="C8216" s="370" t="s">
        <v>85</v>
      </c>
      <c r="D8216" s="562">
        <v>47736200</v>
      </c>
      <c r="E8216" s="562"/>
      <c r="F8216" s="562"/>
      <c r="G8216" s="562">
        <f t="shared" si="501"/>
        <v>47736200</v>
      </c>
      <c r="H8216" s="362"/>
      <c r="I8216" s="362"/>
      <c r="J8216" s="362"/>
    </row>
    <row r="8217" spans="1:10" x14ac:dyDescent="0.25">
      <c r="A8217" s="532"/>
      <c r="B8217" s="532"/>
      <c r="C8217" s="532"/>
      <c r="D8217" s="564">
        <f>SUM(D8202:D8216)</f>
        <v>3384812981</v>
      </c>
      <c r="E8217" s="564">
        <f t="shared" ref="E8217:G8217" si="505">SUM(E8202:E8216)</f>
        <v>0</v>
      </c>
      <c r="F8217" s="564">
        <f t="shared" si="505"/>
        <v>0</v>
      </c>
      <c r="G8217" s="564">
        <f t="shared" si="505"/>
        <v>3384812981</v>
      </c>
      <c r="H8217" s="532"/>
      <c r="I8217" s="532"/>
      <c r="J8217" s="532"/>
    </row>
    <row r="8218" spans="1:10" x14ac:dyDescent="0.25">
      <c r="A8218" s="362"/>
      <c r="B8218" s="611">
        <v>44650</v>
      </c>
      <c r="C8218" s="362" t="s">
        <v>86</v>
      </c>
      <c r="D8218" s="562">
        <v>268568509</v>
      </c>
      <c r="E8218" s="562"/>
      <c r="F8218" s="562"/>
      <c r="G8218" s="562">
        <f t="shared" si="501"/>
        <v>268568509</v>
      </c>
      <c r="H8218" s="362"/>
      <c r="I8218" s="362"/>
      <c r="J8218" s="362"/>
    </row>
    <row r="8219" spans="1:10" x14ac:dyDescent="0.25">
      <c r="A8219" s="362"/>
      <c r="B8219" s="611">
        <v>44650</v>
      </c>
      <c r="C8219" s="362" t="s">
        <v>87</v>
      </c>
      <c r="D8219" s="562">
        <v>190298547</v>
      </c>
      <c r="E8219" s="562"/>
      <c r="F8219" s="562"/>
      <c r="G8219" s="562">
        <f t="shared" si="501"/>
        <v>190298547</v>
      </c>
      <c r="H8219" s="362"/>
      <c r="I8219" s="362"/>
      <c r="J8219" s="362"/>
    </row>
    <row r="8220" spans="1:10" x14ac:dyDescent="0.25">
      <c r="A8220" s="362"/>
      <c r="B8220" s="611">
        <v>44650</v>
      </c>
      <c r="C8220" s="362" t="s">
        <v>88</v>
      </c>
      <c r="D8220" s="562">
        <v>136860072</v>
      </c>
      <c r="E8220" s="562"/>
      <c r="F8220" s="562"/>
      <c r="G8220" s="562">
        <f t="shared" ref="G8220:G8283" si="506">D8220+E8220-F8220</f>
        <v>136860072</v>
      </c>
      <c r="H8220" s="362"/>
      <c r="I8220" s="362"/>
      <c r="J8220" s="362"/>
    </row>
    <row r="8221" spans="1:10" x14ac:dyDescent="0.25">
      <c r="A8221" s="362"/>
      <c r="B8221" s="611">
        <v>44650</v>
      </c>
      <c r="C8221" s="362" t="s">
        <v>82</v>
      </c>
      <c r="D8221" s="562">
        <v>126718296</v>
      </c>
      <c r="E8221" s="562"/>
      <c r="F8221" s="562"/>
      <c r="G8221" s="562">
        <f t="shared" si="506"/>
        <v>126718296</v>
      </c>
      <c r="H8221" s="362"/>
      <c r="I8221" s="362"/>
      <c r="J8221" s="362"/>
    </row>
    <row r="8222" spans="1:10" x14ac:dyDescent="0.25">
      <c r="A8222" s="362"/>
      <c r="B8222" s="611">
        <v>44650</v>
      </c>
      <c r="C8222" s="362" t="s">
        <v>80</v>
      </c>
      <c r="D8222" s="562">
        <v>335900754</v>
      </c>
      <c r="E8222" s="562"/>
      <c r="F8222" s="562"/>
      <c r="G8222" s="562">
        <f t="shared" si="506"/>
        <v>335900754</v>
      </c>
      <c r="H8222" s="362"/>
      <c r="I8222" s="362"/>
      <c r="J8222" s="362"/>
    </row>
    <row r="8223" spans="1:10" x14ac:dyDescent="0.25">
      <c r="A8223" s="362"/>
      <c r="B8223" s="611">
        <v>44650</v>
      </c>
      <c r="C8223" s="362" t="s">
        <v>83</v>
      </c>
      <c r="D8223" s="562">
        <v>373057200</v>
      </c>
      <c r="E8223" s="562"/>
      <c r="F8223" s="562"/>
      <c r="G8223" s="562">
        <f t="shared" si="506"/>
        <v>373057200</v>
      </c>
      <c r="H8223" s="362"/>
      <c r="I8223" s="362"/>
      <c r="J8223" s="362"/>
    </row>
    <row r="8224" spans="1:10" x14ac:dyDescent="0.25">
      <c r="A8224" s="362"/>
      <c r="B8224" s="611">
        <v>44650</v>
      </c>
      <c r="C8224" s="362" t="s">
        <v>78</v>
      </c>
      <c r="D8224" s="562">
        <v>122849021</v>
      </c>
      <c r="E8224" s="562"/>
      <c r="F8224" s="562"/>
      <c r="G8224" s="562">
        <f t="shared" si="506"/>
        <v>122849021</v>
      </c>
      <c r="H8224" s="362"/>
      <c r="I8224" s="362"/>
      <c r="J8224" s="362"/>
    </row>
    <row r="8225" spans="1:12" x14ac:dyDescent="0.25">
      <c r="A8225" s="362"/>
      <c r="B8225" s="611">
        <v>44650</v>
      </c>
      <c r="C8225" s="362" t="s">
        <v>141</v>
      </c>
      <c r="D8225" s="562">
        <v>220063264</v>
      </c>
      <c r="E8225" s="562"/>
      <c r="F8225" s="562"/>
      <c r="G8225" s="562">
        <f t="shared" si="506"/>
        <v>220063264</v>
      </c>
      <c r="H8225" s="362"/>
      <c r="I8225" s="362"/>
      <c r="J8225" s="362"/>
    </row>
    <row r="8226" spans="1:12" x14ac:dyDescent="0.25">
      <c r="A8226" s="362"/>
      <c r="B8226" s="611">
        <v>44650</v>
      </c>
      <c r="C8226" s="362" t="s">
        <v>89</v>
      </c>
      <c r="D8226" s="562">
        <v>265163200</v>
      </c>
      <c r="E8226" s="562"/>
      <c r="F8226" s="562"/>
      <c r="G8226" s="562">
        <f t="shared" si="506"/>
        <v>265163200</v>
      </c>
      <c r="H8226" s="362"/>
      <c r="I8226" s="362"/>
      <c r="J8226" s="362"/>
    </row>
    <row r="8227" spans="1:12" x14ac:dyDescent="0.25">
      <c r="A8227" s="362"/>
      <c r="B8227" s="611">
        <v>44650</v>
      </c>
      <c r="C8227" s="362" t="s">
        <v>81</v>
      </c>
      <c r="D8227" s="562">
        <v>177474248</v>
      </c>
      <c r="E8227" s="562"/>
      <c r="F8227" s="562"/>
      <c r="G8227" s="562">
        <f t="shared" si="506"/>
        <v>177474248</v>
      </c>
      <c r="H8227" s="362"/>
      <c r="I8227" s="362"/>
      <c r="J8227" s="362"/>
    </row>
    <row r="8228" spans="1:12" x14ac:dyDescent="0.25">
      <c r="A8228" s="362"/>
      <c r="B8228" s="611">
        <v>44650</v>
      </c>
      <c r="C8228" s="362" t="s">
        <v>84</v>
      </c>
      <c r="D8228" s="562">
        <v>305136100</v>
      </c>
      <c r="E8228" s="562"/>
      <c r="F8228" s="562"/>
      <c r="G8228" s="562">
        <f t="shared" si="506"/>
        <v>305136100</v>
      </c>
      <c r="H8228" s="362"/>
      <c r="I8228" s="362"/>
      <c r="J8228" s="362"/>
    </row>
    <row r="8229" spans="1:12" x14ac:dyDescent="0.25">
      <c r="A8229" s="362"/>
      <c r="B8229" s="611">
        <v>44650</v>
      </c>
      <c r="C8229" s="362" t="s">
        <v>4751</v>
      </c>
      <c r="D8229" s="562">
        <v>285932300</v>
      </c>
      <c r="E8229" s="562"/>
      <c r="F8229" s="562"/>
      <c r="G8229" s="562">
        <f t="shared" si="506"/>
        <v>285932300</v>
      </c>
      <c r="H8229" s="362"/>
      <c r="I8229" s="362"/>
      <c r="J8229" s="362"/>
    </row>
    <row r="8230" spans="1:12" x14ac:dyDescent="0.25">
      <c r="A8230" s="362"/>
      <c r="B8230" s="611">
        <v>44650</v>
      </c>
      <c r="C8230" s="362" t="s">
        <v>166</v>
      </c>
      <c r="D8230" s="562">
        <v>93909071</v>
      </c>
      <c r="E8230" s="562"/>
      <c r="F8230" s="562"/>
      <c r="G8230" s="562">
        <f t="shared" si="506"/>
        <v>93909071</v>
      </c>
      <c r="H8230" s="362"/>
      <c r="I8230" s="362"/>
      <c r="J8230" s="362"/>
    </row>
    <row r="8231" spans="1:12" x14ac:dyDescent="0.25">
      <c r="A8231" s="362"/>
      <c r="B8231" s="611">
        <v>44650</v>
      </c>
      <c r="C8231" s="362" t="s">
        <v>3435</v>
      </c>
      <c r="D8231" s="562">
        <v>128063014</v>
      </c>
      <c r="E8231" s="562"/>
      <c r="F8231" s="562"/>
      <c r="G8231" s="562">
        <f t="shared" si="506"/>
        <v>128063014</v>
      </c>
      <c r="H8231" s="362"/>
      <c r="I8231" s="362"/>
      <c r="J8231" s="362"/>
    </row>
    <row r="8232" spans="1:12" x14ac:dyDescent="0.25">
      <c r="A8232" s="362"/>
      <c r="B8232" s="611">
        <v>44650</v>
      </c>
      <c r="C8232" s="370" t="s">
        <v>85</v>
      </c>
      <c r="D8232" s="562">
        <v>55559700</v>
      </c>
      <c r="E8232" s="562"/>
      <c r="F8232" s="562"/>
      <c r="G8232" s="562">
        <f t="shared" si="506"/>
        <v>55559700</v>
      </c>
      <c r="H8232" s="362"/>
      <c r="I8232" s="362"/>
      <c r="J8232" s="362"/>
    </row>
    <row r="8233" spans="1:12" x14ac:dyDescent="0.25">
      <c r="A8233" s="532"/>
      <c r="B8233" s="532"/>
      <c r="C8233" s="532"/>
      <c r="D8233" s="564">
        <f>SUM(D8218:D8232)</f>
        <v>3085553296</v>
      </c>
      <c r="E8233" s="564">
        <f t="shared" ref="E8233:G8233" si="507">SUM(E8218:E8232)</f>
        <v>0</v>
      </c>
      <c r="F8233" s="564">
        <f t="shared" si="507"/>
        <v>0</v>
      </c>
      <c r="G8233" s="564">
        <f t="shared" si="507"/>
        <v>3085553296</v>
      </c>
      <c r="H8233" s="532"/>
      <c r="I8233" s="532"/>
      <c r="J8233" s="532"/>
    </row>
    <row r="8234" spans="1:12" x14ac:dyDescent="0.25">
      <c r="A8234" s="362"/>
      <c r="B8234" s="611">
        <v>44652</v>
      </c>
      <c r="C8234" s="362" t="s">
        <v>86</v>
      </c>
      <c r="D8234" s="562">
        <v>144718691</v>
      </c>
      <c r="E8234" s="562"/>
      <c r="F8234" s="562">
        <v>144718700</v>
      </c>
      <c r="G8234" s="562">
        <f t="shared" si="506"/>
        <v>-9</v>
      </c>
      <c r="H8234" s="362"/>
      <c r="I8234" s="362"/>
      <c r="J8234" s="362"/>
    </row>
    <row r="8235" spans="1:12" x14ac:dyDescent="0.25">
      <c r="A8235" s="362"/>
      <c r="B8235" s="611">
        <v>44652</v>
      </c>
      <c r="C8235" s="362" t="s">
        <v>87</v>
      </c>
      <c r="D8235" s="562">
        <v>256673119</v>
      </c>
      <c r="E8235" s="562"/>
      <c r="F8235" s="562">
        <v>256673200</v>
      </c>
      <c r="G8235" s="562">
        <f t="shared" si="506"/>
        <v>-81</v>
      </c>
      <c r="H8235" s="362"/>
      <c r="I8235" s="362"/>
      <c r="J8235" s="362"/>
    </row>
    <row r="8236" spans="1:12" x14ac:dyDescent="0.25">
      <c r="A8236" s="362"/>
      <c r="B8236" s="611">
        <v>44652</v>
      </c>
      <c r="C8236" s="362" t="s">
        <v>88</v>
      </c>
      <c r="D8236" s="562">
        <v>304498659</v>
      </c>
      <c r="E8236" s="562"/>
      <c r="F8236" s="562">
        <v>304498600</v>
      </c>
      <c r="G8236" s="562">
        <f t="shared" si="506"/>
        <v>59</v>
      </c>
      <c r="H8236" s="362"/>
      <c r="I8236" s="362"/>
      <c r="J8236" s="362"/>
    </row>
    <row r="8237" spans="1:12" x14ac:dyDescent="0.25">
      <c r="A8237" s="362"/>
      <c r="B8237" s="611">
        <v>44652</v>
      </c>
      <c r="C8237" s="362" t="s">
        <v>82</v>
      </c>
      <c r="D8237" s="562">
        <v>91620403</v>
      </c>
      <c r="E8237" s="562"/>
      <c r="F8237" s="562">
        <v>91620500</v>
      </c>
      <c r="G8237" s="562">
        <f t="shared" si="506"/>
        <v>-97</v>
      </c>
      <c r="H8237" s="362"/>
      <c r="I8237" s="362"/>
      <c r="J8237" s="362"/>
    </row>
    <row r="8238" spans="1:12" x14ac:dyDescent="0.25">
      <c r="A8238" s="362"/>
      <c r="B8238" s="611">
        <v>44652</v>
      </c>
      <c r="C8238" s="362" t="s">
        <v>80</v>
      </c>
      <c r="D8238" s="562">
        <v>395759900</v>
      </c>
      <c r="E8238" s="562"/>
      <c r="F8238" s="562">
        <v>395759900</v>
      </c>
      <c r="G8238" s="562">
        <f t="shared" si="506"/>
        <v>0</v>
      </c>
      <c r="H8238" s="362"/>
      <c r="I8238" s="362"/>
      <c r="J8238" s="362"/>
    </row>
    <row r="8239" spans="1:12" x14ac:dyDescent="0.25">
      <c r="A8239" s="362"/>
      <c r="B8239" s="611">
        <v>44652</v>
      </c>
      <c r="C8239" s="362" t="s">
        <v>83</v>
      </c>
      <c r="D8239" s="562">
        <v>233197700</v>
      </c>
      <c r="E8239" s="562"/>
      <c r="F8239" s="562">
        <v>233197700</v>
      </c>
      <c r="G8239" s="562">
        <f t="shared" si="506"/>
        <v>0</v>
      </c>
      <c r="H8239" s="362"/>
      <c r="I8239" s="362"/>
      <c r="J8239" s="362"/>
    </row>
    <row r="8240" spans="1:12" x14ac:dyDescent="0.25">
      <c r="A8240" s="362"/>
      <c r="B8240" s="611">
        <v>44652</v>
      </c>
      <c r="C8240" s="362" t="s">
        <v>78</v>
      </c>
      <c r="D8240" s="562">
        <v>229808662</v>
      </c>
      <c r="E8240" s="562"/>
      <c r="F8240" s="562">
        <v>229808700</v>
      </c>
      <c r="G8240" s="562">
        <f t="shared" si="506"/>
        <v>-38</v>
      </c>
      <c r="H8240" s="362"/>
      <c r="I8240" s="362"/>
      <c r="J8240" s="362"/>
      <c r="K8240" t="s">
        <v>6206</v>
      </c>
      <c r="L8240" t="s">
        <v>6207</v>
      </c>
    </row>
    <row r="8241" spans="1:10" x14ac:dyDescent="0.25">
      <c r="A8241" s="362"/>
      <c r="B8241" s="611">
        <v>44652</v>
      </c>
      <c r="C8241" s="362" t="s">
        <v>141</v>
      </c>
      <c r="D8241" s="562">
        <v>101099935</v>
      </c>
      <c r="E8241" s="562"/>
      <c r="F8241" s="562">
        <v>101100000</v>
      </c>
      <c r="G8241" s="562">
        <f t="shared" si="506"/>
        <v>-65</v>
      </c>
      <c r="H8241" s="362"/>
      <c r="I8241" s="362"/>
      <c r="J8241" s="362"/>
    </row>
    <row r="8242" spans="1:10" x14ac:dyDescent="0.25">
      <c r="A8242" s="362"/>
      <c r="B8242" s="611">
        <v>44652</v>
      </c>
      <c r="C8242" s="362" t="s">
        <v>89</v>
      </c>
      <c r="D8242" s="562">
        <v>253214800</v>
      </c>
      <c r="E8242" s="562"/>
      <c r="F8242" s="562">
        <v>253214800</v>
      </c>
      <c r="G8242" s="562">
        <f t="shared" si="506"/>
        <v>0</v>
      </c>
      <c r="H8242" s="362"/>
      <c r="I8242" s="362"/>
      <c r="J8242" s="362"/>
    </row>
    <row r="8243" spans="1:10" x14ac:dyDescent="0.25">
      <c r="A8243" s="362"/>
      <c r="B8243" s="611">
        <v>44652</v>
      </c>
      <c r="C8243" s="362" t="s">
        <v>81</v>
      </c>
      <c r="D8243" s="562">
        <v>178515731</v>
      </c>
      <c r="E8243" s="562"/>
      <c r="F8243" s="562">
        <v>178515800</v>
      </c>
      <c r="G8243" s="562">
        <f t="shared" si="506"/>
        <v>-69</v>
      </c>
      <c r="H8243" s="362"/>
      <c r="I8243" s="362"/>
      <c r="J8243" s="362"/>
    </row>
    <row r="8244" spans="1:10" x14ac:dyDescent="0.25">
      <c r="A8244" s="362"/>
      <c r="B8244" s="611">
        <v>44652</v>
      </c>
      <c r="C8244" s="362" t="s">
        <v>84</v>
      </c>
      <c r="D8244" s="562">
        <v>239557626</v>
      </c>
      <c r="E8244" s="562"/>
      <c r="F8244" s="562">
        <v>239557600</v>
      </c>
      <c r="G8244" s="562">
        <f t="shared" si="506"/>
        <v>26</v>
      </c>
      <c r="H8244" s="362"/>
      <c r="I8244" s="362"/>
      <c r="J8244" s="362"/>
    </row>
    <row r="8245" spans="1:10" x14ac:dyDescent="0.25">
      <c r="A8245" s="362"/>
      <c r="B8245" s="611">
        <v>44652</v>
      </c>
      <c r="C8245" s="362" t="s">
        <v>4751</v>
      </c>
      <c r="D8245" s="562">
        <v>148301900</v>
      </c>
      <c r="E8245" s="562"/>
      <c r="F8245" s="562">
        <v>148302000</v>
      </c>
      <c r="G8245" s="562">
        <f t="shared" si="506"/>
        <v>-100</v>
      </c>
      <c r="H8245" s="362"/>
      <c r="I8245" s="362"/>
      <c r="J8245" s="362"/>
    </row>
    <row r="8246" spans="1:10" x14ac:dyDescent="0.25">
      <c r="A8246" s="362"/>
      <c r="B8246" s="611">
        <v>44652</v>
      </c>
      <c r="C8246" s="362" t="s">
        <v>166</v>
      </c>
      <c r="D8246" s="562">
        <v>48608372</v>
      </c>
      <c r="E8246" s="562"/>
      <c r="F8246" s="562">
        <v>48608500</v>
      </c>
      <c r="G8246" s="562">
        <f t="shared" si="506"/>
        <v>-128</v>
      </c>
      <c r="H8246" s="362"/>
      <c r="I8246" s="362"/>
      <c r="J8246" s="362"/>
    </row>
    <row r="8247" spans="1:10" x14ac:dyDescent="0.25">
      <c r="A8247" s="362"/>
      <c r="B8247" s="611">
        <v>44652</v>
      </c>
      <c r="C8247" s="362" t="s">
        <v>3435</v>
      </c>
      <c r="D8247" s="562">
        <v>42598308</v>
      </c>
      <c r="E8247" s="562"/>
      <c r="F8247" s="562">
        <v>42598500</v>
      </c>
      <c r="G8247" s="562">
        <f t="shared" si="506"/>
        <v>-192</v>
      </c>
      <c r="H8247" s="362"/>
      <c r="I8247" s="362"/>
      <c r="J8247" s="362"/>
    </row>
    <row r="8248" spans="1:10" x14ac:dyDescent="0.25">
      <c r="A8248" s="362"/>
      <c r="B8248" s="611">
        <v>44652</v>
      </c>
      <c r="C8248" s="370" t="s">
        <v>85</v>
      </c>
      <c r="D8248" s="562">
        <v>32657600</v>
      </c>
      <c r="E8248" s="562"/>
      <c r="F8248" s="562">
        <v>32657600</v>
      </c>
      <c r="G8248" s="562">
        <f t="shared" si="506"/>
        <v>0</v>
      </c>
      <c r="H8248" s="362"/>
      <c r="I8248" s="362"/>
      <c r="J8248" s="362"/>
    </row>
    <row r="8249" spans="1:10" x14ac:dyDescent="0.25">
      <c r="A8249" s="532"/>
      <c r="B8249" s="532"/>
      <c r="C8249" s="532"/>
      <c r="D8249" s="564">
        <f>SUM(D8234:D8248)</f>
        <v>2700831406</v>
      </c>
      <c r="E8249" s="564">
        <f t="shared" ref="E8249:G8249" si="508">SUM(E8234:E8248)</f>
        <v>0</v>
      </c>
      <c r="F8249" s="564">
        <f t="shared" si="508"/>
        <v>2700832100</v>
      </c>
      <c r="G8249" s="564">
        <f t="shared" si="508"/>
        <v>-694</v>
      </c>
      <c r="H8249" s="532"/>
      <c r="I8249" s="532"/>
      <c r="J8249" s="532"/>
    </row>
    <row r="8250" spans="1:10" x14ac:dyDescent="0.25">
      <c r="A8250" s="362"/>
      <c r="B8250" s="611">
        <v>44653</v>
      </c>
      <c r="C8250" s="362" t="s">
        <v>86</v>
      </c>
      <c r="D8250" s="562">
        <v>215933824</v>
      </c>
      <c r="E8250" s="562"/>
      <c r="F8250" s="562"/>
      <c r="G8250" s="562">
        <f t="shared" si="506"/>
        <v>215933824</v>
      </c>
      <c r="H8250" s="362"/>
      <c r="I8250" s="362"/>
      <c r="J8250" s="362"/>
    </row>
    <row r="8251" spans="1:10" x14ac:dyDescent="0.25">
      <c r="A8251" s="362"/>
      <c r="B8251" s="611">
        <v>44653</v>
      </c>
      <c r="C8251" s="362" t="s">
        <v>87</v>
      </c>
      <c r="D8251" s="562">
        <v>205560680</v>
      </c>
      <c r="E8251" s="562"/>
      <c r="F8251" s="562"/>
      <c r="G8251" s="562">
        <f t="shared" si="506"/>
        <v>205560680</v>
      </c>
      <c r="H8251" s="362"/>
      <c r="I8251" s="362"/>
      <c r="J8251" s="362"/>
    </row>
    <row r="8252" spans="1:10" x14ac:dyDescent="0.25">
      <c r="A8252" s="362"/>
      <c r="B8252" s="611">
        <v>44653</v>
      </c>
      <c r="C8252" s="362" t="s">
        <v>88</v>
      </c>
      <c r="D8252" s="562">
        <v>171492526</v>
      </c>
      <c r="E8252" s="562"/>
      <c r="F8252" s="562"/>
      <c r="G8252" s="562">
        <f t="shared" si="506"/>
        <v>171492526</v>
      </c>
      <c r="H8252" s="362"/>
      <c r="I8252" s="362"/>
      <c r="J8252" s="362"/>
    </row>
    <row r="8253" spans="1:10" x14ac:dyDescent="0.25">
      <c r="A8253" s="362"/>
      <c r="B8253" s="611">
        <v>44653</v>
      </c>
      <c r="C8253" s="362" t="s">
        <v>82</v>
      </c>
      <c r="D8253" s="562">
        <v>84815825</v>
      </c>
      <c r="E8253" s="562"/>
      <c r="F8253" s="562"/>
      <c r="G8253" s="562">
        <f t="shared" si="506"/>
        <v>84815825</v>
      </c>
      <c r="H8253" s="362"/>
      <c r="I8253" s="362"/>
      <c r="J8253" s="362"/>
    </row>
    <row r="8254" spans="1:10" x14ac:dyDescent="0.25">
      <c r="A8254" s="362"/>
      <c r="B8254" s="611">
        <v>44653</v>
      </c>
      <c r="C8254" s="362" t="s">
        <v>80</v>
      </c>
      <c r="D8254" s="562">
        <v>251266852</v>
      </c>
      <c r="E8254" s="562"/>
      <c r="F8254" s="562"/>
      <c r="G8254" s="562">
        <f t="shared" si="506"/>
        <v>251266852</v>
      </c>
      <c r="H8254" s="362"/>
      <c r="I8254" s="362"/>
      <c r="J8254" s="362"/>
    </row>
    <row r="8255" spans="1:10" x14ac:dyDescent="0.25">
      <c r="A8255" s="362"/>
      <c r="B8255" s="611">
        <v>44653</v>
      </c>
      <c r="C8255" s="362" t="s">
        <v>83</v>
      </c>
      <c r="D8255" s="562">
        <v>146544800</v>
      </c>
      <c r="E8255" s="562"/>
      <c r="F8255" s="562"/>
      <c r="G8255" s="562">
        <f t="shared" si="506"/>
        <v>146544800</v>
      </c>
      <c r="H8255" s="362"/>
      <c r="I8255" s="362"/>
      <c r="J8255" s="362"/>
    </row>
    <row r="8256" spans="1:10" x14ac:dyDescent="0.25">
      <c r="A8256" s="362"/>
      <c r="B8256" s="611">
        <v>44653</v>
      </c>
      <c r="C8256" s="362" t="s">
        <v>78</v>
      </c>
      <c r="D8256" s="562">
        <v>277809257</v>
      </c>
      <c r="E8256" s="562"/>
      <c r="F8256" s="562"/>
      <c r="G8256" s="562">
        <f t="shared" si="506"/>
        <v>277809257</v>
      </c>
      <c r="H8256" s="362"/>
      <c r="I8256" s="362"/>
      <c r="J8256" s="362"/>
    </row>
    <row r="8257" spans="1:10" x14ac:dyDescent="0.25">
      <c r="A8257" s="362"/>
      <c r="B8257" s="611">
        <v>44653</v>
      </c>
      <c r="C8257" s="362" t="s">
        <v>141</v>
      </c>
      <c r="D8257" s="562">
        <v>72923300</v>
      </c>
      <c r="E8257" s="562"/>
      <c r="F8257" s="562"/>
      <c r="G8257" s="562">
        <f t="shared" si="506"/>
        <v>72923300</v>
      </c>
      <c r="H8257" s="362"/>
      <c r="I8257" s="362"/>
      <c r="J8257" s="362"/>
    </row>
    <row r="8258" spans="1:10" x14ac:dyDescent="0.25">
      <c r="A8258" s="362"/>
      <c r="B8258" s="611">
        <v>44653</v>
      </c>
      <c r="C8258" s="362" t="s">
        <v>89</v>
      </c>
      <c r="D8258" s="562">
        <v>189868600</v>
      </c>
      <c r="E8258" s="562"/>
      <c r="F8258" s="562"/>
      <c r="G8258" s="562">
        <f t="shared" si="506"/>
        <v>189868600</v>
      </c>
      <c r="H8258" s="362"/>
      <c r="I8258" s="362"/>
      <c r="J8258" s="362"/>
    </row>
    <row r="8259" spans="1:10" x14ac:dyDescent="0.25">
      <c r="A8259" s="362"/>
      <c r="B8259" s="611">
        <v>44653</v>
      </c>
      <c r="C8259" s="362" t="s">
        <v>81</v>
      </c>
      <c r="D8259" s="562">
        <v>148982984</v>
      </c>
      <c r="E8259" s="562"/>
      <c r="F8259" s="562"/>
      <c r="G8259" s="562">
        <f t="shared" si="506"/>
        <v>148982984</v>
      </c>
      <c r="H8259" s="362"/>
      <c r="I8259" s="362"/>
      <c r="J8259" s="362"/>
    </row>
    <row r="8260" spans="1:10" x14ac:dyDescent="0.25">
      <c r="A8260" s="362"/>
      <c r="B8260" s="611">
        <v>44653</v>
      </c>
      <c r="C8260" s="362" t="s">
        <v>84</v>
      </c>
      <c r="D8260" s="562">
        <v>158649574</v>
      </c>
      <c r="E8260" s="562"/>
      <c r="F8260" s="562"/>
      <c r="G8260" s="562">
        <f t="shared" si="506"/>
        <v>158649574</v>
      </c>
      <c r="H8260" s="362"/>
      <c r="I8260" s="362"/>
      <c r="J8260" s="362"/>
    </row>
    <row r="8261" spans="1:10" x14ac:dyDescent="0.25">
      <c r="A8261" s="362"/>
      <c r="B8261" s="611">
        <v>44653</v>
      </c>
      <c r="C8261" s="362" t="s">
        <v>4751</v>
      </c>
      <c r="D8261" s="562">
        <v>268424200</v>
      </c>
      <c r="E8261" s="562"/>
      <c r="F8261" s="562"/>
      <c r="G8261" s="562">
        <f t="shared" si="506"/>
        <v>268424200</v>
      </c>
      <c r="H8261" s="362"/>
      <c r="I8261" s="362"/>
      <c r="J8261" s="362"/>
    </row>
    <row r="8262" spans="1:10" x14ac:dyDescent="0.25">
      <c r="A8262" s="362"/>
      <c r="B8262" s="611">
        <v>44653</v>
      </c>
      <c r="C8262" s="362" t="s">
        <v>166</v>
      </c>
      <c r="D8262" s="562"/>
      <c r="E8262" s="562"/>
      <c r="F8262" s="562"/>
      <c r="G8262" s="562">
        <f t="shared" si="506"/>
        <v>0</v>
      </c>
      <c r="H8262" s="362"/>
      <c r="I8262" s="362"/>
      <c r="J8262" s="362"/>
    </row>
    <row r="8263" spans="1:10" x14ac:dyDescent="0.25">
      <c r="A8263" s="362"/>
      <c r="B8263" s="611">
        <v>44653</v>
      </c>
      <c r="C8263" s="362" t="s">
        <v>3435</v>
      </c>
      <c r="D8263" s="562"/>
      <c r="E8263" s="562"/>
      <c r="F8263" s="562"/>
      <c r="G8263" s="562">
        <f t="shared" si="506"/>
        <v>0</v>
      </c>
      <c r="H8263" s="362"/>
      <c r="I8263" s="362"/>
      <c r="J8263" s="362"/>
    </row>
    <row r="8264" spans="1:10" x14ac:dyDescent="0.25">
      <c r="A8264" s="362"/>
      <c r="B8264" s="611">
        <v>44653</v>
      </c>
      <c r="C8264" s="370" t="s">
        <v>85</v>
      </c>
      <c r="D8264" s="562">
        <v>47555600</v>
      </c>
      <c r="E8264" s="562"/>
      <c r="F8264" s="562"/>
      <c r="G8264" s="562">
        <f t="shared" si="506"/>
        <v>47555600</v>
      </c>
      <c r="H8264" s="362"/>
      <c r="I8264" s="362"/>
      <c r="J8264" s="362"/>
    </row>
    <row r="8265" spans="1:10" x14ac:dyDescent="0.25">
      <c r="A8265" s="532"/>
      <c r="B8265" s="532"/>
      <c r="C8265" s="532"/>
      <c r="D8265" s="564">
        <f>SUM(D8250:D8264)</f>
        <v>2239828022</v>
      </c>
      <c r="E8265" s="564">
        <f t="shared" ref="E8265:G8265" si="509">SUM(E8250:E8264)</f>
        <v>0</v>
      </c>
      <c r="F8265" s="564">
        <f t="shared" si="509"/>
        <v>0</v>
      </c>
      <c r="G8265" s="564">
        <f t="shared" si="509"/>
        <v>2239828022</v>
      </c>
      <c r="H8265" s="532"/>
      <c r="I8265" s="532"/>
      <c r="J8265" s="532"/>
    </row>
    <row r="8266" spans="1:10" x14ac:dyDescent="0.25">
      <c r="A8266" s="362"/>
      <c r="B8266" s="611">
        <v>44655</v>
      </c>
      <c r="C8266" s="362" t="s">
        <v>86</v>
      </c>
      <c r="D8266" s="562">
        <v>67488234</v>
      </c>
      <c r="E8266" s="562"/>
      <c r="F8266" s="562">
        <v>67488300</v>
      </c>
      <c r="G8266" s="562">
        <f t="shared" si="506"/>
        <v>-66</v>
      </c>
      <c r="H8266" s="362"/>
      <c r="I8266" s="362"/>
      <c r="J8266" s="362"/>
    </row>
    <row r="8267" spans="1:10" x14ac:dyDescent="0.25">
      <c r="A8267" s="362"/>
      <c r="B8267" s="611">
        <v>44655</v>
      </c>
      <c r="C8267" s="362" t="s">
        <v>87</v>
      </c>
      <c r="D8267" s="562">
        <v>215113097</v>
      </c>
      <c r="E8267" s="562"/>
      <c r="F8267" s="562">
        <v>215113100</v>
      </c>
      <c r="G8267" s="562">
        <f t="shared" si="506"/>
        <v>-3</v>
      </c>
      <c r="H8267" s="362"/>
      <c r="I8267" s="362"/>
      <c r="J8267" s="362"/>
    </row>
    <row r="8268" spans="1:10" x14ac:dyDescent="0.25">
      <c r="A8268" s="362"/>
      <c r="B8268" s="611">
        <v>44655</v>
      </c>
      <c r="C8268" s="362" t="s">
        <v>88</v>
      </c>
      <c r="D8268" s="562">
        <v>188329209</v>
      </c>
      <c r="E8268" s="562"/>
      <c r="F8268" s="562">
        <v>188329300</v>
      </c>
      <c r="G8268" s="562">
        <f t="shared" si="506"/>
        <v>-91</v>
      </c>
      <c r="H8268" s="362"/>
      <c r="I8268" s="362"/>
      <c r="J8268" s="362"/>
    </row>
    <row r="8269" spans="1:10" x14ac:dyDescent="0.25">
      <c r="A8269" s="362"/>
      <c r="B8269" s="611">
        <v>44655</v>
      </c>
      <c r="C8269" s="362" t="s">
        <v>82</v>
      </c>
      <c r="D8269" s="562">
        <v>67306246</v>
      </c>
      <c r="E8269" s="562"/>
      <c r="F8269" s="562">
        <v>67306300</v>
      </c>
      <c r="G8269" s="562">
        <f t="shared" si="506"/>
        <v>-54</v>
      </c>
      <c r="H8269" s="362"/>
      <c r="I8269" s="362"/>
      <c r="J8269" s="362"/>
    </row>
    <row r="8270" spans="1:10" x14ac:dyDescent="0.25">
      <c r="A8270" s="362"/>
      <c r="B8270" s="611">
        <v>44655</v>
      </c>
      <c r="C8270" s="362" t="s">
        <v>80</v>
      </c>
      <c r="D8270" s="562">
        <v>265435000</v>
      </c>
      <c r="E8270" s="562"/>
      <c r="F8270" s="562">
        <v>265435000</v>
      </c>
      <c r="G8270" s="562">
        <f t="shared" si="506"/>
        <v>0</v>
      </c>
      <c r="H8270" s="362"/>
      <c r="I8270" s="362"/>
      <c r="J8270" s="362"/>
    </row>
    <row r="8271" spans="1:10" x14ac:dyDescent="0.25">
      <c r="A8271" s="362"/>
      <c r="B8271" s="611">
        <v>44655</v>
      </c>
      <c r="C8271" s="362" t="s">
        <v>83</v>
      </c>
      <c r="D8271" s="562">
        <v>200035700</v>
      </c>
      <c r="E8271" s="562"/>
      <c r="F8271" s="562">
        <v>200035700</v>
      </c>
      <c r="G8271" s="562">
        <f t="shared" si="506"/>
        <v>0</v>
      </c>
      <c r="H8271" s="362"/>
      <c r="I8271" s="362"/>
      <c r="J8271" s="362"/>
    </row>
    <row r="8272" spans="1:10" x14ac:dyDescent="0.25">
      <c r="A8272" s="362"/>
      <c r="B8272" s="611">
        <v>44655</v>
      </c>
      <c r="C8272" s="362" t="s">
        <v>78</v>
      </c>
      <c r="D8272" s="562">
        <v>108817900</v>
      </c>
      <c r="E8272" s="562"/>
      <c r="F8272" s="562">
        <v>108817900</v>
      </c>
      <c r="G8272" s="562">
        <f t="shared" si="506"/>
        <v>0</v>
      </c>
      <c r="H8272" s="362"/>
      <c r="I8272" s="362"/>
      <c r="J8272" s="362"/>
    </row>
    <row r="8273" spans="1:10" x14ac:dyDescent="0.25">
      <c r="A8273" s="362"/>
      <c r="B8273" s="611">
        <v>44655</v>
      </c>
      <c r="C8273" s="362" t="s">
        <v>141</v>
      </c>
      <c r="D8273" s="562">
        <v>57496788</v>
      </c>
      <c r="E8273" s="562"/>
      <c r="F8273" s="562">
        <v>57496800</v>
      </c>
      <c r="G8273" s="562">
        <f t="shared" si="506"/>
        <v>-12</v>
      </c>
      <c r="H8273" s="362"/>
      <c r="I8273" s="362"/>
      <c r="J8273" s="362"/>
    </row>
    <row r="8274" spans="1:10" x14ac:dyDescent="0.25">
      <c r="A8274" s="362"/>
      <c r="B8274" s="611">
        <v>44655</v>
      </c>
      <c r="C8274" s="362" t="s">
        <v>89</v>
      </c>
      <c r="D8274" s="562">
        <v>140128700</v>
      </c>
      <c r="E8274" s="562"/>
      <c r="F8274" s="562">
        <v>140128800</v>
      </c>
      <c r="G8274" s="562">
        <f t="shared" si="506"/>
        <v>-100</v>
      </c>
      <c r="H8274" s="362"/>
      <c r="I8274" s="362"/>
      <c r="J8274" s="362"/>
    </row>
    <row r="8275" spans="1:10" x14ac:dyDescent="0.25">
      <c r="A8275" s="362"/>
      <c r="B8275" s="611">
        <v>44655</v>
      </c>
      <c r="C8275" s="362" t="s">
        <v>81</v>
      </c>
      <c r="D8275" s="562">
        <v>164099449</v>
      </c>
      <c r="E8275" s="562"/>
      <c r="F8275" s="562">
        <v>164099500</v>
      </c>
      <c r="G8275" s="562">
        <f t="shared" si="506"/>
        <v>-51</v>
      </c>
      <c r="H8275" s="362"/>
      <c r="I8275" s="362"/>
      <c r="J8275" s="362"/>
    </row>
    <row r="8276" spans="1:10" x14ac:dyDescent="0.25">
      <c r="A8276" s="362"/>
      <c r="B8276" s="611">
        <v>44655</v>
      </c>
      <c r="C8276" s="362" t="s">
        <v>84</v>
      </c>
      <c r="D8276" s="562">
        <v>358850379</v>
      </c>
      <c r="E8276" s="562"/>
      <c r="F8276" s="562">
        <v>358850400</v>
      </c>
      <c r="G8276" s="562">
        <f t="shared" si="506"/>
        <v>-21</v>
      </c>
      <c r="H8276" s="362"/>
      <c r="I8276" s="362"/>
      <c r="J8276" s="362"/>
    </row>
    <row r="8277" spans="1:10" x14ac:dyDescent="0.25">
      <c r="A8277" s="362"/>
      <c r="B8277" s="611">
        <v>44655</v>
      </c>
      <c r="C8277" s="362" t="s">
        <v>4751</v>
      </c>
      <c r="D8277" s="562">
        <v>249084900</v>
      </c>
      <c r="E8277" s="562"/>
      <c r="F8277" s="562">
        <v>249084900</v>
      </c>
      <c r="G8277" s="562">
        <f t="shared" si="506"/>
        <v>0</v>
      </c>
      <c r="H8277" s="362"/>
      <c r="I8277" s="362"/>
      <c r="J8277" s="362"/>
    </row>
    <row r="8278" spans="1:10" x14ac:dyDescent="0.25">
      <c r="A8278" s="362"/>
      <c r="B8278" s="611">
        <v>44655</v>
      </c>
      <c r="C8278" s="362" t="s">
        <v>166</v>
      </c>
      <c r="D8278" s="562">
        <v>106451853</v>
      </c>
      <c r="E8278" s="562"/>
      <c r="F8278" s="562">
        <v>106452000</v>
      </c>
      <c r="G8278" s="562">
        <f t="shared" si="506"/>
        <v>-147</v>
      </c>
      <c r="H8278" s="362"/>
      <c r="I8278" s="362"/>
      <c r="J8278" s="362"/>
    </row>
    <row r="8279" spans="1:10" x14ac:dyDescent="0.25">
      <c r="A8279" s="362"/>
      <c r="B8279" s="611">
        <v>44655</v>
      </c>
      <c r="C8279" s="362" t="s">
        <v>3435</v>
      </c>
      <c r="D8279" s="562">
        <v>29735666</v>
      </c>
      <c r="E8279" s="562"/>
      <c r="F8279" s="562">
        <v>29735700</v>
      </c>
      <c r="G8279" s="562">
        <f t="shared" si="506"/>
        <v>-34</v>
      </c>
      <c r="H8279" s="362"/>
      <c r="I8279" s="362"/>
      <c r="J8279" s="362"/>
    </row>
    <row r="8280" spans="1:10" x14ac:dyDescent="0.25">
      <c r="A8280" s="362"/>
      <c r="B8280" s="611">
        <v>44655</v>
      </c>
      <c r="C8280" s="370" t="s">
        <v>85</v>
      </c>
      <c r="D8280" s="562">
        <v>66961300</v>
      </c>
      <c r="E8280" s="562"/>
      <c r="F8280" s="562">
        <v>66961300</v>
      </c>
      <c r="G8280" s="562">
        <f t="shared" si="506"/>
        <v>0</v>
      </c>
      <c r="H8280" s="362"/>
      <c r="I8280" s="362"/>
      <c r="J8280" s="362"/>
    </row>
    <row r="8281" spans="1:10" x14ac:dyDescent="0.25">
      <c r="A8281" s="532"/>
      <c r="B8281" s="532"/>
      <c r="C8281" s="532"/>
      <c r="D8281" s="632">
        <f>SUM(D8266:D8280)</f>
        <v>2285334421</v>
      </c>
      <c r="E8281" s="632">
        <f t="shared" ref="E8281:G8281" si="510">SUM(E8266:E8280)</f>
        <v>0</v>
      </c>
      <c r="F8281" s="632">
        <f t="shared" si="510"/>
        <v>2285335000</v>
      </c>
      <c r="G8281" s="632">
        <f t="shared" si="510"/>
        <v>-579</v>
      </c>
      <c r="H8281" s="532"/>
      <c r="I8281" s="532"/>
      <c r="J8281" s="532"/>
    </row>
    <row r="8282" spans="1:10" x14ac:dyDescent="0.25">
      <c r="A8282" s="362"/>
      <c r="B8282" s="611">
        <v>44656</v>
      </c>
      <c r="C8282" s="362" t="s">
        <v>86</v>
      </c>
      <c r="D8282" s="562">
        <v>141376333</v>
      </c>
      <c r="E8282" s="562"/>
      <c r="F8282" s="562"/>
      <c r="G8282" s="562">
        <f t="shared" si="506"/>
        <v>141376333</v>
      </c>
      <c r="H8282" s="362"/>
      <c r="I8282" s="362"/>
      <c r="J8282" s="362"/>
    </row>
    <row r="8283" spans="1:10" x14ac:dyDescent="0.25">
      <c r="A8283" s="362"/>
      <c r="B8283" s="611">
        <v>44656</v>
      </c>
      <c r="C8283" s="362" t="s">
        <v>87</v>
      </c>
      <c r="D8283" s="562">
        <v>153369200</v>
      </c>
      <c r="E8283" s="562"/>
      <c r="F8283" s="562"/>
      <c r="G8283" s="562">
        <f t="shared" si="506"/>
        <v>153369200</v>
      </c>
      <c r="H8283" s="362"/>
      <c r="I8283" s="362"/>
      <c r="J8283" s="362"/>
    </row>
    <row r="8284" spans="1:10" x14ac:dyDescent="0.25">
      <c r="A8284" s="362"/>
      <c r="B8284" s="611">
        <v>44656</v>
      </c>
      <c r="C8284" s="362" t="s">
        <v>88</v>
      </c>
      <c r="D8284" s="562">
        <v>233318380</v>
      </c>
      <c r="E8284" s="562"/>
      <c r="F8284" s="562"/>
      <c r="G8284" s="562">
        <f t="shared" ref="G8284:G8347" si="511">D8284+E8284-F8284</f>
        <v>233318380</v>
      </c>
      <c r="H8284" s="362"/>
      <c r="I8284" s="362"/>
      <c r="J8284" s="362"/>
    </row>
    <row r="8285" spans="1:10" x14ac:dyDescent="0.25">
      <c r="A8285" s="362"/>
      <c r="B8285" s="611">
        <v>44656</v>
      </c>
      <c r="C8285" s="362" t="s">
        <v>82</v>
      </c>
      <c r="D8285" s="562">
        <v>79955111</v>
      </c>
      <c r="E8285" s="562"/>
      <c r="F8285" s="562"/>
      <c r="G8285" s="562">
        <f t="shared" si="511"/>
        <v>79955111</v>
      </c>
      <c r="H8285" s="362"/>
      <c r="I8285" s="362"/>
      <c r="J8285" s="362"/>
    </row>
    <row r="8286" spans="1:10" x14ac:dyDescent="0.25">
      <c r="A8286" s="362"/>
      <c r="B8286" s="611">
        <v>44656</v>
      </c>
      <c r="C8286" s="362" t="s">
        <v>80</v>
      </c>
      <c r="D8286" s="562">
        <v>399041300</v>
      </c>
      <c r="E8286" s="562"/>
      <c r="F8286" s="562"/>
      <c r="G8286" s="562">
        <f t="shared" si="511"/>
        <v>399041300</v>
      </c>
      <c r="H8286" s="362"/>
      <c r="I8286" s="362"/>
      <c r="J8286" s="362"/>
    </row>
    <row r="8287" spans="1:10" x14ac:dyDescent="0.25">
      <c r="A8287" s="362"/>
      <c r="B8287" s="611">
        <v>44656</v>
      </c>
      <c r="C8287" s="362" t="s">
        <v>83</v>
      </c>
      <c r="D8287" s="562">
        <v>295794236</v>
      </c>
      <c r="E8287" s="562"/>
      <c r="F8287" s="562"/>
      <c r="G8287" s="562">
        <f t="shared" si="511"/>
        <v>295794236</v>
      </c>
      <c r="H8287" s="362"/>
      <c r="I8287" s="362"/>
      <c r="J8287" s="362"/>
    </row>
    <row r="8288" spans="1:10" x14ac:dyDescent="0.25">
      <c r="A8288" s="362"/>
      <c r="B8288" s="611">
        <v>44656</v>
      </c>
      <c r="C8288" s="362" t="s">
        <v>78</v>
      </c>
      <c r="D8288" s="562">
        <v>159672785</v>
      </c>
      <c r="E8288" s="562"/>
      <c r="F8288" s="562"/>
      <c r="G8288" s="562">
        <f t="shared" si="511"/>
        <v>159672785</v>
      </c>
      <c r="H8288" s="362"/>
      <c r="I8288" s="362"/>
      <c r="J8288" s="362"/>
    </row>
    <row r="8289" spans="1:10" x14ac:dyDescent="0.25">
      <c r="A8289" s="362"/>
      <c r="B8289" s="611">
        <v>44656</v>
      </c>
      <c r="C8289" s="362" t="s">
        <v>141</v>
      </c>
      <c r="D8289" s="562">
        <v>124822862</v>
      </c>
      <c r="E8289" s="562"/>
      <c r="F8289" s="562"/>
      <c r="G8289" s="562">
        <f t="shared" si="511"/>
        <v>124822862</v>
      </c>
      <c r="H8289" s="362"/>
      <c r="I8289" s="362"/>
      <c r="J8289" s="362"/>
    </row>
    <row r="8290" spans="1:10" x14ac:dyDescent="0.25">
      <c r="A8290" s="362"/>
      <c r="B8290" s="611">
        <v>44656</v>
      </c>
      <c r="C8290" s="362" t="s">
        <v>89</v>
      </c>
      <c r="D8290" s="562">
        <v>267389300</v>
      </c>
      <c r="E8290" s="562"/>
      <c r="F8290" s="562"/>
      <c r="G8290" s="562">
        <f t="shared" si="511"/>
        <v>267389300</v>
      </c>
      <c r="H8290" s="362"/>
      <c r="I8290" s="362"/>
      <c r="J8290" s="362"/>
    </row>
    <row r="8291" spans="1:10" x14ac:dyDescent="0.25">
      <c r="A8291" s="362"/>
      <c r="B8291" s="611">
        <v>44656</v>
      </c>
      <c r="C8291" s="362" t="s">
        <v>81</v>
      </c>
      <c r="D8291" s="562">
        <v>131416798</v>
      </c>
      <c r="E8291" s="562"/>
      <c r="F8291" s="562"/>
      <c r="G8291" s="562">
        <f t="shared" si="511"/>
        <v>131416798</v>
      </c>
      <c r="H8291" s="362"/>
      <c r="I8291" s="362"/>
      <c r="J8291" s="362"/>
    </row>
    <row r="8292" spans="1:10" x14ac:dyDescent="0.25">
      <c r="A8292" s="362"/>
      <c r="B8292" s="611">
        <v>44656</v>
      </c>
      <c r="C8292" s="362" t="s">
        <v>84</v>
      </c>
      <c r="D8292" s="562">
        <v>425535468</v>
      </c>
      <c r="E8292" s="562"/>
      <c r="F8292" s="562"/>
      <c r="G8292" s="562">
        <f t="shared" si="511"/>
        <v>425535468</v>
      </c>
      <c r="H8292" s="362"/>
      <c r="I8292" s="362"/>
      <c r="J8292" s="362"/>
    </row>
    <row r="8293" spans="1:10" x14ac:dyDescent="0.25">
      <c r="A8293" s="362"/>
      <c r="B8293" s="611">
        <v>44656</v>
      </c>
      <c r="C8293" s="362" t="s">
        <v>4751</v>
      </c>
      <c r="D8293" s="562">
        <v>335043200</v>
      </c>
      <c r="E8293" s="562"/>
      <c r="F8293" s="562"/>
      <c r="G8293" s="562">
        <f t="shared" si="511"/>
        <v>335043200</v>
      </c>
      <c r="H8293" s="362"/>
      <c r="I8293" s="362"/>
      <c r="J8293" s="362"/>
    </row>
    <row r="8294" spans="1:10" x14ac:dyDescent="0.25">
      <c r="A8294" s="362"/>
      <c r="B8294" s="611">
        <v>44656</v>
      </c>
      <c r="C8294" s="362" t="s">
        <v>166</v>
      </c>
      <c r="D8294" s="562">
        <v>90032149</v>
      </c>
      <c r="E8294" s="562"/>
      <c r="F8294" s="562"/>
      <c r="G8294" s="562">
        <f t="shared" si="511"/>
        <v>90032149</v>
      </c>
      <c r="H8294" s="362"/>
      <c r="I8294" s="362"/>
      <c r="J8294" s="362"/>
    </row>
    <row r="8295" spans="1:10" x14ac:dyDescent="0.25">
      <c r="A8295" s="362"/>
      <c r="B8295" s="611">
        <v>44656</v>
      </c>
      <c r="C8295" s="362" t="s">
        <v>3435</v>
      </c>
      <c r="D8295" s="562">
        <v>121424775</v>
      </c>
      <c r="E8295" s="562"/>
      <c r="F8295" s="562"/>
      <c r="G8295" s="562">
        <f t="shared" si="511"/>
        <v>121424775</v>
      </c>
      <c r="H8295" s="362"/>
      <c r="I8295" s="362"/>
      <c r="J8295" s="362"/>
    </row>
    <row r="8296" spans="1:10" x14ac:dyDescent="0.25">
      <c r="A8296" s="362"/>
      <c r="B8296" s="611">
        <v>44656</v>
      </c>
      <c r="C8296" s="370" t="s">
        <v>85</v>
      </c>
      <c r="D8296" s="562">
        <v>38661800</v>
      </c>
      <c r="E8296" s="562"/>
      <c r="F8296" s="562"/>
      <c r="G8296" s="562">
        <f t="shared" si="511"/>
        <v>38661800</v>
      </c>
      <c r="H8296" s="362"/>
      <c r="I8296" s="362"/>
      <c r="J8296" s="362"/>
    </row>
    <row r="8297" spans="1:10" x14ac:dyDescent="0.25">
      <c r="A8297" s="532"/>
      <c r="B8297" s="532"/>
      <c r="C8297" s="532"/>
      <c r="D8297" s="564">
        <f>SUM(D8282:D8296)</f>
        <v>2996853697</v>
      </c>
      <c r="E8297" s="564">
        <f t="shared" ref="E8297:G8297" si="512">SUM(E8282:E8296)</f>
        <v>0</v>
      </c>
      <c r="F8297" s="564">
        <f t="shared" si="512"/>
        <v>0</v>
      </c>
      <c r="G8297" s="564">
        <f t="shared" si="512"/>
        <v>2996853697</v>
      </c>
      <c r="H8297" s="532"/>
      <c r="I8297" s="532"/>
      <c r="J8297" s="532"/>
    </row>
    <row r="8298" spans="1:10" x14ac:dyDescent="0.25">
      <c r="A8298" s="362"/>
      <c r="B8298" s="611">
        <v>44657</v>
      </c>
      <c r="C8298" s="362" t="s">
        <v>86</v>
      </c>
      <c r="D8298" s="562">
        <v>205579809</v>
      </c>
      <c r="E8298" s="562"/>
      <c r="F8298" s="562">
        <v>205580000</v>
      </c>
      <c r="G8298" s="562">
        <f t="shared" si="511"/>
        <v>-191</v>
      </c>
      <c r="H8298" s="362"/>
      <c r="I8298" s="362"/>
      <c r="J8298" s="362"/>
    </row>
    <row r="8299" spans="1:10" x14ac:dyDescent="0.25">
      <c r="A8299" s="362"/>
      <c r="B8299" s="611">
        <v>44657</v>
      </c>
      <c r="C8299" s="362" t="s">
        <v>87</v>
      </c>
      <c r="D8299" s="562">
        <v>181236304</v>
      </c>
      <c r="E8299" s="562"/>
      <c r="F8299" s="562">
        <v>181236400</v>
      </c>
      <c r="G8299" s="562">
        <f t="shared" si="511"/>
        <v>-96</v>
      </c>
      <c r="H8299" s="362"/>
      <c r="I8299" s="362"/>
      <c r="J8299" s="362"/>
    </row>
    <row r="8300" spans="1:10" x14ac:dyDescent="0.25">
      <c r="A8300" s="362"/>
      <c r="B8300" s="611">
        <v>44657</v>
      </c>
      <c r="C8300" s="362" t="s">
        <v>88</v>
      </c>
      <c r="D8300" s="562">
        <v>154709163</v>
      </c>
      <c r="E8300" s="562"/>
      <c r="F8300" s="562">
        <v>154709200</v>
      </c>
      <c r="G8300" s="562">
        <f t="shared" si="511"/>
        <v>-37</v>
      </c>
      <c r="H8300" s="362"/>
      <c r="I8300" s="362"/>
      <c r="J8300" s="362"/>
    </row>
    <row r="8301" spans="1:10" x14ac:dyDescent="0.25">
      <c r="A8301" s="362"/>
      <c r="B8301" s="611">
        <v>44657</v>
      </c>
      <c r="C8301" s="362" t="s">
        <v>82</v>
      </c>
      <c r="D8301" s="562">
        <v>104727860</v>
      </c>
      <c r="E8301" s="562"/>
      <c r="F8301" s="562">
        <v>104727900</v>
      </c>
      <c r="G8301" s="562">
        <f t="shared" si="511"/>
        <v>-40</v>
      </c>
      <c r="H8301" s="362"/>
      <c r="I8301" s="362"/>
      <c r="J8301" s="362"/>
    </row>
    <row r="8302" spans="1:10" x14ac:dyDescent="0.25">
      <c r="A8302" s="362"/>
      <c r="B8302" s="611">
        <v>44657</v>
      </c>
      <c r="C8302" s="362" t="s">
        <v>80</v>
      </c>
      <c r="D8302" s="562">
        <v>353847700</v>
      </c>
      <c r="E8302" s="562"/>
      <c r="F8302" s="562">
        <v>353858400</v>
      </c>
      <c r="G8302" s="562">
        <f t="shared" si="511"/>
        <v>-10700</v>
      </c>
      <c r="H8302" s="362"/>
      <c r="I8302" s="362"/>
      <c r="J8302" s="362"/>
    </row>
    <row r="8303" spans="1:10" x14ac:dyDescent="0.25">
      <c r="A8303" s="362"/>
      <c r="B8303" s="611">
        <v>44657</v>
      </c>
      <c r="C8303" s="362" t="s">
        <v>83</v>
      </c>
      <c r="D8303" s="562">
        <v>254726368</v>
      </c>
      <c r="E8303" s="562"/>
      <c r="F8303" s="562">
        <v>254726400</v>
      </c>
      <c r="G8303" s="562">
        <f t="shared" si="511"/>
        <v>-32</v>
      </c>
      <c r="H8303" s="362"/>
      <c r="I8303" s="362"/>
      <c r="J8303" s="362"/>
    </row>
    <row r="8304" spans="1:10" x14ac:dyDescent="0.25">
      <c r="A8304" s="362"/>
      <c r="B8304" s="611">
        <v>44657</v>
      </c>
      <c r="C8304" s="362" t="s">
        <v>78</v>
      </c>
      <c r="D8304" s="562">
        <v>195055202</v>
      </c>
      <c r="E8304" s="562"/>
      <c r="F8304" s="562">
        <v>194955300</v>
      </c>
      <c r="G8304" s="562">
        <f t="shared" si="511"/>
        <v>99902</v>
      </c>
      <c r="H8304" s="362"/>
      <c r="I8304" s="362"/>
      <c r="J8304" s="362"/>
    </row>
    <row r="8305" spans="1:10" x14ac:dyDescent="0.25">
      <c r="A8305" s="362"/>
      <c r="B8305" s="611">
        <v>44657</v>
      </c>
      <c r="C8305" s="362" t="s">
        <v>141</v>
      </c>
      <c r="D8305" s="562">
        <v>141514319</v>
      </c>
      <c r="E8305" s="562"/>
      <c r="F8305" s="562">
        <v>141514400</v>
      </c>
      <c r="G8305" s="562">
        <f t="shared" si="511"/>
        <v>-81</v>
      </c>
      <c r="H8305" s="362"/>
      <c r="I8305" s="362"/>
      <c r="J8305" s="362"/>
    </row>
    <row r="8306" spans="1:10" x14ac:dyDescent="0.25">
      <c r="A8306" s="362"/>
      <c r="B8306" s="611">
        <v>44657</v>
      </c>
      <c r="C8306" s="362" t="s">
        <v>89</v>
      </c>
      <c r="D8306" s="562">
        <v>225246600</v>
      </c>
      <c r="E8306" s="562"/>
      <c r="F8306" s="562">
        <v>225246500</v>
      </c>
      <c r="G8306" s="562">
        <f t="shared" si="511"/>
        <v>100</v>
      </c>
      <c r="H8306" s="362"/>
      <c r="I8306" s="362"/>
      <c r="J8306" s="362"/>
    </row>
    <row r="8307" spans="1:10" x14ac:dyDescent="0.25">
      <c r="A8307" s="362"/>
      <c r="B8307" s="611">
        <v>44657</v>
      </c>
      <c r="C8307" s="362" t="s">
        <v>81</v>
      </c>
      <c r="D8307" s="562">
        <v>150355995</v>
      </c>
      <c r="E8307" s="562"/>
      <c r="F8307" s="562">
        <v>150356000</v>
      </c>
      <c r="G8307" s="562">
        <f t="shared" si="511"/>
        <v>-5</v>
      </c>
      <c r="H8307" s="362"/>
      <c r="I8307" s="362"/>
      <c r="J8307" s="362"/>
    </row>
    <row r="8308" spans="1:10" x14ac:dyDescent="0.25">
      <c r="A8308" s="362"/>
      <c r="B8308" s="611">
        <v>44657</v>
      </c>
      <c r="C8308" s="362" t="s">
        <v>84</v>
      </c>
      <c r="D8308" s="562">
        <v>309331388</v>
      </c>
      <c r="E8308" s="562"/>
      <c r="F8308" s="562">
        <v>309331400</v>
      </c>
      <c r="G8308" s="562">
        <f t="shared" si="511"/>
        <v>-12</v>
      </c>
      <c r="H8308" s="362"/>
      <c r="I8308" s="362"/>
      <c r="J8308" s="362"/>
    </row>
    <row r="8309" spans="1:10" x14ac:dyDescent="0.25">
      <c r="A8309" s="362"/>
      <c r="B8309" s="611">
        <v>44657</v>
      </c>
      <c r="C8309" s="362" t="s">
        <v>4751</v>
      </c>
      <c r="D8309" s="562">
        <v>223538400</v>
      </c>
      <c r="E8309" s="562"/>
      <c r="F8309" s="562">
        <v>223538400</v>
      </c>
      <c r="G8309" s="562">
        <f t="shared" si="511"/>
        <v>0</v>
      </c>
      <c r="H8309" s="362"/>
      <c r="I8309" s="362"/>
      <c r="J8309" s="362"/>
    </row>
    <row r="8310" spans="1:10" x14ac:dyDescent="0.25">
      <c r="A8310" s="362"/>
      <c r="B8310" s="611">
        <v>44657</v>
      </c>
      <c r="C8310" s="362" t="s">
        <v>166</v>
      </c>
      <c r="D8310" s="562">
        <v>76746066</v>
      </c>
      <c r="E8310" s="562"/>
      <c r="F8310" s="562">
        <v>76746000</v>
      </c>
      <c r="G8310" s="562">
        <f t="shared" si="511"/>
        <v>66</v>
      </c>
      <c r="H8310" s="362"/>
      <c r="I8310" s="362"/>
      <c r="J8310" s="362"/>
    </row>
    <row r="8311" spans="1:10" x14ac:dyDescent="0.25">
      <c r="A8311" s="362"/>
      <c r="B8311" s="611">
        <v>44657</v>
      </c>
      <c r="C8311" s="362" t="s">
        <v>3435</v>
      </c>
      <c r="D8311" s="562">
        <v>63724074</v>
      </c>
      <c r="E8311" s="562"/>
      <c r="F8311" s="562">
        <v>63724100</v>
      </c>
      <c r="G8311" s="562">
        <f t="shared" si="511"/>
        <v>-26</v>
      </c>
      <c r="H8311" s="362"/>
      <c r="I8311" s="362"/>
      <c r="J8311" s="362"/>
    </row>
    <row r="8312" spans="1:10" x14ac:dyDescent="0.25">
      <c r="A8312" s="362"/>
      <c r="B8312" s="611">
        <v>44657</v>
      </c>
      <c r="C8312" s="370" t="s">
        <v>85</v>
      </c>
      <c r="D8312" s="562">
        <v>62477900</v>
      </c>
      <c r="E8312" s="562"/>
      <c r="F8312" s="562">
        <v>62477900</v>
      </c>
      <c r="G8312" s="562">
        <f t="shared" si="511"/>
        <v>0</v>
      </c>
      <c r="H8312" s="362"/>
      <c r="I8312" s="362"/>
      <c r="J8312" s="362"/>
    </row>
    <row r="8313" spans="1:10" x14ac:dyDescent="0.25">
      <c r="A8313" s="532"/>
      <c r="B8313" s="532"/>
      <c r="C8313" s="532"/>
      <c r="D8313" s="564">
        <f>SUM(D8298:D8312)</f>
        <v>2702817148</v>
      </c>
      <c r="E8313" s="564">
        <f t="shared" ref="E8313:G8313" si="513">SUM(E8298:E8312)</f>
        <v>0</v>
      </c>
      <c r="F8313" s="564">
        <f t="shared" si="513"/>
        <v>2702728300</v>
      </c>
      <c r="G8313" s="564">
        <f t="shared" si="513"/>
        <v>88848</v>
      </c>
      <c r="H8313" s="532"/>
      <c r="I8313" s="532"/>
      <c r="J8313" s="532"/>
    </row>
    <row r="8314" spans="1:10" x14ac:dyDescent="0.25">
      <c r="A8314" s="362"/>
      <c r="B8314" s="611">
        <v>44658</v>
      </c>
      <c r="C8314" s="362" t="s">
        <v>86</v>
      </c>
      <c r="D8314" s="562">
        <v>251640972</v>
      </c>
      <c r="E8314" s="562"/>
      <c r="F8314" s="562">
        <v>251641000</v>
      </c>
      <c r="G8314" s="562">
        <f t="shared" si="511"/>
        <v>-28</v>
      </c>
      <c r="H8314" s="362"/>
      <c r="I8314" s="362"/>
      <c r="J8314" s="362"/>
    </row>
    <row r="8315" spans="1:10" x14ac:dyDescent="0.25">
      <c r="A8315" s="362"/>
      <c r="B8315" s="611">
        <v>44658</v>
      </c>
      <c r="C8315" s="362" t="s">
        <v>87</v>
      </c>
      <c r="D8315" s="562">
        <v>282390522</v>
      </c>
      <c r="E8315" s="562"/>
      <c r="F8315" s="562">
        <v>282390400</v>
      </c>
      <c r="G8315" s="562">
        <f t="shared" si="511"/>
        <v>122</v>
      </c>
      <c r="H8315" s="362"/>
      <c r="I8315" s="362"/>
      <c r="J8315" s="362"/>
    </row>
    <row r="8316" spans="1:10" x14ac:dyDescent="0.25">
      <c r="A8316" s="362"/>
      <c r="B8316" s="611">
        <v>44658</v>
      </c>
      <c r="C8316" s="362" t="s">
        <v>88</v>
      </c>
      <c r="D8316" s="562">
        <v>250786532</v>
      </c>
      <c r="E8316" s="562"/>
      <c r="F8316" s="562">
        <v>250786600</v>
      </c>
      <c r="G8316" s="562">
        <f t="shared" si="511"/>
        <v>-68</v>
      </c>
      <c r="H8316" s="362"/>
      <c r="I8316" s="362"/>
      <c r="J8316" s="362"/>
    </row>
    <row r="8317" spans="1:10" x14ac:dyDescent="0.25">
      <c r="A8317" s="362"/>
      <c r="B8317" s="611">
        <v>44658</v>
      </c>
      <c r="C8317" s="362" t="s">
        <v>82</v>
      </c>
      <c r="D8317" s="562">
        <v>205426563</v>
      </c>
      <c r="E8317" s="562"/>
      <c r="F8317" s="562">
        <v>205426700</v>
      </c>
      <c r="G8317" s="562">
        <f t="shared" si="511"/>
        <v>-137</v>
      </c>
      <c r="H8317" s="362"/>
      <c r="I8317" s="362"/>
      <c r="J8317" s="362"/>
    </row>
    <row r="8318" spans="1:10" x14ac:dyDescent="0.25">
      <c r="A8318" s="362"/>
      <c r="B8318" s="611">
        <v>44658</v>
      </c>
      <c r="C8318" s="362" t="s">
        <v>80</v>
      </c>
      <c r="D8318" s="562">
        <v>402479622</v>
      </c>
      <c r="E8318" s="562"/>
      <c r="F8318" s="562">
        <v>402471700</v>
      </c>
      <c r="G8318" s="562">
        <f t="shared" si="511"/>
        <v>7922</v>
      </c>
      <c r="H8318" s="362"/>
      <c r="I8318" s="362"/>
      <c r="J8318" s="362"/>
    </row>
    <row r="8319" spans="1:10" x14ac:dyDescent="0.25">
      <c r="A8319" s="362"/>
      <c r="B8319" s="611">
        <v>44658</v>
      </c>
      <c r="C8319" s="362" t="s">
        <v>83</v>
      </c>
      <c r="D8319" s="562">
        <v>175770198</v>
      </c>
      <c r="E8319" s="562"/>
      <c r="F8319" s="562">
        <v>175770200</v>
      </c>
      <c r="G8319" s="562">
        <f t="shared" si="511"/>
        <v>-2</v>
      </c>
      <c r="H8319" s="362"/>
      <c r="I8319" s="362"/>
      <c r="J8319" s="362"/>
    </row>
    <row r="8320" spans="1:10" x14ac:dyDescent="0.25">
      <c r="A8320" s="362"/>
      <c r="B8320" s="611">
        <v>44658</v>
      </c>
      <c r="C8320" s="362" t="s">
        <v>78</v>
      </c>
      <c r="D8320" s="562">
        <v>158661053</v>
      </c>
      <c r="E8320" s="562"/>
      <c r="F8320" s="562">
        <v>158661100</v>
      </c>
      <c r="G8320" s="562">
        <f t="shared" si="511"/>
        <v>-47</v>
      </c>
      <c r="H8320" s="362"/>
      <c r="I8320" s="362"/>
      <c r="J8320" s="362"/>
    </row>
    <row r="8321" spans="1:10" x14ac:dyDescent="0.25">
      <c r="A8321" s="362"/>
      <c r="B8321" s="611">
        <v>44658</v>
      </c>
      <c r="C8321" s="362" t="s">
        <v>141</v>
      </c>
      <c r="D8321" s="562">
        <v>89994452</v>
      </c>
      <c r="E8321" s="562"/>
      <c r="F8321" s="562">
        <v>89994500</v>
      </c>
      <c r="G8321" s="562">
        <f t="shared" si="511"/>
        <v>-48</v>
      </c>
      <c r="H8321" s="362"/>
      <c r="I8321" s="362"/>
      <c r="J8321" s="362"/>
    </row>
    <row r="8322" spans="1:10" x14ac:dyDescent="0.25">
      <c r="A8322" s="362"/>
      <c r="B8322" s="611">
        <v>44658</v>
      </c>
      <c r="C8322" s="362" t="s">
        <v>89</v>
      </c>
      <c r="D8322" s="562">
        <v>232046100</v>
      </c>
      <c r="E8322" s="562"/>
      <c r="F8322" s="562">
        <v>232046100</v>
      </c>
      <c r="G8322" s="562">
        <f t="shared" si="511"/>
        <v>0</v>
      </c>
      <c r="H8322" s="362"/>
      <c r="I8322" s="362"/>
      <c r="J8322" s="362"/>
    </row>
    <row r="8323" spans="1:10" x14ac:dyDescent="0.25">
      <c r="A8323" s="362"/>
      <c r="B8323" s="611">
        <v>44658</v>
      </c>
      <c r="C8323" s="362" t="s">
        <v>81</v>
      </c>
      <c r="D8323" s="562">
        <v>176689431</v>
      </c>
      <c r="E8323" s="562"/>
      <c r="F8323" s="562">
        <v>176689500</v>
      </c>
      <c r="G8323" s="562">
        <f t="shared" si="511"/>
        <v>-69</v>
      </c>
      <c r="H8323" s="362"/>
      <c r="I8323" s="362"/>
      <c r="J8323" s="362"/>
    </row>
    <row r="8324" spans="1:10" x14ac:dyDescent="0.25">
      <c r="A8324" s="362"/>
      <c r="B8324" s="611">
        <v>44658</v>
      </c>
      <c r="C8324" s="362" t="s">
        <v>84</v>
      </c>
      <c r="D8324" s="562">
        <v>442683266</v>
      </c>
      <c r="E8324" s="562"/>
      <c r="F8324" s="562">
        <v>442683700</v>
      </c>
      <c r="G8324" s="562">
        <f t="shared" si="511"/>
        <v>-434</v>
      </c>
      <c r="H8324" s="362"/>
      <c r="I8324" s="362"/>
      <c r="J8324" s="362"/>
    </row>
    <row r="8325" spans="1:10" x14ac:dyDescent="0.25">
      <c r="A8325" s="362"/>
      <c r="B8325" s="611">
        <v>44658</v>
      </c>
      <c r="C8325" s="362" t="s">
        <v>4751</v>
      </c>
      <c r="D8325" s="562">
        <v>342503400</v>
      </c>
      <c r="E8325" s="562"/>
      <c r="F8325" s="562">
        <v>342503400</v>
      </c>
      <c r="G8325" s="562">
        <f t="shared" si="511"/>
        <v>0</v>
      </c>
      <c r="H8325" s="362"/>
      <c r="I8325" s="362"/>
      <c r="J8325" s="362"/>
    </row>
    <row r="8326" spans="1:10" x14ac:dyDescent="0.25">
      <c r="A8326" s="362"/>
      <c r="B8326" s="611">
        <v>44658</v>
      </c>
      <c r="C8326" s="362" t="s">
        <v>166</v>
      </c>
      <c r="D8326" s="562">
        <v>86212599</v>
      </c>
      <c r="E8326" s="562"/>
      <c r="F8326" s="562">
        <v>86212600</v>
      </c>
      <c r="G8326" s="562">
        <f t="shared" si="511"/>
        <v>-1</v>
      </c>
      <c r="H8326" s="362"/>
      <c r="I8326" s="362"/>
      <c r="J8326" s="362"/>
    </row>
    <row r="8327" spans="1:10" x14ac:dyDescent="0.25">
      <c r="A8327" s="362"/>
      <c r="B8327" s="611">
        <v>44658</v>
      </c>
      <c r="C8327" s="362" t="s">
        <v>3435</v>
      </c>
      <c r="D8327" s="562">
        <v>77852957</v>
      </c>
      <c r="E8327" s="562"/>
      <c r="F8327" s="562">
        <v>77853000</v>
      </c>
      <c r="G8327" s="562">
        <f t="shared" si="511"/>
        <v>-43</v>
      </c>
      <c r="H8327" s="362"/>
      <c r="I8327" s="362"/>
      <c r="J8327" s="362"/>
    </row>
    <row r="8328" spans="1:10" x14ac:dyDescent="0.25">
      <c r="A8328" s="362"/>
      <c r="B8328" s="611">
        <v>44658</v>
      </c>
      <c r="C8328" s="370" t="s">
        <v>85</v>
      </c>
      <c r="D8328" s="562">
        <v>46206100</v>
      </c>
      <c r="E8328" s="562"/>
      <c r="F8328" s="562">
        <v>46206100</v>
      </c>
      <c r="G8328" s="562">
        <f t="shared" si="511"/>
        <v>0</v>
      </c>
      <c r="H8328" s="362"/>
      <c r="I8328" s="362"/>
      <c r="J8328" s="362"/>
    </row>
    <row r="8329" spans="1:10" x14ac:dyDescent="0.25">
      <c r="A8329" s="532"/>
      <c r="B8329" s="532"/>
      <c r="C8329" s="532"/>
      <c r="D8329" s="564">
        <f>SUM(D8314:D8328)</f>
        <v>3221343767</v>
      </c>
      <c r="E8329" s="564">
        <f t="shared" ref="E8329:G8329" si="514">SUM(E8314:E8328)</f>
        <v>0</v>
      </c>
      <c r="F8329" s="564">
        <f t="shared" si="514"/>
        <v>3221336600</v>
      </c>
      <c r="G8329" s="564">
        <f t="shared" si="514"/>
        <v>7167</v>
      </c>
      <c r="H8329" s="532"/>
      <c r="I8329" s="532"/>
      <c r="J8329" s="532"/>
    </row>
    <row r="8330" spans="1:10" x14ac:dyDescent="0.25">
      <c r="A8330" s="362"/>
      <c r="B8330" s="611">
        <v>44659</v>
      </c>
      <c r="C8330" s="362" t="s">
        <v>86</v>
      </c>
      <c r="D8330" s="562">
        <v>140178220</v>
      </c>
      <c r="E8330" s="562"/>
      <c r="F8330" s="562">
        <v>140178300</v>
      </c>
      <c r="G8330" s="562">
        <f t="shared" si="511"/>
        <v>-80</v>
      </c>
      <c r="H8330" s="362"/>
      <c r="I8330" s="362"/>
      <c r="J8330" s="362"/>
    </row>
    <row r="8331" spans="1:10" x14ac:dyDescent="0.25">
      <c r="A8331" s="362"/>
      <c r="B8331" s="611">
        <v>44659</v>
      </c>
      <c r="C8331" s="362" t="s">
        <v>87</v>
      </c>
      <c r="D8331" s="562">
        <v>348856705</v>
      </c>
      <c r="E8331" s="562"/>
      <c r="F8331" s="562">
        <v>348856800</v>
      </c>
      <c r="G8331" s="562">
        <f t="shared" si="511"/>
        <v>-95</v>
      </c>
      <c r="H8331" s="362"/>
      <c r="I8331" s="362"/>
      <c r="J8331" s="362"/>
    </row>
    <row r="8332" spans="1:10" x14ac:dyDescent="0.25">
      <c r="A8332" s="362"/>
      <c r="B8332" s="611">
        <v>44659</v>
      </c>
      <c r="C8332" s="362" t="s">
        <v>88</v>
      </c>
      <c r="D8332" s="562">
        <v>228162507</v>
      </c>
      <c r="E8332" s="562"/>
      <c r="F8332" s="562">
        <v>228162600</v>
      </c>
      <c r="G8332" s="562">
        <f t="shared" si="511"/>
        <v>-93</v>
      </c>
      <c r="H8332" s="362"/>
      <c r="I8332" s="362"/>
      <c r="J8332" s="362"/>
    </row>
    <row r="8333" spans="1:10" x14ac:dyDescent="0.25">
      <c r="A8333" s="362"/>
      <c r="B8333" s="611">
        <v>44659</v>
      </c>
      <c r="C8333" s="362" t="s">
        <v>82</v>
      </c>
      <c r="D8333" s="562">
        <v>111342276</v>
      </c>
      <c r="E8333" s="562"/>
      <c r="F8333" s="562">
        <v>111339300</v>
      </c>
      <c r="G8333" s="562">
        <f t="shared" si="511"/>
        <v>2976</v>
      </c>
      <c r="H8333" s="362"/>
      <c r="I8333" s="362"/>
      <c r="J8333" s="362"/>
    </row>
    <row r="8334" spans="1:10" x14ac:dyDescent="0.25">
      <c r="A8334" s="362"/>
      <c r="B8334" s="611">
        <v>44659</v>
      </c>
      <c r="C8334" s="362" t="s">
        <v>80</v>
      </c>
      <c r="D8334" s="562">
        <v>216756667</v>
      </c>
      <c r="E8334" s="562"/>
      <c r="F8334" s="562">
        <v>216756700</v>
      </c>
      <c r="G8334" s="562">
        <f t="shared" si="511"/>
        <v>-33</v>
      </c>
      <c r="H8334" s="362"/>
      <c r="I8334" s="362"/>
      <c r="J8334" s="362"/>
    </row>
    <row r="8335" spans="1:10" x14ac:dyDescent="0.25">
      <c r="A8335" s="362"/>
      <c r="B8335" s="611">
        <v>44659</v>
      </c>
      <c r="C8335" s="362" t="s">
        <v>83</v>
      </c>
      <c r="D8335" s="562">
        <v>428423000</v>
      </c>
      <c r="E8335" s="562"/>
      <c r="F8335" s="562">
        <v>428423000</v>
      </c>
      <c r="G8335" s="562">
        <f t="shared" si="511"/>
        <v>0</v>
      </c>
      <c r="H8335" s="362"/>
      <c r="I8335" s="362"/>
      <c r="J8335" s="362"/>
    </row>
    <row r="8336" spans="1:10" x14ac:dyDescent="0.25">
      <c r="A8336" s="362"/>
      <c r="B8336" s="611">
        <v>44659</v>
      </c>
      <c r="C8336" s="362" t="s">
        <v>78</v>
      </c>
      <c r="D8336" s="562">
        <v>154111644</v>
      </c>
      <c r="E8336" s="562"/>
      <c r="F8336" s="562">
        <v>154111700</v>
      </c>
      <c r="G8336" s="562">
        <f t="shared" si="511"/>
        <v>-56</v>
      </c>
      <c r="H8336" s="362"/>
      <c r="I8336" s="362"/>
      <c r="J8336" s="362"/>
    </row>
    <row r="8337" spans="1:10" x14ac:dyDescent="0.25">
      <c r="A8337" s="362"/>
      <c r="B8337" s="611">
        <v>44659</v>
      </c>
      <c r="C8337" s="362" t="s">
        <v>141</v>
      </c>
      <c r="D8337" s="562">
        <v>79627562</v>
      </c>
      <c r="E8337" s="562"/>
      <c r="F8337" s="562">
        <v>79627600</v>
      </c>
      <c r="G8337" s="562">
        <f t="shared" si="511"/>
        <v>-38</v>
      </c>
      <c r="H8337" s="362"/>
      <c r="I8337" s="362"/>
      <c r="J8337" s="362"/>
    </row>
    <row r="8338" spans="1:10" x14ac:dyDescent="0.25">
      <c r="A8338" s="362"/>
      <c r="B8338" s="611">
        <v>44659</v>
      </c>
      <c r="C8338" s="362" t="s">
        <v>89</v>
      </c>
      <c r="D8338" s="562">
        <v>239283200</v>
      </c>
      <c r="E8338" s="562"/>
      <c r="F8338" s="562">
        <v>239283200</v>
      </c>
      <c r="G8338" s="562">
        <f t="shared" si="511"/>
        <v>0</v>
      </c>
      <c r="H8338" s="362"/>
      <c r="I8338" s="362"/>
      <c r="J8338" s="362"/>
    </row>
    <row r="8339" spans="1:10" x14ac:dyDescent="0.25">
      <c r="A8339" s="362"/>
      <c r="B8339" s="611">
        <v>44659</v>
      </c>
      <c r="C8339" s="362" t="s">
        <v>81</v>
      </c>
      <c r="D8339" s="562">
        <v>127995406</v>
      </c>
      <c r="E8339" s="562"/>
      <c r="F8339" s="562">
        <v>127995400</v>
      </c>
      <c r="G8339" s="562">
        <f t="shared" si="511"/>
        <v>6</v>
      </c>
      <c r="H8339" s="362"/>
      <c r="I8339" s="362"/>
      <c r="J8339" s="362"/>
    </row>
    <row r="8340" spans="1:10" x14ac:dyDescent="0.25">
      <c r="A8340" s="362"/>
      <c r="B8340" s="611">
        <v>44659</v>
      </c>
      <c r="C8340" s="362" t="s">
        <v>84</v>
      </c>
      <c r="D8340" s="562">
        <v>455486083</v>
      </c>
      <c r="E8340" s="562"/>
      <c r="F8340" s="562">
        <v>455486000</v>
      </c>
      <c r="G8340" s="562">
        <f t="shared" si="511"/>
        <v>83</v>
      </c>
      <c r="H8340" s="362"/>
      <c r="I8340" s="362"/>
      <c r="J8340" s="362"/>
    </row>
    <row r="8341" spans="1:10" x14ac:dyDescent="0.25">
      <c r="A8341" s="362"/>
      <c r="B8341" s="611">
        <v>44659</v>
      </c>
      <c r="C8341" s="362" t="s">
        <v>4751</v>
      </c>
      <c r="D8341" s="562">
        <v>218832500</v>
      </c>
      <c r="E8341" s="562"/>
      <c r="F8341" s="562">
        <v>218832500</v>
      </c>
      <c r="G8341" s="562">
        <f t="shared" si="511"/>
        <v>0</v>
      </c>
      <c r="H8341" s="362"/>
      <c r="I8341" s="362"/>
      <c r="J8341" s="362"/>
    </row>
    <row r="8342" spans="1:10" x14ac:dyDescent="0.25">
      <c r="A8342" s="362"/>
      <c r="B8342" s="611">
        <v>44659</v>
      </c>
      <c r="C8342" s="362" t="s">
        <v>166</v>
      </c>
      <c r="D8342" s="562">
        <v>62868270</v>
      </c>
      <c r="E8342" s="562"/>
      <c r="F8342" s="562">
        <v>62868300</v>
      </c>
      <c r="G8342" s="562">
        <f t="shared" si="511"/>
        <v>-30</v>
      </c>
      <c r="H8342" s="362"/>
      <c r="I8342" s="362"/>
      <c r="J8342" s="362"/>
    </row>
    <row r="8343" spans="1:10" x14ac:dyDescent="0.25">
      <c r="A8343" s="362"/>
      <c r="B8343" s="611">
        <v>44659</v>
      </c>
      <c r="C8343" s="362" t="s">
        <v>3435</v>
      </c>
      <c r="D8343" s="562">
        <v>116739079</v>
      </c>
      <c r="E8343" s="562"/>
      <c r="F8343" s="562">
        <v>116739100</v>
      </c>
      <c r="G8343" s="562">
        <f t="shared" si="511"/>
        <v>-21</v>
      </c>
      <c r="H8343" s="362"/>
      <c r="I8343" s="362"/>
      <c r="J8343" s="362"/>
    </row>
    <row r="8344" spans="1:10" x14ac:dyDescent="0.25">
      <c r="A8344" s="362"/>
      <c r="B8344" s="611">
        <v>44659</v>
      </c>
      <c r="C8344" s="370" t="s">
        <v>85</v>
      </c>
      <c r="D8344" s="562">
        <v>45898700</v>
      </c>
      <c r="E8344" s="562"/>
      <c r="F8344" s="562">
        <v>45898700</v>
      </c>
      <c r="G8344" s="562">
        <f t="shared" si="511"/>
        <v>0</v>
      </c>
      <c r="H8344" s="362"/>
      <c r="I8344" s="362"/>
      <c r="J8344" s="362"/>
    </row>
    <row r="8345" spans="1:10" x14ac:dyDescent="0.25">
      <c r="A8345" s="532"/>
      <c r="B8345" s="532"/>
      <c r="C8345" s="532"/>
      <c r="D8345" s="564">
        <f>SUM(D8330:D8344)</f>
        <v>2974561819</v>
      </c>
      <c r="E8345" s="564">
        <f t="shared" ref="E8345:G8345" si="515">SUM(E8330:E8344)</f>
        <v>0</v>
      </c>
      <c r="F8345" s="564">
        <f t="shared" si="515"/>
        <v>2974559200</v>
      </c>
      <c r="G8345" s="564">
        <f t="shared" si="515"/>
        <v>2619</v>
      </c>
      <c r="H8345" s="532"/>
      <c r="I8345" s="532"/>
      <c r="J8345" s="532"/>
    </row>
    <row r="8346" spans="1:10" x14ac:dyDescent="0.25">
      <c r="A8346" s="362"/>
      <c r="B8346" s="611">
        <v>44660</v>
      </c>
      <c r="C8346" s="362" t="s">
        <v>86</v>
      </c>
      <c r="D8346" s="562">
        <v>61021204</v>
      </c>
      <c r="E8346" s="562"/>
      <c r="F8346" s="562"/>
      <c r="G8346" s="562">
        <f t="shared" si="511"/>
        <v>61021204</v>
      </c>
      <c r="H8346" s="362"/>
      <c r="I8346" s="362"/>
      <c r="J8346" s="362"/>
    </row>
    <row r="8347" spans="1:10" x14ac:dyDescent="0.25">
      <c r="A8347" s="362"/>
      <c r="B8347" s="611">
        <v>44660</v>
      </c>
      <c r="C8347" s="362" t="s">
        <v>87</v>
      </c>
      <c r="D8347" s="562">
        <v>125645213</v>
      </c>
      <c r="E8347" s="562"/>
      <c r="F8347" s="562"/>
      <c r="G8347" s="562">
        <f t="shared" si="511"/>
        <v>125645213</v>
      </c>
      <c r="H8347" s="362"/>
      <c r="I8347" s="362"/>
      <c r="J8347" s="362"/>
    </row>
    <row r="8348" spans="1:10" x14ac:dyDescent="0.25">
      <c r="A8348" s="362"/>
      <c r="B8348" s="611">
        <v>44660</v>
      </c>
      <c r="C8348" s="362" t="s">
        <v>88</v>
      </c>
      <c r="D8348" s="562">
        <v>214336020</v>
      </c>
      <c r="E8348" s="562"/>
      <c r="F8348" s="562"/>
      <c r="G8348" s="562">
        <f t="shared" ref="G8348:G8411" si="516">D8348+E8348-F8348</f>
        <v>214336020</v>
      </c>
      <c r="H8348" s="362"/>
      <c r="I8348" s="362"/>
      <c r="J8348" s="362"/>
    </row>
    <row r="8349" spans="1:10" x14ac:dyDescent="0.25">
      <c r="A8349" s="362"/>
      <c r="B8349" s="611">
        <v>44660</v>
      </c>
      <c r="C8349" s="362" t="s">
        <v>82</v>
      </c>
      <c r="D8349" s="562">
        <v>70631387</v>
      </c>
      <c r="E8349" s="562"/>
      <c r="F8349" s="562"/>
      <c r="G8349" s="562">
        <f t="shared" si="516"/>
        <v>70631387</v>
      </c>
      <c r="H8349" s="362"/>
      <c r="I8349" s="362"/>
      <c r="J8349" s="362"/>
    </row>
    <row r="8350" spans="1:10" x14ac:dyDescent="0.25">
      <c r="A8350" s="362"/>
      <c r="B8350" s="611">
        <v>44660</v>
      </c>
      <c r="C8350" s="362" t="s">
        <v>80</v>
      </c>
      <c r="D8350" s="562">
        <v>298050111</v>
      </c>
      <c r="E8350" s="562"/>
      <c r="F8350" s="562"/>
      <c r="G8350" s="562">
        <f t="shared" si="516"/>
        <v>298050111</v>
      </c>
      <c r="H8350" s="362"/>
      <c r="I8350" s="362"/>
      <c r="J8350" s="362"/>
    </row>
    <row r="8351" spans="1:10" x14ac:dyDescent="0.25">
      <c r="A8351" s="362"/>
      <c r="B8351" s="611">
        <v>44660</v>
      </c>
      <c r="C8351" s="362" t="s">
        <v>83</v>
      </c>
      <c r="D8351" s="562">
        <v>184150868</v>
      </c>
      <c r="E8351" s="562"/>
      <c r="F8351" s="562"/>
      <c r="G8351" s="562">
        <f t="shared" si="516"/>
        <v>184150868</v>
      </c>
      <c r="H8351" s="362"/>
      <c r="I8351" s="362"/>
      <c r="J8351" s="362"/>
    </row>
    <row r="8352" spans="1:10" x14ac:dyDescent="0.25">
      <c r="A8352" s="362"/>
      <c r="B8352" s="611">
        <v>44660</v>
      </c>
      <c r="C8352" s="362" t="s">
        <v>78</v>
      </c>
      <c r="D8352" s="562">
        <v>146350006</v>
      </c>
      <c r="E8352" s="562"/>
      <c r="F8352" s="562"/>
      <c r="G8352" s="562">
        <f t="shared" si="516"/>
        <v>146350006</v>
      </c>
      <c r="H8352" s="362"/>
      <c r="I8352" s="362"/>
      <c r="J8352" s="362"/>
    </row>
    <row r="8353" spans="1:10" x14ac:dyDescent="0.25">
      <c r="A8353" s="362"/>
      <c r="B8353" s="611">
        <v>44660</v>
      </c>
      <c r="C8353" s="362" t="s">
        <v>141</v>
      </c>
      <c r="D8353" s="562">
        <v>46623543</v>
      </c>
      <c r="E8353" s="562"/>
      <c r="F8353" s="562"/>
      <c r="G8353" s="562">
        <f t="shared" si="516"/>
        <v>46623543</v>
      </c>
      <c r="H8353" s="362"/>
      <c r="I8353" s="362"/>
      <c r="J8353" s="362"/>
    </row>
    <row r="8354" spans="1:10" x14ac:dyDescent="0.25">
      <c r="A8354" s="362"/>
      <c r="B8354" s="611">
        <v>44660</v>
      </c>
      <c r="C8354" s="362" t="s">
        <v>89</v>
      </c>
      <c r="D8354" s="562">
        <v>353982200</v>
      </c>
      <c r="E8354" s="562"/>
      <c r="F8354" s="562"/>
      <c r="G8354" s="562">
        <f t="shared" si="516"/>
        <v>353982200</v>
      </c>
      <c r="H8354" s="362"/>
      <c r="I8354" s="362"/>
      <c r="J8354" s="362"/>
    </row>
    <row r="8355" spans="1:10" x14ac:dyDescent="0.25">
      <c r="A8355" s="362"/>
      <c r="B8355" s="611">
        <v>44660</v>
      </c>
      <c r="C8355" s="362" t="s">
        <v>81</v>
      </c>
      <c r="D8355" s="562">
        <v>170648082</v>
      </c>
      <c r="E8355" s="562"/>
      <c r="F8355" s="562"/>
      <c r="G8355" s="562">
        <f t="shared" si="516"/>
        <v>170648082</v>
      </c>
      <c r="H8355" s="362"/>
      <c r="I8355" s="362"/>
      <c r="J8355" s="362"/>
    </row>
    <row r="8356" spans="1:10" x14ac:dyDescent="0.25">
      <c r="A8356" s="362"/>
      <c r="B8356" s="611">
        <v>44660</v>
      </c>
      <c r="C8356" s="362" t="s">
        <v>84</v>
      </c>
      <c r="D8356" s="562">
        <v>220172361</v>
      </c>
      <c r="E8356" s="562"/>
      <c r="F8356" s="562"/>
      <c r="G8356" s="562">
        <f t="shared" si="516"/>
        <v>220172361</v>
      </c>
      <c r="H8356" s="362"/>
      <c r="I8356" s="362"/>
      <c r="J8356" s="362"/>
    </row>
    <row r="8357" spans="1:10" x14ac:dyDescent="0.25">
      <c r="A8357" s="362"/>
      <c r="B8357" s="611">
        <v>44660</v>
      </c>
      <c r="C8357" s="362" t="s">
        <v>4751</v>
      </c>
      <c r="D8357" s="562">
        <v>416045800</v>
      </c>
      <c r="E8357" s="562"/>
      <c r="F8357" s="562"/>
      <c r="G8357" s="562">
        <f t="shared" si="516"/>
        <v>416045800</v>
      </c>
      <c r="H8357" s="362"/>
      <c r="I8357" s="362"/>
      <c r="J8357" s="362"/>
    </row>
    <row r="8358" spans="1:10" x14ac:dyDescent="0.25">
      <c r="A8358" s="362"/>
      <c r="B8358" s="611">
        <v>44660</v>
      </c>
      <c r="C8358" s="362" t="s">
        <v>166</v>
      </c>
      <c r="D8358" s="562"/>
      <c r="E8358" s="562"/>
      <c r="F8358" s="562"/>
      <c r="G8358" s="562">
        <f t="shared" si="516"/>
        <v>0</v>
      </c>
      <c r="H8358" s="362"/>
      <c r="I8358" s="362"/>
      <c r="J8358" s="362"/>
    </row>
    <row r="8359" spans="1:10" x14ac:dyDescent="0.25">
      <c r="A8359" s="362"/>
      <c r="B8359" s="611">
        <v>44660</v>
      </c>
      <c r="C8359" s="362" t="s">
        <v>3435</v>
      </c>
      <c r="D8359" s="562"/>
      <c r="E8359" s="562"/>
      <c r="F8359" s="562"/>
      <c r="G8359" s="562">
        <f t="shared" si="516"/>
        <v>0</v>
      </c>
      <c r="H8359" s="362"/>
      <c r="I8359" s="362"/>
      <c r="J8359" s="362"/>
    </row>
    <row r="8360" spans="1:10" x14ac:dyDescent="0.25">
      <c r="A8360" s="362"/>
      <c r="B8360" s="611">
        <v>44660</v>
      </c>
      <c r="C8360" s="370" t="s">
        <v>85</v>
      </c>
      <c r="D8360" s="562">
        <v>26049200</v>
      </c>
      <c r="E8360" s="562"/>
      <c r="F8360" s="562"/>
      <c r="G8360" s="562">
        <f t="shared" si="516"/>
        <v>26049200</v>
      </c>
      <c r="H8360" s="362"/>
      <c r="I8360" s="362"/>
      <c r="J8360" s="362"/>
    </row>
    <row r="8361" spans="1:10" x14ac:dyDescent="0.25">
      <c r="A8361" s="532"/>
      <c r="B8361" s="532"/>
      <c r="C8361" s="532"/>
      <c r="D8361" s="564">
        <f>SUM(D8346:D8360)</f>
        <v>2333705995</v>
      </c>
      <c r="E8361" s="564">
        <f t="shared" ref="E8361:G8361" si="517">SUM(E8346:E8360)</f>
        <v>0</v>
      </c>
      <c r="F8361" s="564">
        <f t="shared" si="517"/>
        <v>0</v>
      </c>
      <c r="G8361" s="564">
        <f t="shared" si="517"/>
        <v>2333705995</v>
      </c>
      <c r="H8361" s="532"/>
      <c r="I8361" s="532"/>
      <c r="J8361" s="532"/>
    </row>
    <row r="8362" spans="1:10" x14ac:dyDescent="0.25">
      <c r="A8362" s="362"/>
      <c r="B8362" s="611">
        <v>44662</v>
      </c>
      <c r="C8362" s="362" t="s">
        <v>86</v>
      </c>
      <c r="D8362" s="562">
        <v>99465372</v>
      </c>
      <c r="E8362" s="562"/>
      <c r="F8362" s="562"/>
      <c r="G8362" s="562">
        <f t="shared" si="516"/>
        <v>99465372</v>
      </c>
      <c r="H8362" s="362"/>
      <c r="I8362" s="362"/>
      <c r="J8362" s="362"/>
    </row>
    <row r="8363" spans="1:10" x14ac:dyDescent="0.25">
      <c r="A8363" s="362"/>
      <c r="B8363" s="611">
        <v>44662</v>
      </c>
      <c r="C8363" s="362" t="s">
        <v>87</v>
      </c>
      <c r="D8363" s="562">
        <v>182405929</v>
      </c>
      <c r="E8363" s="562"/>
      <c r="F8363" s="562"/>
      <c r="G8363" s="562">
        <f t="shared" si="516"/>
        <v>182405929</v>
      </c>
      <c r="H8363" s="362"/>
      <c r="I8363" s="362"/>
      <c r="J8363" s="362"/>
    </row>
    <row r="8364" spans="1:10" x14ac:dyDescent="0.25">
      <c r="A8364" s="362"/>
      <c r="B8364" s="611">
        <v>44662</v>
      </c>
      <c r="C8364" s="362" t="s">
        <v>88</v>
      </c>
      <c r="D8364" s="562">
        <v>173740349</v>
      </c>
      <c r="E8364" s="562"/>
      <c r="F8364" s="562"/>
      <c r="G8364" s="562">
        <f t="shared" si="516"/>
        <v>173740349</v>
      </c>
      <c r="H8364" s="362"/>
      <c r="I8364" s="362"/>
      <c r="J8364" s="362"/>
    </row>
    <row r="8365" spans="1:10" x14ac:dyDescent="0.25">
      <c r="A8365" s="362"/>
      <c r="B8365" s="611">
        <v>44662</v>
      </c>
      <c r="C8365" s="362" t="s">
        <v>82</v>
      </c>
      <c r="D8365" s="562">
        <v>71648429</v>
      </c>
      <c r="E8365" s="562"/>
      <c r="F8365" s="562"/>
      <c r="G8365" s="562">
        <f t="shared" si="516"/>
        <v>71648429</v>
      </c>
      <c r="H8365" s="362"/>
      <c r="I8365" s="362"/>
      <c r="J8365" s="362"/>
    </row>
    <row r="8366" spans="1:10" x14ac:dyDescent="0.25">
      <c r="A8366" s="362"/>
      <c r="B8366" s="611">
        <v>44662</v>
      </c>
      <c r="C8366" s="362" t="s">
        <v>80</v>
      </c>
      <c r="D8366" s="562">
        <v>344364800</v>
      </c>
      <c r="E8366" s="562"/>
      <c r="F8366" s="562"/>
      <c r="G8366" s="562">
        <f t="shared" si="516"/>
        <v>344364800</v>
      </c>
      <c r="H8366" s="362"/>
      <c r="I8366" s="362"/>
      <c r="J8366" s="362"/>
    </row>
    <row r="8367" spans="1:10" x14ac:dyDescent="0.25">
      <c r="A8367" s="362"/>
      <c r="B8367" s="611">
        <v>44662</v>
      </c>
      <c r="C8367" s="362" t="s">
        <v>83</v>
      </c>
      <c r="D8367" s="562">
        <v>293640300</v>
      </c>
      <c r="E8367" s="562"/>
      <c r="F8367" s="562"/>
      <c r="G8367" s="562">
        <f t="shared" si="516"/>
        <v>293640300</v>
      </c>
      <c r="H8367" s="362"/>
      <c r="I8367" s="362"/>
      <c r="J8367" s="362"/>
    </row>
    <row r="8368" spans="1:10" x14ac:dyDescent="0.25">
      <c r="A8368" s="362"/>
      <c r="B8368" s="611">
        <v>44662</v>
      </c>
      <c r="C8368" s="362" t="s">
        <v>78</v>
      </c>
      <c r="D8368" s="562">
        <v>193013192</v>
      </c>
      <c r="E8368" s="562"/>
      <c r="F8368" s="562"/>
      <c r="G8368" s="562">
        <f t="shared" si="516"/>
        <v>193013192</v>
      </c>
      <c r="H8368" s="362"/>
      <c r="I8368" s="362"/>
      <c r="J8368" s="362"/>
    </row>
    <row r="8369" spans="1:10" x14ac:dyDescent="0.25">
      <c r="A8369" s="362"/>
      <c r="B8369" s="611">
        <v>44662</v>
      </c>
      <c r="C8369" s="362" t="s">
        <v>141</v>
      </c>
      <c r="D8369" s="562">
        <v>195616384</v>
      </c>
      <c r="E8369" s="562"/>
      <c r="F8369" s="562"/>
      <c r="G8369" s="562">
        <f t="shared" si="516"/>
        <v>195616384</v>
      </c>
      <c r="H8369" s="362"/>
      <c r="I8369" s="362"/>
      <c r="J8369" s="362"/>
    </row>
    <row r="8370" spans="1:10" x14ac:dyDescent="0.25">
      <c r="A8370" s="362"/>
      <c r="B8370" s="611">
        <v>44662</v>
      </c>
      <c r="C8370" s="362" t="s">
        <v>89</v>
      </c>
      <c r="D8370" s="562">
        <v>143270900</v>
      </c>
      <c r="E8370" s="562"/>
      <c r="F8370" s="562"/>
      <c r="G8370" s="562">
        <f t="shared" si="516"/>
        <v>143270900</v>
      </c>
      <c r="H8370" s="362"/>
      <c r="I8370" s="362"/>
      <c r="J8370" s="362"/>
    </row>
    <row r="8371" spans="1:10" x14ac:dyDescent="0.25">
      <c r="A8371" s="362"/>
      <c r="B8371" s="611">
        <v>44662</v>
      </c>
      <c r="C8371" s="362" t="s">
        <v>81</v>
      </c>
      <c r="D8371" s="562">
        <v>88780902</v>
      </c>
      <c r="E8371" s="562"/>
      <c r="F8371" s="562"/>
      <c r="G8371" s="562">
        <f t="shared" si="516"/>
        <v>88780902</v>
      </c>
      <c r="H8371" s="362"/>
      <c r="I8371" s="362"/>
      <c r="J8371" s="362"/>
    </row>
    <row r="8372" spans="1:10" x14ac:dyDescent="0.25">
      <c r="A8372" s="362"/>
      <c r="B8372" s="611">
        <v>44662</v>
      </c>
      <c r="C8372" s="362" t="s">
        <v>84</v>
      </c>
      <c r="D8372" s="562">
        <v>509191491</v>
      </c>
      <c r="E8372" s="562"/>
      <c r="F8372" s="562"/>
      <c r="G8372" s="562">
        <f t="shared" si="516"/>
        <v>509191491</v>
      </c>
      <c r="H8372" s="362"/>
      <c r="I8372" s="362"/>
      <c r="J8372" s="362"/>
    </row>
    <row r="8373" spans="1:10" x14ac:dyDescent="0.25">
      <c r="A8373" s="362"/>
      <c r="B8373" s="611">
        <v>44662</v>
      </c>
      <c r="C8373" s="362" t="s">
        <v>4751</v>
      </c>
      <c r="D8373" s="562">
        <v>334762500</v>
      </c>
      <c r="E8373" s="562"/>
      <c r="F8373" s="562"/>
      <c r="G8373" s="562">
        <f t="shared" si="516"/>
        <v>334762500</v>
      </c>
      <c r="H8373" s="362"/>
      <c r="I8373" s="362"/>
      <c r="J8373" s="362"/>
    </row>
    <row r="8374" spans="1:10" x14ac:dyDescent="0.25">
      <c r="A8374" s="362"/>
      <c r="B8374" s="611">
        <v>44662</v>
      </c>
      <c r="C8374" s="362" t="s">
        <v>166</v>
      </c>
      <c r="D8374" s="562">
        <v>104406985</v>
      </c>
      <c r="E8374" s="562"/>
      <c r="F8374" s="562"/>
      <c r="G8374" s="562">
        <f t="shared" si="516"/>
        <v>104406985</v>
      </c>
      <c r="H8374" s="362"/>
      <c r="I8374" s="362"/>
      <c r="J8374" s="362"/>
    </row>
    <row r="8375" spans="1:10" x14ac:dyDescent="0.25">
      <c r="A8375" s="362"/>
      <c r="B8375" s="611">
        <v>44662</v>
      </c>
      <c r="C8375" s="362" t="s">
        <v>3435</v>
      </c>
      <c r="D8375" s="562">
        <v>29378290</v>
      </c>
      <c r="E8375" s="562"/>
      <c r="F8375" s="562"/>
      <c r="G8375" s="562">
        <f t="shared" si="516"/>
        <v>29378290</v>
      </c>
      <c r="H8375" s="362"/>
      <c r="I8375" s="362"/>
      <c r="J8375" s="362"/>
    </row>
    <row r="8376" spans="1:10" x14ac:dyDescent="0.25">
      <c r="A8376" s="362"/>
      <c r="B8376" s="611">
        <v>44662</v>
      </c>
      <c r="C8376" s="370" t="s">
        <v>85</v>
      </c>
      <c r="D8376" s="562">
        <v>62407900</v>
      </c>
      <c r="E8376" s="562"/>
      <c r="F8376" s="562"/>
      <c r="G8376" s="562">
        <f t="shared" si="516"/>
        <v>62407900</v>
      </c>
      <c r="H8376" s="362"/>
      <c r="I8376" s="362"/>
      <c r="J8376" s="362"/>
    </row>
    <row r="8377" spans="1:10" x14ac:dyDescent="0.25">
      <c r="A8377" s="532"/>
      <c r="B8377" s="532"/>
      <c r="C8377" s="532"/>
      <c r="D8377" s="564">
        <f>SUM(D8362:D8376)</f>
        <v>2826093723</v>
      </c>
      <c r="E8377" s="564">
        <f t="shared" ref="E8377:G8377" si="518">SUM(E8362:E8376)</f>
        <v>0</v>
      </c>
      <c r="F8377" s="564">
        <f t="shared" si="518"/>
        <v>0</v>
      </c>
      <c r="G8377" s="564">
        <f t="shared" si="518"/>
        <v>2826093723</v>
      </c>
      <c r="H8377" s="532"/>
      <c r="I8377" s="532"/>
      <c r="J8377" s="532"/>
    </row>
    <row r="8378" spans="1:10" x14ac:dyDescent="0.25">
      <c r="A8378" s="362"/>
      <c r="B8378" s="611">
        <v>44663</v>
      </c>
      <c r="C8378" s="362" t="s">
        <v>86</v>
      </c>
      <c r="D8378" s="562">
        <v>126185728</v>
      </c>
      <c r="E8378" s="562"/>
      <c r="F8378" s="562"/>
      <c r="G8378" s="562">
        <f t="shared" si="516"/>
        <v>126185728</v>
      </c>
      <c r="H8378" s="362"/>
      <c r="I8378" s="362"/>
      <c r="J8378" s="362"/>
    </row>
    <row r="8379" spans="1:10" x14ac:dyDescent="0.25">
      <c r="A8379" s="362"/>
      <c r="B8379" s="611">
        <v>44663</v>
      </c>
      <c r="C8379" s="362" t="s">
        <v>87</v>
      </c>
      <c r="D8379" s="562">
        <v>273125866</v>
      </c>
      <c r="E8379" s="562"/>
      <c r="F8379" s="562"/>
      <c r="G8379" s="562">
        <f t="shared" si="516"/>
        <v>273125866</v>
      </c>
      <c r="H8379" s="362"/>
      <c r="I8379" s="362"/>
      <c r="J8379" s="362"/>
    </row>
    <row r="8380" spans="1:10" x14ac:dyDescent="0.25">
      <c r="A8380" s="362"/>
      <c r="B8380" s="611">
        <v>44663</v>
      </c>
      <c r="C8380" s="362" t="s">
        <v>88</v>
      </c>
      <c r="D8380" s="562">
        <v>266079240</v>
      </c>
      <c r="E8380" s="562"/>
      <c r="F8380" s="562"/>
      <c r="G8380" s="562">
        <f t="shared" si="516"/>
        <v>266079240</v>
      </c>
      <c r="H8380" s="362"/>
      <c r="I8380" s="362"/>
      <c r="J8380" s="362"/>
    </row>
    <row r="8381" spans="1:10" x14ac:dyDescent="0.25">
      <c r="A8381" s="362"/>
      <c r="B8381" s="611">
        <v>44663</v>
      </c>
      <c r="C8381" s="362" t="s">
        <v>82</v>
      </c>
      <c r="D8381" s="562">
        <v>176671117</v>
      </c>
      <c r="E8381" s="562"/>
      <c r="F8381" s="562"/>
      <c r="G8381" s="562">
        <f t="shared" si="516"/>
        <v>176671117</v>
      </c>
      <c r="H8381" s="362"/>
      <c r="I8381" s="362"/>
      <c r="J8381" s="362"/>
    </row>
    <row r="8382" spans="1:10" x14ac:dyDescent="0.25">
      <c r="A8382" s="362"/>
      <c r="B8382" s="611">
        <v>44663</v>
      </c>
      <c r="C8382" s="362" t="s">
        <v>80</v>
      </c>
      <c r="D8382" s="562">
        <v>410574667</v>
      </c>
      <c r="E8382" s="562"/>
      <c r="F8382" s="562"/>
      <c r="G8382" s="562">
        <f t="shared" si="516"/>
        <v>410574667</v>
      </c>
      <c r="H8382" s="362"/>
      <c r="I8382" s="362"/>
      <c r="J8382" s="362"/>
    </row>
    <row r="8383" spans="1:10" x14ac:dyDescent="0.25">
      <c r="A8383" s="362"/>
      <c r="B8383" s="611">
        <v>44663</v>
      </c>
      <c r="C8383" s="362" t="s">
        <v>83</v>
      </c>
      <c r="D8383" s="562">
        <v>272147306</v>
      </c>
      <c r="E8383" s="562"/>
      <c r="F8383" s="562"/>
      <c r="G8383" s="562">
        <f t="shared" si="516"/>
        <v>272147306</v>
      </c>
      <c r="H8383" s="362"/>
      <c r="I8383" s="362"/>
      <c r="J8383" s="362"/>
    </row>
    <row r="8384" spans="1:10" x14ac:dyDescent="0.25">
      <c r="A8384" s="362"/>
      <c r="B8384" s="611">
        <v>44663</v>
      </c>
      <c r="C8384" s="362" t="s">
        <v>78</v>
      </c>
      <c r="D8384" s="562">
        <v>171374334</v>
      </c>
      <c r="E8384" s="562"/>
      <c r="F8384" s="562"/>
      <c r="G8384" s="562">
        <f t="shared" si="516"/>
        <v>171374334</v>
      </c>
      <c r="H8384" s="362"/>
      <c r="I8384" s="362"/>
      <c r="J8384" s="362"/>
    </row>
    <row r="8385" spans="1:10" x14ac:dyDescent="0.25">
      <c r="A8385" s="362"/>
      <c r="B8385" s="611">
        <v>44663</v>
      </c>
      <c r="C8385" s="362" t="s">
        <v>141</v>
      </c>
      <c r="D8385" s="562">
        <v>128795132</v>
      </c>
      <c r="E8385" s="562"/>
      <c r="F8385" s="562"/>
      <c r="G8385" s="562">
        <f t="shared" si="516"/>
        <v>128795132</v>
      </c>
      <c r="H8385" s="362"/>
      <c r="I8385" s="362"/>
      <c r="J8385" s="362"/>
    </row>
    <row r="8386" spans="1:10" x14ac:dyDescent="0.25">
      <c r="A8386" s="362"/>
      <c r="B8386" s="611">
        <v>44663</v>
      </c>
      <c r="C8386" s="362" t="s">
        <v>89</v>
      </c>
      <c r="D8386" s="562">
        <v>143104100</v>
      </c>
      <c r="E8386" s="562"/>
      <c r="F8386" s="562"/>
      <c r="G8386" s="562">
        <f t="shared" si="516"/>
        <v>143104100</v>
      </c>
      <c r="H8386" s="362"/>
      <c r="I8386" s="362"/>
      <c r="J8386" s="362"/>
    </row>
    <row r="8387" spans="1:10" x14ac:dyDescent="0.25">
      <c r="A8387" s="362"/>
      <c r="B8387" s="611">
        <v>44663</v>
      </c>
      <c r="C8387" s="362" t="s">
        <v>81</v>
      </c>
      <c r="D8387" s="562">
        <v>116861957</v>
      </c>
      <c r="E8387" s="562"/>
      <c r="F8387" s="562"/>
      <c r="G8387" s="562">
        <f t="shared" si="516"/>
        <v>116861957</v>
      </c>
      <c r="H8387" s="362"/>
      <c r="I8387" s="362"/>
      <c r="J8387" s="362"/>
    </row>
    <row r="8388" spans="1:10" x14ac:dyDescent="0.25">
      <c r="A8388" s="362"/>
      <c r="B8388" s="611">
        <v>44663</v>
      </c>
      <c r="C8388" s="362" t="s">
        <v>84</v>
      </c>
      <c r="D8388" s="562">
        <v>305388726</v>
      </c>
      <c r="E8388" s="562"/>
      <c r="F8388" s="562"/>
      <c r="G8388" s="562">
        <f t="shared" si="516"/>
        <v>305388726</v>
      </c>
      <c r="H8388" s="362"/>
      <c r="I8388" s="362"/>
      <c r="J8388" s="362"/>
    </row>
    <row r="8389" spans="1:10" x14ac:dyDescent="0.25">
      <c r="A8389" s="362"/>
      <c r="B8389" s="611">
        <v>44663</v>
      </c>
      <c r="C8389" s="362" t="s">
        <v>4751</v>
      </c>
      <c r="D8389" s="562">
        <v>264082800</v>
      </c>
      <c r="E8389" s="562"/>
      <c r="F8389" s="562"/>
      <c r="G8389" s="562">
        <f t="shared" si="516"/>
        <v>264082800</v>
      </c>
      <c r="H8389" s="362"/>
      <c r="I8389" s="362"/>
      <c r="J8389" s="362"/>
    </row>
    <row r="8390" spans="1:10" x14ac:dyDescent="0.25">
      <c r="A8390" s="362"/>
      <c r="B8390" s="611">
        <v>44663</v>
      </c>
      <c r="C8390" s="362" t="s">
        <v>166</v>
      </c>
      <c r="D8390" s="562">
        <v>144240238</v>
      </c>
      <c r="E8390" s="562"/>
      <c r="F8390" s="562"/>
      <c r="G8390" s="562">
        <f t="shared" si="516"/>
        <v>144240238</v>
      </c>
      <c r="H8390" s="362"/>
      <c r="I8390" s="362"/>
      <c r="J8390" s="362"/>
    </row>
    <row r="8391" spans="1:10" x14ac:dyDescent="0.25">
      <c r="A8391" s="362"/>
      <c r="B8391" s="611">
        <v>44663</v>
      </c>
      <c r="C8391" s="362" t="s">
        <v>3435</v>
      </c>
      <c r="D8391" s="562">
        <v>29353137</v>
      </c>
      <c r="E8391" s="562"/>
      <c r="F8391" s="562"/>
      <c r="G8391" s="562">
        <f t="shared" si="516"/>
        <v>29353137</v>
      </c>
      <c r="H8391" s="362"/>
      <c r="I8391" s="362"/>
      <c r="J8391" s="362"/>
    </row>
    <row r="8392" spans="1:10" x14ac:dyDescent="0.25">
      <c r="A8392" s="362"/>
      <c r="B8392" s="611">
        <v>44663</v>
      </c>
      <c r="C8392" s="370" t="s">
        <v>85</v>
      </c>
      <c r="D8392" s="562">
        <v>49445200</v>
      </c>
      <c r="E8392" s="562"/>
      <c r="F8392" s="562"/>
      <c r="G8392" s="562">
        <f t="shared" si="516"/>
        <v>49445200</v>
      </c>
      <c r="H8392" s="362"/>
      <c r="I8392" s="362"/>
      <c r="J8392" s="362"/>
    </row>
    <row r="8393" spans="1:10" x14ac:dyDescent="0.25">
      <c r="A8393" s="532"/>
      <c r="B8393" s="532"/>
      <c r="C8393" s="532"/>
      <c r="D8393" s="564">
        <f>SUM(D8378:D8392)</f>
        <v>2877429548</v>
      </c>
      <c r="E8393" s="564">
        <f t="shared" ref="E8393:G8393" si="519">SUM(E8378:E8392)</f>
        <v>0</v>
      </c>
      <c r="F8393" s="564">
        <f t="shared" si="519"/>
        <v>0</v>
      </c>
      <c r="G8393" s="564">
        <f t="shared" si="519"/>
        <v>2877429548</v>
      </c>
      <c r="H8393" s="532"/>
      <c r="I8393" s="532"/>
      <c r="J8393" s="532"/>
    </row>
    <row r="8394" spans="1:10" x14ac:dyDescent="0.25">
      <c r="A8394" s="362"/>
      <c r="B8394" s="611">
        <v>44664</v>
      </c>
      <c r="C8394" s="362" t="s">
        <v>86</v>
      </c>
      <c r="D8394" s="562">
        <v>161170923</v>
      </c>
      <c r="E8394" s="562"/>
      <c r="F8394" s="562">
        <v>161171000</v>
      </c>
      <c r="G8394" s="562">
        <f t="shared" si="516"/>
        <v>-77</v>
      </c>
      <c r="H8394" s="362"/>
      <c r="I8394" s="362"/>
      <c r="J8394" s="362"/>
    </row>
    <row r="8395" spans="1:10" x14ac:dyDescent="0.25">
      <c r="A8395" s="362"/>
      <c r="B8395" s="611">
        <v>44664</v>
      </c>
      <c r="C8395" s="362" t="s">
        <v>87</v>
      </c>
      <c r="D8395" s="562">
        <v>306259691</v>
      </c>
      <c r="E8395" s="562"/>
      <c r="F8395" s="562">
        <v>306259600</v>
      </c>
      <c r="G8395" s="562">
        <f t="shared" si="516"/>
        <v>91</v>
      </c>
      <c r="H8395" s="362"/>
      <c r="I8395" s="362"/>
      <c r="J8395" s="362"/>
    </row>
    <row r="8396" spans="1:10" x14ac:dyDescent="0.25">
      <c r="A8396" s="362"/>
      <c r="B8396" s="611">
        <v>44664</v>
      </c>
      <c r="C8396" s="362" t="s">
        <v>88</v>
      </c>
      <c r="D8396" s="562">
        <v>204448843</v>
      </c>
      <c r="E8396" s="562"/>
      <c r="F8396" s="562">
        <v>204448900</v>
      </c>
      <c r="G8396" s="562">
        <f t="shared" si="516"/>
        <v>-57</v>
      </c>
      <c r="H8396" s="362"/>
      <c r="I8396" s="362"/>
      <c r="J8396" s="362"/>
    </row>
    <row r="8397" spans="1:10" x14ac:dyDescent="0.25">
      <c r="A8397" s="362"/>
      <c r="B8397" s="611">
        <v>44664</v>
      </c>
      <c r="C8397" s="362" t="s">
        <v>82</v>
      </c>
      <c r="D8397" s="562">
        <v>93893779</v>
      </c>
      <c r="E8397" s="562"/>
      <c r="F8397" s="562">
        <v>93893800</v>
      </c>
      <c r="G8397" s="562">
        <f t="shared" si="516"/>
        <v>-21</v>
      </c>
      <c r="H8397" s="362"/>
      <c r="I8397" s="362"/>
      <c r="J8397" s="362"/>
    </row>
    <row r="8398" spans="1:10" x14ac:dyDescent="0.25">
      <c r="A8398" s="362"/>
      <c r="B8398" s="611">
        <v>44664</v>
      </c>
      <c r="C8398" s="362" t="s">
        <v>80</v>
      </c>
      <c r="D8398" s="562">
        <v>423813700</v>
      </c>
      <c r="E8398" s="562"/>
      <c r="F8398" s="562">
        <v>423813700</v>
      </c>
      <c r="G8398" s="562">
        <f t="shared" si="516"/>
        <v>0</v>
      </c>
      <c r="H8398" s="362"/>
      <c r="I8398" s="362"/>
      <c r="J8398" s="362"/>
    </row>
    <row r="8399" spans="1:10" x14ac:dyDescent="0.25">
      <c r="A8399" s="362"/>
      <c r="B8399" s="611">
        <v>44664</v>
      </c>
      <c r="C8399" s="362" t="s">
        <v>83</v>
      </c>
      <c r="D8399" s="562">
        <v>290025300</v>
      </c>
      <c r="E8399" s="562"/>
      <c r="F8399" s="562">
        <v>290025300</v>
      </c>
      <c r="G8399" s="562">
        <f t="shared" si="516"/>
        <v>0</v>
      </c>
      <c r="H8399" s="362"/>
      <c r="I8399" s="362"/>
      <c r="J8399" s="362"/>
    </row>
    <row r="8400" spans="1:10" x14ac:dyDescent="0.25">
      <c r="A8400" s="362"/>
      <c r="B8400" s="611">
        <v>44664</v>
      </c>
      <c r="C8400" s="362" t="s">
        <v>78</v>
      </c>
      <c r="D8400" s="562">
        <v>255717009</v>
      </c>
      <c r="E8400" s="562"/>
      <c r="F8400" s="562">
        <v>255717100</v>
      </c>
      <c r="G8400" s="562">
        <f t="shared" si="516"/>
        <v>-91</v>
      </c>
      <c r="H8400" s="362"/>
      <c r="I8400" s="362"/>
      <c r="J8400" s="362"/>
    </row>
    <row r="8401" spans="1:10" x14ac:dyDescent="0.25">
      <c r="A8401" s="362"/>
      <c r="B8401" s="611">
        <v>44664</v>
      </c>
      <c r="C8401" s="362" t="s">
        <v>141</v>
      </c>
      <c r="D8401" s="562">
        <v>166735803</v>
      </c>
      <c r="E8401" s="562"/>
      <c r="F8401" s="562">
        <v>166735900</v>
      </c>
      <c r="G8401" s="562">
        <f t="shared" si="516"/>
        <v>-97</v>
      </c>
      <c r="H8401" s="362"/>
      <c r="I8401" s="362"/>
      <c r="J8401" s="362"/>
    </row>
    <row r="8402" spans="1:10" x14ac:dyDescent="0.25">
      <c r="A8402" s="362"/>
      <c r="B8402" s="611">
        <v>44664</v>
      </c>
      <c r="C8402" s="362" t="s">
        <v>89</v>
      </c>
      <c r="D8402" s="562">
        <v>213062400</v>
      </c>
      <c r="E8402" s="562"/>
      <c r="F8402" s="562">
        <v>213062400</v>
      </c>
      <c r="G8402" s="562">
        <f t="shared" si="516"/>
        <v>0</v>
      </c>
      <c r="H8402" s="362"/>
      <c r="I8402" s="362"/>
      <c r="J8402" s="362"/>
    </row>
    <row r="8403" spans="1:10" x14ac:dyDescent="0.25">
      <c r="A8403" s="362"/>
      <c r="B8403" s="611">
        <v>44664</v>
      </c>
      <c r="C8403" s="362" t="s">
        <v>81</v>
      </c>
      <c r="D8403" s="562">
        <v>167244962</v>
      </c>
      <c r="E8403" s="562"/>
      <c r="F8403" s="562">
        <v>167245000</v>
      </c>
      <c r="G8403" s="562">
        <f t="shared" si="516"/>
        <v>-38</v>
      </c>
      <c r="H8403" s="362"/>
      <c r="I8403" s="362"/>
      <c r="J8403" s="362"/>
    </row>
    <row r="8404" spans="1:10" x14ac:dyDescent="0.25">
      <c r="A8404" s="362"/>
      <c r="B8404" s="611">
        <v>44664</v>
      </c>
      <c r="C8404" s="362" t="s">
        <v>84</v>
      </c>
      <c r="D8404" s="562">
        <v>299609484</v>
      </c>
      <c r="E8404" s="562"/>
      <c r="F8404" s="562">
        <v>299609500</v>
      </c>
      <c r="G8404" s="562">
        <f t="shared" si="516"/>
        <v>-16</v>
      </c>
      <c r="H8404" s="362"/>
      <c r="I8404" s="362"/>
      <c r="J8404" s="362"/>
    </row>
    <row r="8405" spans="1:10" x14ac:dyDescent="0.25">
      <c r="A8405" s="362"/>
      <c r="B8405" s="611">
        <v>44664</v>
      </c>
      <c r="C8405" s="362" t="s">
        <v>4751</v>
      </c>
      <c r="D8405" s="562">
        <v>161798400</v>
      </c>
      <c r="E8405" s="562"/>
      <c r="F8405" s="562">
        <v>161798400</v>
      </c>
      <c r="G8405" s="562">
        <f t="shared" si="516"/>
        <v>0</v>
      </c>
      <c r="H8405" s="362"/>
      <c r="I8405" s="362"/>
      <c r="J8405" s="362"/>
    </row>
    <row r="8406" spans="1:10" x14ac:dyDescent="0.25">
      <c r="A8406" s="362"/>
      <c r="B8406" s="611">
        <v>44664</v>
      </c>
      <c r="C8406" s="362" t="s">
        <v>166</v>
      </c>
      <c r="D8406" s="562">
        <v>62060235</v>
      </c>
      <c r="E8406" s="562"/>
      <c r="F8406" s="562">
        <v>62060300</v>
      </c>
      <c r="G8406" s="562">
        <f t="shared" si="516"/>
        <v>-65</v>
      </c>
      <c r="H8406" s="362"/>
      <c r="I8406" s="362"/>
      <c r="J8406" s="362"/>
    </row>
    <row r="8407" spans="1:10" x14ac:dyDescent="0.25">
      <c r="A8407" s="362"/>
      <c r="B8407" s="611">
        <v>44664</v>
      </c>
      <c r="C8407" s="362" t="s">
        <v>3435</v>
      </c>
      <c r="D8407" s="562">
        <v>130529943</v>
      </c>
      <c r="E8407" s="562"/>
      <c r="F8407" s="562">
        <v>130530000</v>
      </c>
      <c r="G8407" s="562">
        <f t="shared" si="516"/>
        <v>-57</v>
      </c>
      <c r="H8407" s="362"/>
      <c r="I8407" s="362"/>
      <c r="J8407" s="362"/>
    </row>
    <row r="8408" spans="1:10" x14ac:dyDescent="0.25">
      <c r="A8408" s="362"/>
      <c r="B8408" s="611">
        <v>44664</v>
      </c>
      <c r="C8408" s="370" t="s">
        <v>85</v>
      </c>
      <c r="D8408" s="562">
        <v>59241500</v>
      </c>
      <c r="E8408" s="562"/>
      <c r="F8408" s="562">
        <v>59241500</v>
      </c>
      <c r="G8408" s="562">
        <f t="shared" si="516"/>
        <v>0</v>
      </c>
      <c r="H8408" s="362"/>
      <c r="I8408" s="362"/>
      <c r="J8408" s="362"/>
    </row>
    <row r="8409" spans="1:10" x14ac:dyDescent="0.25">
      <c r="A8409" s="532"/>
      <c r="B8409" s="532"/>
      <c r="C8409" s="532"/>
      <c r="D8409" s="564">
        <f>SUM(D8394:D8408)</f>
        <v>2995611972</v>
      </c>
      <c r="E8409" s="564">
        <f t="shared" ref="E8409:H8409" si="520">SUM(E8394:E8408)</f>
        <v>0</v>
      </c>
      <c r="F8409" s="564">
        <f t="shared" si="520"/>
        <v>2995612400</v>
      </c>
      <c r="G8409" s="564">
        <f t="shared" si="520"/>
        <v>-428</v>
      </c>
      <c r="H8409" s="632">
        <f t="shared" si="520"/>
        <v>0</v>
      </c>
      <c r="I8409" s="532"/>
      <c r="J8409" s="532"/>
    </row>
    <row r="8410" spans="1:10" x14ac:dyDescent="0.25">
      <c r="A8410" s="362"/>
      <c r="B8410" s="611">
        <v>44665</v>
      </c>
      <c r="C8410" s="362" t="s">
        <v>86</v>
      </c>
      <c r="D8410" s="562">
        <v>291261413</v>
      </c>
      <c r="E8410" s="562"/>
      <c r="F8410" s="562">
        <v>291261500</v>
      </c>
      <c r="G8410" s="562">
        <f t="shared" si="516"/>
        <v>-87</v>
      </c>
      <c r="H8410" s="362"/>
      <c r="I8410" s="362"/>
      <c r="J8410" s="362"/>
    </row>
    <row r="8411" spans="1:10" x14ac:dyDescent="0.25">
      <c r="A8411" s="362"/>
      <c r="B8411" s="611">
        <v>44665</v>
      </c>
      <c r="C8411" s="362" t="s">
        <v>87</v>
      </c>
      <c r="D8411" s="562">
        <v>352779486</v>
      </c>
      <c r="E8411" s="562"/>
      <c r="F8411" s="562">
        <v>352779500</v>
      </c>
      <c r="G8411" s="562">
        <f t="shared" si="516"/>
        <v>-14</v>
      </c>
      <c r="H8411" s="362"/>
      <c r="I8411" s="362"/>
      <c r="J8411" s="362"/>
    </row>
    <row r="8412" spans="1:10" x14ac:dyDescent="0.25">
      <c r="A8412" s="362"/>
      <c r="B8412" s="611">
        <v>44665</v>
      </c>
      <c r="C8412" s="362" t="s">
        <v>88</v>
      </c>
      <c r="D8412" s="562">
        <v>245478154</v>
      </c>
      <c r="E8412" s="562"/>
      <c r="F8412" s="562">
        <v>245478200</v>
      </c>
      <c r="G8412" s="562">
        <f t="shared" ref="G8412:G8475" si="521">D8412+E8412-F8412</f>
        <v>-46</v>
      </c>
      <c r="H8412" s="362"/>
      <c r="I8412" s="362"/>
      <c r="J8412" s="362"/>
    </row>
    <row r="8413" spans="1:10" x14ac:dyDescent="0.25">
      <c r="A8413" s="362"/>
      <c r="B8413" s="611">
        <v>44665</v>
      </c>
      <c r="C8413" s="362" t="s">
        <v>82</v>
      </c>
      <c r="D8413" s="562">
        <v>116553182</v>
      </c>
      <c r="E8413" s="562"/>
      <c r="F8413" s="562">
        <v>116553200</v>
      </c>
      <c r="G8413" s="562">
        <f t="shared" si="521"/>
        <v>-18</v>
      </c>
      <c r="H8413" s="362"/>
      <c r="I8413" s="362"/>
      <c r="J8413" s="362"/>
    </row>
    <row r="8414" spans="1:10" x14ac:dyDescent="0.25">
      <c r="A8414" s="362"/>
      <c r="B8414" s="611">
        <v>44665</v>
      </c>
      <c r="C8414" s="362" t="s">
        <v>80</v>
      </c>
      <c r="D8414" s="562">
        <v>624606309</v>
      </c>
      <c r="E8414" s="562"/>
      <c r="F8414" s="562">
        <v>624606300</v>
      </c>
      <c r="G8414" s="562">
        <f t="shared" si="521"/>
        <v>9</v>
      </c>
      <c r="H8414" s="362"/>
      <c r="I8414" s="362"/>
      <c r="J8414" s="362"/>
    </row>
    <row r="8415" spans="1:10" x14ac:dyDescent="0.25">
      <c r="A8415" s="362"/>
      <c r="B8415" s="611">
        <v>44665</v>
      </c>
      <c r="C8415" s="362" t="s">
        <v>83</v>
      </c>
      <c r="D8415" s="562">
        <v>138093951</v>
      </c>
      <c r="E8415" s="562"/>
      <c r="F8415" s="562">
        <v>138094000</v>
      </c>
      <c r="G8415" s="562">
        <f t="shared" si="521"/>
        <v>-49</v>
      </c>
      <c r="H8415" s="362"/>
      <c r="I8415" s="362"/>
      <c r="J8415" s="362"/>
    </row>
    <row r="8416" spans="1:10" x14ac:dyDescent="0.25">
      <c r="A8416" s="362"/>
      <c r="B8416" s="611">
        <v>44665</v>
      </c>
      <c r="C8416" s="362" t="s">
        <v>78</v>
      </c>
      <c r="D8416" s="562">
        <v>121428685</v>
      </c>
      <c r="E8416" s="562"/>
      <c r="F8416" s="562">
        <v>121428700</v>
      </c>
      <c r="G8416" s="562">
        <f t="shared" si="521"/>
        <v>-15</v>
      </c>
      <c r="H8416" s="362"/>
      <c r="I8416" s="362"/>
      <c r="J8416" s="362"/>
    </row>
    <row r="8417" spans="1:10" x14ac:dyDescent="0.25">
      <c r="A8417" s="362"/>
      <c r="B8417" s="611">
        <v>44665</v>
      </c>
      <c r="C8417" s="362" t="s">
        <v>141</v>
      </c>
      <c r="D8417" s="562">
        <v>101042319</v>
      </c>
      <c r="E8417" s="562"/>
      <c r="F8417" s="562">
        <v>101042400</v>
      </c>
      <c r="G8417" s="562">
        <f t="shared" si="521"/>
        <v>-81</v>
      </c>
      <c r="H8417" s="362"/>
      <c r="I8417" s="362"/>
      <c r="J8417" s="362"/>
    </row>
    <row r="8418" spans="1:10" x14ac:dyDescent="0.25">
      <c r="A8418" s="362"/>
      <c r="B8418" s="611">
        <v>44665</v>
      </c>
      <c r="C8418" s="362" t="s">
        <v>89</v>
      </c>
      <c r="D8418" s="562">
        <v>161353400</v>
      </c>
      <c r="E8418" s="562"/>
      <c r="F8418" s="562">
        <v>161353500</v>
      </c>
      <c r="G8418" s="562">
        <f t="shared" si="521"/>
        <v>-100</v>
      </c>
      <c r="H8418" s="362"/>
      <c r="I8418" s="362"/>
      <c r="J8418" s="362"/>
    </row>
    <row r="8419" spans="1:10" x14ac:dyDescent="0.25">
      <c r="A8419" s="362"/>
      <c r="B8419" s="611">
        <v>44665</v>
      </c>
      <c r="C8419" s="362" t="s">
        <v>81</v>
      </c>
      <c r="D8419" s="562">
        <v>240034342</v>
      </c>
      <c r="E8419" s="562"/>
      <c r="F8419" s="562">
        <v>240034400</v>
      </c>
      <c r="G8419" s="562">
        <f t="shared" si="521"/>
        <v>-58</v>
      </c>
      <c r="H8419" s="362"/>
      <c r="I8419" s="362"/>
      <c r="J8419" s="362"/>
    </row>
    <row r="8420" spans="1:10" x14ac:dyDescent="0.25">
      <c r="A8420" s="362"/>
      <c r="B8420" s="611">
        <v>44665</v>
      </c>
      <c r="C8420" s="362" t="s">
        <v>84</v>
      </c>
      <c r="D8420" s="562">
        <v>331927040</v>
      </c>
      <c r="E8420" s="562"/>
      <c r="F8420" s="562">
        <v>331927000</v>
      </c>
      <c r="G8420" s="562">
        <f t="shared" si="521"/>
        <v>40</v>
      </c>
      <c r="H8420" s="362"/>
      <c r="I8420" s="362"/>
      <c r="J8420" s="362"/>
    </row>
    <row r="8421" spans="1:10" x14ac:dyDescent="0.25">
      <c r="A8421" s="362"/>
      <c r="B8421" s="611">
        <v>44665</v>
      </c>
      <c r="C8421" s="362" t="s">
        <v>4751</v>
      </c>
      <c r="D8421" s="562">
        <v>255111500</v>
      </c>
      <c r="E8421" s="562"/>
      <c r="F8421" s="562">
        <v>255111500</v>
      </c>
      <c r="G8421" s="562">
        <f t="shared" si="521"/>
        <v>0</v>
      </c>
      <c r="H8421" s="362"/>
      <c r="I8421" s="362"/>
      <c r="J8421" s="362"/>
    </row>
    <row r="8422" spans="1:10" x14ac:dyDescent="0.25">
      <c r="A8422" s="362"/>
      <c r="B8422" s="611">
        <v>44665</v>
      </c>
      <c r="C8422" s="362" t="s">
        <v>166</v>
      </c>
      <c r="D8422" s="562">
        <v>71970634</v>
      </c>
      <c r="E8422" s="562"/>
      <c r="F8422" s="562">
        <v>71970700</v>
      </c>
      <c r="G8422" s="562">
        <f t="shared" si="521"/>
        <v>-66</v>
      </c>
      <c r="H8422" s="362"/>
      <c r="I8422" s="362"/>
      <c r="J8422" s="362"/>
    </row>
    <row r="8423" spans="1:10" x14ac:dyDescent="0.25">
      <c r="A8423" s="362"/>
      <c r="B8423" s="611">
        <v>44665</v>
      </c>
      <c r="C8423" s="362" t="s">
        <v>3435</v>
      </c>
      <c r="D8423" s="562">
        <v>72825432</v>
      </c>
      <c r="E8423" s="562"/>
      <c r="F8423" s="562">
        <v>72825500</v>
      </c>
      <c r="G8423" s="562">
        <f t="shared" si="521"/>
        <v>-68</v>
      </c>
      <c r="H8423" s="362"/>
      <c r="I8423" s="362"/>
      <c r="J8423" s="362"/>
    </row>
    <row r="8424" spans="1:10" x14ac:dyDescent="0.25">
      <c r="A8424" s="362"/>
      <c r="B8424" s="611">
        <v>44665</v>
      </c>
      <c r="C8424" s="370" t="s">
        <v>85</v>
      </c>
      <c r="D8424" s="562">
        <v>29252000</v>
      </c>
      <c r="E8424" s="562"/>
      <c r="F8424" s="562">
        <v>29252000</v>
      </c>
      <c r="G8424" s="562">
        <f t="shared" si="521"/>
        <v>0</v>
      </c>
      <c r="H8424" s="362"/>
      <c r="I8424" s="362"/>
      <c r="J8424" s="362"/>
    </row>
    <row r="8425" spans="1:10" x14ac:dyDescent="0.25">
      <c r="A8425" s="532"/>
      <c r="B8425" s="532"/>
      <c r="C8425" s="532"/>
      <c r="D8425" s="564">
        <f>SUM(D8410:D8424)</f>
        <v>3153717847</v>
      </c>
      <c r="E8425" s="564">
        <f t="shared" ref="E8425:G8425" si="522">SUM(E8410:E8424)</f>
        <v>0</v>
      </c>
      <c r="F8425" s="564">
        <f t="shared" si="522"/>
        <v>3153718400</v>
      </c>
      <c r="G8425" s="564">
        <f t="shared" si="522"/>
        <v>-553</v>
      </c>
      <c r="H8425" s="532"/>
      <c r="I8425" s="532"/>
      <c r="J8425" s="532"/>
    </row>
    <row r="8426" spans="1:10" x14ac:dyDescent="0.25">
      <c r="A8426" s="362"/>
      <c r="B8426" s="611">
        <v>44666</v>
      </c>
      <c r="C8426" s="362" t="s">
        <v>86</v>
      </c>
      <c r="D8426" s="562">
        <v>100646236</v>
      </c>
      <c r="E8426" s="562"/>
      <c r="F8426" s="562">
        <v>100646400</v>
      </c>
      <c r="G8426" s="562">
        <f t="shared" si="521"/>
        <v>-164</v>
      </c>
      <c r="H8426" s="362"/>
      <c r="I8426" s="362"/>
      <c r="J8426" s="362"/>
    </row>
    <row r="8427" spans="1:10" x14ac:dyDescent="0.25">
      <c r="A8427" s="362"/>
      <c r="B8427" s="611">
        <v>44666</v>
      </c>
      <c r="C8427" s="362" t="s">
        <v>87</v>
      </c>
      <c r="D8427" s="562">
        <v>320258612</v>
      </c>
      <c r="E8427" s="562"/>
      <c r="F8427" s="562">
        <v>320258700</v>
      </c>
      <c r="G8427" s="562">
        <f t="shared" si="521"/>
        <v>-88</v>
      </c>
      <c r="H8427" s="362"/>
      <c r="I8427" s="362"/>
      <c r="J8427" s="362"/>
    </row>
    <row r="8428" spans="1:10" x14ac:dyDescent="0.25">
      <c r="A8428" s="362"/>
      <c r="B8428" s="611">
        <v>44666</v>
      </c>
      <c r="C8428" s="362" t="s">
        <v>88</v>
      </c>
      <c r="D8428" s="562">
        <v>165787773</v>
      </c>
      <c r="E8428" s="562"/>
      <c r="F8428" s="562">
        <v>165787800</v>
      </c>
      <c r="G8428" s="562">
        <f t="shared" si="521"/>
        <v>-27</v>
      </c>
      <c r="H8428" s="362"/>
      <c r="I8428" s="362"/>
      <c r="J8428" s="362"/>
    </row>
    <row r="8429" spans="1:10" x14ac:dyDescent="0.25">
      <c r="A8429" s="362"/>
      <c r="B8429" s="611">
        <v>44666</v>
      </c>
      <c r="C8429" s="362" t="s">
        <v>82</v>
      </c>
      <c r="D8429" s="562">
        <v>109441081</v>
      </c>
      <c r="E8429" s="562"/>
      <c r="F8429" s="562">
        <v>109441200</v>
      </c>
      <c r="G8429" s="562">
        <f t="shared" si="521"/>
        <v>-119</v>
      </c>
      <c r="H8429" s="362"/>
      <c r="I8429" s="362"/>
      <c r="J8429" s="362"/>
    </row>
    <row r="8430" spans="1:10" x14ac:dyDescent="0.25">
      <c r="A8430" s="362"/>
      <c r="B8430" s="611">
        <v>44666</v>
      </c>
      <c r="C8430" s="362" t="s">
        <v>80</v>
      </c>
      <c r="D8430" s="562">
        <v>407027400</v>
      </c>
      <c r="E8430" s="562"/>
      <c r="F8430" s="562">
        <v>407025400</v>
      </c>
      <c r="G8430" s="562">
        <f t="shared" si="521"/>
        <v>2000</v>
      </c>
      <c r="H8430" s="362"/>
      <c r="I8430" s="362"/>
      <c r="J8430" s="362"/>
    </row>
    <row r="8431" spans="1:10" x14ac:dyDescent="0.25">
      <c r="A8431" s="362"/>
      <c r="B8431" s="611">
        <v>44666</v>
      </c>
      <c r="C8431" s="362" t="s">
        <v>83</v>
      </c>
      <c r="D8431" s="562">
        <v>273410709</v>
      </c>
      <c r="E8431" s="562"/>
      <c r="F8431" s="562">
        <v>273410700</v>
      </c>
      <c r="G8431" s="562">
        <f t="shared" si="521"/>
        <v>9</v>
      </c>
      <c r="H8431" s="362"/>
      <c r="I8431" s="362"/>
      <c r="J8431" s="362"/>
    </row>
    <row r="8432" spans="1:10" x14ac:dyDescent="0.25">
      <c r="A8432" s="362"/>
      <c r="B8432" s="611">
        <v>44666</v>
      </c>
      <c r="C8432" s="362" t="s">
        <v>78</v>
      </c>
      <c r="D8432" s="562">
        <v>120928555</v>
      </c>
      <c r="E8432" s="562"/>
      <c r="F8432" s="562">
        <v>120928600</v>
      </c>
      <c r="G8432" s="562">
        <f t="shared" si="521"/>
        <v>-45</v>
      </c>
      <c r="H8432" s="362"/>
      <c r="I8432" s="362"/>
      <c r="J8432" s="362"/>
    </row>
    <row r="8433" spans="1:10" x14ac:dyDescent="0.25">
      <c r="A8433" s="362"/>
      <c r="B8433" s="611">
        <v>44666</v>
      </c>
      <c r="C8433" s="362" t="s">
        <v>141</v>
      </c>
      <c r="D8433" s="562">
        <v>83762378</v>
      </c>
      <c r="E8433" s="562"/>
      <c r="F8433" s="562">
        <v>83762400</v>
      </c>
      <c r="G8433" s="562">
        <f t="shared" si="521"/>
        <v>-22</v>
      </c>
      <c r="H8433" s="362"/>
      <c r="I8433" s="362"/>
      <c r="J8433" s="362"/>
    </row>
    <row r="8434" spans="1:10" x14ac:dyDescent="0.25">
      <c r="A8434" s="362"/>
      <c r="B8434" s="611">
        <v>44666</v>
      </c>
      <c r="C8434" s="362" t="s">
        <v>89</v>
      </c>
      <c r="D8434" s="562">
        <v>265659200</v>
      </c>
      <c r="E8434" s="562"/>
      <c r="F8434" s="562">
        <v>265659300</v>
      </c>
      <c r="G8434" s="562">
        <f t="shared" si="521"/>
        <v>-100</v>
      </c>
      <c r="H8434" s="362"/>
      <c r="I8434" s="362"/>
      <c r="J8434" s="362"/>
    </row>
    <row r="8435" spans="1:10" x14ac:dyDescent="0.25">
      <c r="A8435" s="362"/>
      <c r="B8435" s="611">
        <v>44666</v>
      </c>
      <c r="C8435" s="362" t="s">
        <v>81</v>
      </c>
      <c r="D8435" s="562">
        <v>162525692</v>
      </c>
      <c r="E8435" s="562"/>
      <c r="F8435" s="562">
        <f>127472900+35052800</f>
        <v>162525700</v>
      </c>
      <c r="G8435" s="562">
        <f t="shared" si="521"/>
        <v>-8</v>
      </c>
      <c r="H8435" s="362"/>
      <c r="I8435" s="362"/>
      <c r="J8435" s="362"/>
    </row>
    <row r="8436" spans="1:10" x14ac:dyDescent="0.25">
      <c r="A8436" s="362"/>
      <c r="B8436" s="611">
        <v>44666</v>
      </c>
      <c r="C8436" s="362" t="s">
        <v>84</v>
      </c>
      <c r="D8436" s="562">
        <v>609559362</v>
      </c>
      <c r="E8436" s="562"/>
      <c r="F8436" s="562">
        <v>609559300</v>
      </c>
      <c r="G8436" s="562">
        <f t="shared" si="521"/>
        <v>62</v>
      </c>
      <c r="H8436" s="362"/>
      <c r="I8436" s="362"/>
      <c r="J8436" s="362"/>
    </row>
    <row r="8437" spans="1:10" x14ac:dyDescent="0.25">
      <c r="A8437" s="362"/>
      <c r="B8437" s="611">
        <v>44666</v>
      </c>
      <c r="C8437" s="362" t="s">
        <v>4751</v>
      </c>
      <c r="D8437" s="562">
        <v>130991700</v>
      </c>
      <c r="E8437" s="562"/>
      <c r="F8437" s="562">
        <v>130991700</v>
      </c>
      <c r="G8437" s="562">
        <f t="shared" si="521"/>
        <v>0</v>
      </c>
      <c r="H8437" s="362"/>
      <c r="I8437" s="362"/>
      <c r="J8437" s="362"/>
    </row>
    <row r="8438" spans="1:10" x14ac:dyDescent="0.25">
      <c r="A8438" s="362"/>
      <c r="B8438" s="611">
        <v>44666</v>
      </c>
      <c r="C8438" s="362" t="s">
        <v>166</v>
      </c>
      <c r="D8438" s="562"/>
      <c r="E8438" s="562"/>
      <c r="F8438" s="562"/>
      <c r="G8438" s="562">
        <f t="shared" si="521"/>
        <v>0</v>
      </c>
      <c r="H8438" s="362"/>
      <c r="I8438" s="362"/>
      <c r="J8438" s="362"/>
    </row>
    <row r="8439" spans="1:10" x14ac:dyDescent="0.25">
      <c r="A8439" s="362"/>
      <c r="B8439" s="611">
        <v>44666</v>
      </c>
      <c r="C8439" s="362" t="s">
        <v>3435</v>
      </c>
      <c r="D8439" s="562">
        <v>63555227</v>
      </c>
      <c r="E8439" s="562"/>
      <c r="F8439" s="562">
        <v>63555300</v>
      </c>
      <c r="G8439" s="562">
        <f t="shared" si="521"/>
        <v>-73</v>
      </c>
      <c r="H8439" s="362"/>
      <c r="I8439" s="362"/>
      <c r="J8439" s="362"/>
    </row>
    <row r="8440" spans="1:10" x14ac:dyDescent="0.25">
      <c r="A8440" s="362"/>
      <c r="B8440" s="611">
        <v>44666</v>
      </c>
      <c r="C8440" s="370" t="s">
        <v>85</v>
      </c>
      <c r="D8440" s="562">
        <v>33879000</v>
      </c>
      <c r="E8440" s="562"/>
      <c r="F8440" s="562">
        <v>33879000</v>
      </c>
      <c r="G8440" s="562">
        <f t="shared" si="521"/>
        <v>0</v>
      </c>
      <c r="H8440" s="362"/>
      <c r="I8440" s="362"/>
      <c r="J8440" s="362"/>
    </row>
    <row r="8441" spans="1:10" x14ac:dyDescent="0.25">
      <c r="A8441" s="532"/>
      <c r="B8441" s="532"/>
      <c r="C8441" s="532"/>
      <c r="D8441" s="564">
        <f>SUM(D8426:D8440)</f>
        <v>2847432925</v>
      </c>
      <c r="E8441" s="564">
        <f t="shared" ref="E8441:G8441" si="523">SUM(E8426:E8440)</f>
        <v>0</v>
      </c>
      <c r="F8441" s="564">
        <f t="shared" si="523"/>
        <v>2847431500</v>
      </c>
      <c r="G8441" s="564">
        <f t="shared" si="523"/>
        <v>1425</v>
      </c>
      <c r="H8441" s="532"/>
      <c r="I8441" s="532"/>
      <c r="J8441" s="532"/>
    </row>
    <row r="8442" spans="1:10" x14ac:dyDescent="0.25">
      <c r="A8442" s="362"/>
      <c r="B8442" s="611">
        <v>44667</v>
      </c>
      <c r="C8442" s="362" t="s">
        <v>86</v>
      </c>
      <c r="D8442" s="562">
        <v>130990955</v>
      </c>
      <c r="E8442" s="562"/>
      <c r="F8442" s="562">
        <v>130991000</v>
      </c>
      <c r="G8442" s="562">
        <f t="shared" si="521"/>
        <v>-45</v>
      </c>
      <c r="H8442" s="362"/>
      <c r="I8442" s="362"/>
      <c r="J8442" s="362"/>
    </row>
    <row r="8443" spans="1:10" x14ac:dyDescent="0.25">
      <c r="A8443" s="362"/>
      <c r="B8443" s="611">
        <v>44667</v>
      </c>
      <c r="C8443" s="362" t="s">
        <v>87</v>
      </c>
      <c r="D8443" s="562">
        <v>253504522</v>
      </c>
      <c r="E8443" s="562"/>
      <c r="F8443" s="562">
        <f>131005200+122499500</f>
        <v>253504700</v>
      </c>
      <c r="G8443" s="562">
        <f t="shared" si="521"/>
        <v>-178</v>
      </c>
      <c r="H8443" s="362"/>
      <c r="I8443" s="362"/>
      <c r="J8443" s="362"/>
    </row>
    <row r="8444" spans="1:10" x14ac:dyDescent="0.25">
      <c r="A8444" s="362"/>
      <c r="B8444" s="611">
        <v>44667</v>
      </c>
      <c r="C8444" s="362" t="s">
        <v>88</v>
      </c>
      <c r="D8444" s="562">
        <v>144756719</v>
      </c>
      <c r="E8444" s="562"/>
      <c r="F8444" s="562">
        <v>144756800</v>
      </c>
      <c r="G8444" s="562">
        <f t="shared" si="521"/>
        <v>-81</v>
      </c>
      <c r="H8444" s="362"/>
      <c r="I8444" s="362"/>
      <c r="J8444" s="362"/>
    </row>
    <row r="8445" spans="1:10" x14ac:dyDescent="0.25">
      <c r="A8445" s="362"/>
      <c r="B8445" s="611">
        <v>44667</v>
      </c>
      <c r="C8445" s="362" t="s">
        <v>82</v>
      </c>
      <c r="D8445" s="562">
        <v>88426173</v>
      </c>
      <c r="E8445" s="562"/>
      <c r="F8445" s="562">
        <v>88438200</v>
      </c>
      <c r="G8445" s="562">
        <f t="shared" si="521"/>
        <v>-12027</v>
      </c>
      <c r="H8445" s="362"/>
      <c r="I8445" s="362"/>
      <c r="J8445" s="362"/>
    </row>
    <row r="8446" spans="1:10" x14ac:dyDescent="0.25">
      <c r="A8446" s="362"/>
      <c r="B8446" s="611">
        <v>44667</v>
      </c>
      <c r="C8446" s="362" t="s">
        <v>80</v>
      </c>
      <c r="D8446" s="562">
        <v>283641900</v>
      </c>
      <c r="E8446" s="562"/>
      <c r="F8446" s="562">
        <v>283641900</v>
      </c>
      <c r="G8446" s="562">
        <f t="shared" si="521"/>
        <v>0</v>
      </c>
      <c r="H8446" s="362"/>
      <c r="I8446" s="362"/>
      <c r="J8446" s="362"/>
    </row>
    <row r="8447" spans="1:10" x14ac:dyDescent="0.25">
      <c r="A8447" s="362"/>
      <c r="B8447" s="611">
        <v>44667</v>
      </c>
      <c r="C8447" s="362" t="s">
        <v>83</v>
      </c>
      <c r="D8447" s="562">
        <v>146019251</v>
      </c>
      <c r="E8447" s="562"/>
      <c r="F8447" s="562">
        <v>146019300</v>
      </c>
      <c r="G8447" s="562">
        <f t="shared" si="521"/>
        <v>-49</v>
      </c>
      <c r="H8447" s="362"/>
      <c r="I8447" s="362"/>
      <c r="J8447" s="362"/>
    </row>
    <row r="8448" spans="1:10" x14ac:dyDescent="0.25">
      <c r="A8448" s="362"/>
      <c r="B8448" s="611">
        <v>44667</v>
      </c>
      <c r="C8448" s="362" t="s">
        <v>78</v>
      </c>
      <c r="D8448" s="562">
        <v>267984813</v>
      </c>
      <c r="E8448" s="562"/>
      <c r="F8448" s="562">
        <v>267984900</v>
      </c>
      <c r="G8448" s="562">
        <f t="shared" si="521"/>
        <v>-87</v>
      </c>
      <c r="H8448" s="362"/>
      <c r="I8448" s="362"/>
      <c r="J8448" s="362"/>
    </row>
    <row r="8449" spans="1:10" x14ac:dyDescent="0.25">
      <c r="A8449" s="362"/>
      <c r="B8449" s="611">
        <v>44667</v>
      </c>
      <c r="C8449" s="362" t="s">
        <v>141</v>
      </c>
      <c r="D8449" s="562">
        <v>71012137</v>
      </c>
      <c r="E8449" s="562"/>
      <c r="F8449" s="562">
        <v>71012200</v>
      </c>
      <c r="G8449" s="562">
        <f t="shared" si="521"/>
        <v>-63</v>
      </c>
      <c r="H8449" s="362"/>
      <c r="I8449" s="362"/>
      <c r="J8449" s="362"/>
    </row>
    <row r="8450" spans="1:10" x14ac:dyDescent="0.25">
      <c r="A8450" s="362"/>
      <c r="B8450" s="611">
        <v>44667</v>
      </c>
      <c r="C8450" s="362" t="s">
        <v>89</v>
      </c>
      <c r="D8450" s="562">
        <v>160087500</v>
      </c>
      <c r="E8450" s="562"/>
      <c r="F8450" s="562">
        <v>160087500</v>
      </c>
      <c r="G8450" s="562">
        <f t="shared" si="521"/>
        <v>0</v>
      </c>
      <c r="H8450" s="362"/>
      <c r="I8450" s="362"/>
      <c r="J8450" s="362"/>
    </row>
    <row r="8451" spans="1:10" x14ac:dyDescent="0.25">
      <c r="A8451" s="362"/>
      <c r="B8451" s="611">
        <v>44667</v>
      </c>
      <c r="C8451" s="362" t="s">
        <v>81</v>
      </c>
      <c r="D8451" s="562">
        <v>258557831</v>
      </c>
      <c r="E8451" s="562"/>
      <c r="F8451" s="562">
        <f>83346900+175211000</f>
        <v>258557900</v>
      </c>
      <c r="G8451" s="562">
        <f t="shared" si="521"/>
        <v>-69</v>
      </c>
      <c r="H8451" s="362"/>
      <c r="I8451" s="362"/>
      <c r="J8451" s="362"/>
    </row>
    <row r="8452" spans="1:10" x14ac:dyDescent="0.25">
      <c r="A8452" s="362"/>
      <c r="B8452" s="611">
        <v>44667</v>
      </c>
      <c r="C8452" s="362" t="s">
        <v>84</v>
      </c>
      <c r="D8452" s="562">
        <v>228892853</v>
      </c>
      <c r="E8452" s="562"/>
      <c r="F8452" s="562">
        <v>228892300</v>
      </c>
      <c r="G8452" s="562">
        <f t="shared" si="521"/>
        <v>553</v>
      </c>
      <c r="H8452" s="362"/>
      <c r="I8452" s="362"/>
      <c r="J8452" s="362"/>
    </row>
    <row r="8453" spans="1:10" x14ac:dyDescent="0.25">
      <c r="A8453" s="362"/>
      <c r="B8453" s="611">
        <v>44667</v>
      </c>
      <c r="C8453" s="362" t="s">
        <v>4751</v>
      </c>
      <c r="D8453" s="562">
        <v>352567800</v>
      </c>
      <c r="E8453" s="562"/>
      <c r="F8453" s="562">
        <v>352567800</v>
      </c>
      <c r="G8453" s="562">
        <f t="shared" si="521"/>
        <v>0</v>
      </c>
      <c r="H8453" s="362"/>
      <c r="I8453" s="362"/>
      <c r="J8453" s="362"/>
    </row>
    <row r="8454" spans="1:10" x14ac:dyDescent="0.25">
      <c r="A8454" s="362"/>
      <c r="B8454" s="611">
        <v>44667</v>
      </c>
      <c r="C8454" s="362" t="s">
        <v>166</v>
      </c>
      <c r="D8454" s="562"/>
      <c r="E8454" s="562"/>
      <c r="F8454" s="562"/>
      <c r="G8454" s="562">
        <f t="shared" si="521"/>
        <v>0</v>
      </c>
      <c r="H8454" s="362"/>
      <c r="I8454" s="362"/>
      <c r="J8454" s="362"/>
    </row>
    <row r="8455" spans="1:10" x14ac:dyDescent="0.25">
      <c r="A8455" s="362"/>
      <c r="B8455" s="611">
        <v>44667</v>
      </c>
      <c r="C8455" s="362" t="s">
        <v>3435</v>
      </c>
      <c r="D8455" s="562"/>
      <c r="E8455" s="562"/>
      <c r="F8455" s="562"/>
      <c r="G8455" s="562">
        <f t="shared" si="521"/>
        <v>0</v>
      </c>
      <c r="H8455" s="362"/>
      <c r="I8455" s="362"/>
      <c r="J8455" s="362"/>
    </row>
    <row r="8456" spans="1:10" x14ac:dyDescent="0.25">
      <c r="A8456" s="362"/>
      <c r="B8456" s="611">
        <v>44667</v>
      </c>
      <c r="C8456" s="370" t="s">
        <v>85</v>
      </c>
      <c r="D8456" s="562">
        <v>50435200</v>
      </c>
      <c r="E8456" s="562"/>
      <c r="F8456" s="562">
        <v>50435200</v>
      </c>
      <c r="G8456" s="562">
        <f t="shared" si="521"/>
        <v>0</v>
      </c>
      <c r="H8456" s="362"/>
      <c r="I8456" s="362"/>
      <c r="J8456" s="362"/>
    </row>
    <row r="8457" spans="1:10" x14ac:dyDescent="0.25">
      <c r="A8457" s="532"/>
      <c r="B8457" s="532"/>
      <c r="C8457" s="532"/>
      <c r="D8457" s="564">
        <f>SUM(D8442:D8456)</f>
        <v>2436877654</v>
      </c>
      <c r="E8457" s="564">
        <f t="shared" ref="E8457:G8457" si="524">SUM(E8442:E8456)</f>
        <v>0</v>
      </c>
      <c r="F8457" s="564">
        <f t="shared" si="524"/>
        <v>2436889700</v>
      </c>
      <c r="G8457" s="564">
        <f t="shared" si="524"/>
        <v>-12046</v>
      </c>
      <c r="H8457" s="532"/>
      <c r="I8457" s="532"/>
      <c r="J8457" s="532"/>
    </row>
    <row r="8458" spans="1:10" x14ac:dyDescent="0.25">
      <c r="A8458" s="362"/>
      <c r="B8458" s="611">
        <v>44669</v>
      </c>
      <c r="C8458" s="362" t="s">
        <v>86</v>
      </c>
      <c r="D8458" s="562">
        <v>111766818</v>
      </c>
      <c r="E8458" s="562"/>
      <c r="F8458" s="562">
        <v>111767000</v>
      </c>
      <c r="G8458" s="562">
        <f t="shared" si="521"/>
        <v>-182</v>
      </c>
      <c r="H8458" s="362"/>
      <c r="I8458" s="362"/>
      <c r="J8458" s="362"/>
    </row>
    <row r="8459" spans="1:10" x14ac:dyDescent="0.25">
      <c r="A8459" s="362"/>
      <c r="B8459" s="611">
        <v>44669</v>
      </c>
      <c r="C8459" s="362" t="s">
        <v>87</v>
      </c>
      <c r="D8459" s="562">
        <v>153827560</v>
      </c>
      <c r="E8459" s="562"/>
      <c r="F8459" s="562">
        <v>153827700</v>
      </c>
      <c r="G8459" s="562">
        <f t="shared" si="521"/>
        <v>-140</v>
      </c>
      <c r="H8459" s="362"/>
      <c r="I8459" s="362"/>
      <c r="J8459" s="362"/>
    </row>
    <row r="8460" spans="1:10" x14ac:dyDescent="0.25">
      <c r="A8460" s="362"/>
      <c r="B8460" s="611">
        <v>44669</v>
      </c>
      <c r="C8460" s="362" t="s">
        <v>88</v>
      </c>
      <c r="D8460" s="562">
        <v>510654447</v>
      </c>
      <c r="E8460" s="562"/>
      <c r="F8460" s="562">
        <v>510654500</v>
      </c>
      <c r="G8460" s="562">
        <f t="shared" si="521"/>
        <v>-53</v>
      </c>
      <c r="H8460" s="362"/>
      <c r="I8460" s="362"/>
      <c r="J8460" s="362"/>
    </row>
    <row r="8461" spans="1:10" x14ac:dyDescent="0.25">
      <c r="A8461" s="362"/>
      <c r="B8461" s="611">
        <v>44669</v>
      </c>
      <c r="C8461" s="362" t="s">
        <v>82</v>
      </c>
      <c r="D8461" s="562">
        <v>71366395</v>
      </c>
      <c r="E8461" s="562"/>
      <c r="F8461" s="562">
        <v>71366400</v>
      </c>
      <c r="G8461" s="562">
        <f t="shared" si="521"/>
        <v>-5</v>
      </c>
      <c r="H8461" s="362"/>
      <c r="I8461" s="362"/>
      <c r="J8461" s="362"/>
    </row>
    <row r="8462" spans="1:10" x14ac:dyDescent="0.25">
      <c r="A8462" s="362"/>
      <c r="B8462" s="611">
        <v>44669</v>
      </c>
      <c r="C8462" s="362" t="s">
        <v>80</v>
      </c>
      <c r="D8462" s="562">
        <v>304971797</v>
      </c>
      <c r="E8462" s="562"/>
      <c r="F8462" s="562">
        <v>304974300</v>
      </c>
      <c r="G8462" s="562">
        <f t="shared" si="521"/>
        <v>-2503</v>
      </c>
      <c r="H8462" s="362"/>
      <c r="I8462" s="362"/>
      <c r="J8462" s="362"/>
    </row>
    <row r="8463" spans="1:10" x14ac:dyDescent="0.25">
      <c r="A8463" s="362"/>
      <c r="B8463" s="611">
        <v>44669</v>
      </c>
      <c r="C8463" s="362" t="s">
        <v>83</v>
      </c>
      <c r="D8463" s="562">
        <v>229256700</v>
      </c>
      <c r="E8463" s="562"/>
      <c r="F8463" s="562">
        <v>229256700</v>
      </c>
      <c r="G8463" s="562">
        <f t="shared" si="521"/>
        <v>0</v>
      </c>
      <c r="H8463" s="362"/>
      <c r="I8463" s="362"/>
      <c r="J8463" s="362"/>
    </row>
    <row r="8464" spans="1:10" x14ac:dyDescent="0.25">
      <c r="A8464" s="362"/>
      <c r="B8464" s="611">
        <v>44669</v>
      </c>
      <c r="C8464" s="362" t="s">
        <v>78</v>
      </c>
      <c r="D8464" s="562">
        <v>94755800</v>
      </c>
      <c r="E8464" s="562"/>
      <c r="F8464" s="562">
        <v>94755800</v>
      </c>
      <c r="G8464" s="562">
        <f t="shared" si="521"/>
        <v>0</v>
      </c>
      <c r="H8464" s="362"/>
      <c r="I8464" s="362"/>
      <c r="J8464" s="362"/>
    </row>
    <row r="8465" spans="1:10" x14ac:dyDescent="0.25">
      <c r="A8465" s="362"/>
      <c r="B8465" s="611">
        <v>44669</v>
      </c>
      <c r="C8465" s="362" t="s">
        <v>141</v>
      </c>
      <c r="D8465" s="562">
        <v>74833674</v>
      </c>
      <c r="E8465" s="562"/>
      <c r="F8465" s="562">
        <v>74833700</v>
      </c>
      <c r="G8465" s="562">
        <f t="shared" si="521"/>
        <v>-26</v>
      </c>
      <c r="H8465" s="362"/>
      <c r="I8465" s="362"/>
      <c r="J8465" s="362"/>
    </row>
    <row r="8466" spans="1:10" x14ac:dyDescent="0.25">
      <c r="A8466" s="362"/>
      <c r="B8466" s="611">
        <v>44669</v>
      </c>
      <c r="C8466" s="362" t="s">
        <v>89</v>
      </c>
      <c r="D8466" s="562">
        <v>217322700</v>
      </c>
      <c r="E8466" s="562"/>
      <c r="F8466" s="562">
        <v>217322700</v>
      </c>
      <c r="G8466" s="562">
        <f t="shared" si="521"/>
        <v>0</v>
      </c>
      <c r="H8466" s="362"/>
      <c r="I8466" s="362"/>
      <c r="J8466" s="362"/>
    </row>
    <row r="8467" spans="1:10" x14ac:dyDescent="0.25">
      <c r="A8467" s="362"/>
      <c r="B8467" s="611">
        <v>44669</v>
      </c>
      <c r="C8467" s="362" t="s">
        <v>81</v>
      </c>
      <c r="D8467" s="562">
        <v>144270259</v>
      </c>
      <c r="E8467" s="562"/>
      <c r="F8467" s="562">
        <v>144270300</v>
      </c>
      <c r="G8467" s="562">
        <f t="shared" si="521"/>
        <v>-41</v>
      </c>
      <c r="H8467" s="362"/>
      <c r="I8467" s="362"/>
      <c r="J8467" s="362"/>
    </row>
    <row r="8468" spans="1:10" x14ac:dyDescent="0.25">
      <c r="A8468" s="362"/>
      <c r="B8468" s="611">
        <v>44669</v>
      </c>
      <c r="C8468" s="362" t="s">
        <v>84</v>
      </c>
      <c r="D8468" s="562">
        <v>372326324</v>
      </c>
      <c r="E8468" s="562"/>
      <c r="F8468" s="562">
        <v>372326000</v>
      </c>
      <c r="G8468" s="562">
        <f t="shared" si="521"/>
        <v>324</v>
      </c>
      <c r="H8468" s="362"/>
      <c r="I8468" s="362"/>
      <c r="J8468" s="362"/>
    </row>
    <row r="8469" spans="1:10" x14ac:dyDescent="0.25">
      <c r="A8469" s="362"/>
      <c r="B8469" s="611">
        <v>44669</v>
      </c>
      <c r="C8469" s="362" t="s">
        <v>4751</v>
      </c>
      <c r="D8469" s="562">
        <v>263614200</v>
      </c>
      <c r="E8469" s="562"/>
      <c r="F8469" s="562">
        <v>263614200</v>
      </c>
      <c r="G8469" s="562">
        <f t="shared" si="521"/>
        <v>0</v>
      </c>
      <c r="H8469" s="362"/>
      <c r="I8469" s="362"/>
      <c r="J8469" s="362"/>
    </row>
    <row r="8470" spans="1:10" x14ac:dyDescent="0.25">
      <c r="A8470" s="362"/>
      <c r="B8470" s="611">
        <v>44669</v>
      </c>
      <c r="C8470" s="362" t="s">
        <v>166</v>
      </c>
      <c r="D8470" s="562">
        <v>77326411</v>
      </c>
      <c r="E8470" s="562"/>
      <c r="F8470" s="562">
        <v>77326500</v>
      </c>
      <c r="G8470" s="562">
        <f t="shared" si="521"/>
        <v>-89</v>
      </c>
      <c r="H8470" s="362"/>
      <c r="I8470" s="362"/>
      <c r="J8470" s="362"/>
    </row>
    <row r="8471" spans="1:10" x14ac:dyDescent="0.25">
      <c r="A8471" s="362"/>
      <c r="B8471" s="611">
        <v>44669</v>
      </c>
      <c r="C8471" s="362" t="s">
        <v>3435</v>
      </c>
      <c r="D8471" s="562">
        <v>34030421</v>
      </c>
      <c r="E8471" s="562"/>
      <c r="F8471" s="562">
        <v>34030500</v>
      </c>
      <c r="G8471" s="562">
        <f t="shared" si="521"/>
        <v>-79</v>
      </c>
      <c r="H8471" s="362"/>
      <c r="I8471" s="362"/>
      <c r="J8471" s="362"/>
    </row>
    <row r="8472" spans="1:10" x14ac:dyDescent="0.25">
      <c r="A8472" s="362"/>
      <c r="B8472" s="611">
        <v>44669</v>
      </c>
      <c r="C8472" s="370" t="s">
        <v>85</v>
      </c>
      <c r="D8472" s="562">
        <v>57272600</v>
      </c>
      <c r="E8472" s="562"/>
      <c r="F8472" s="562">
        <v>57272600</v>
      </c>
      <c r="G8472" s="562">
        <f t="shared" si="521"/>
        <v>0</v>
      </c>
      <c r="H8472" s="362"/>
      <c r="I8472" s="362"/>
      <c r="J8472" s="362"/>
    </row>
    <row r="8473" spans="1:10" x14ac:dyDescent="0.25">
      <c r="A8473" s="532"/>
      <c r="B8473" s="532"/>
      <c r="C8473" s="532"/>
      <c r="D8473" s="564">
        <f>SUM(D8458:D8472)</f>
        <v>2717596106</v>
      </c>
      <c r="E8473" s="564">
        <f t="shared" ref="E8473:G8473" si="525">SUM(E8458:E8472)</f>
        <v>0</v>
      </c>
      <c r="F8473" s="564">
        <f t="shared" si="525"/>
        <v>2717598900</v>
      </c>
      <c r="G8473" s="564">
        <f t="shared" si="525"/>
        <v>-2794</v>
      </c>
      <c r="H8473" s="532"/>
      <c r="I8473" s="532"/>
      <c r="J8473" s="532"/>
    </row>
    <row r="8474" spans="1:10" x14ac:dyDescent="0.25">
      <c r="A8474" s="362"/>
      <c r="B8474" s="611">
        <v>44670</v>
      </c>
      <c r="C8474" s="362" t="s">
        <v>86</v>
      </c>
      <c r="D8474" s="562">
        <v>157510682</v>
      </c>
      <c r="E8474" s="562"/>
      <c r="F8474" s="562">
        <v>157510700</v>
      </c>
      <c r="G8474" s="562">
        <f t="shared" si="521"/>
        <v>-18</v>
      </c>
      <c r="H8474" s="362"/>
      <c r="I8474" s="362"/>
      <c r="J8474" s="362"/>
    </row>
    <row r="8475" spans="1:10" x14ac:dyDescent="0.25">
      <c r="A8475" s="362"/>
      <c r="B8475" s="611">
        <v>44670</v>
      </c>
      <c r="C8475" s="362" t="s">
        <v>87</v>
      </c>
      <c r="D8475" s="562">
        <v>207666482</v>
      </c>
      <c r="E8475" s="562"/>
      <c r="F8475" s="562">
        <v>207666500</v>
      </c>
      <c r="G8475" s="562">
        <f t="shared" si="521"/>
        <v>-18</v>
      </c>
      <c r="H8475" s="362"/>
      <c r="I8475" s="362"/>
      <c r="J8475" s="362"/>
    </row>
    <row r="8476" spans="1:10" x14ac:dyDescent="0.25">
      <c r="A8476" s="362"/>
      <c r="B8476" s="611">
        <v>44670</v>
      </c>
      <c r="C8476" s="362" t="s">
        <v>88</v>
      </c>
      <c r="D8476" s="562">
        <v>127937709</v>
      </c>
      <c r="E8476" s="562"/>
      <c r="F8476" s="562">
        <v>127937800</v>
      </c>
      <c r="G8476" s="562">
        <f t="shared" ref="G8476:G8539" si="526">D8476+E8476-F8476</f>
        <v>-91</v>
      </c>
      <c r="H8476" s="362"/>
      <c r="I8476" s="362"/>
      <c r="J8476" s="362"/>
    </row>
    <row r="8477" spans="1:10" x14ac:dyDescent="0.25">
      <c r="A8477" s="362"/>
      <c r="B8477" s="611">
        <v>44670</v>
      </c>
      <c r="C8477" s="362" t="s">
        <v>82</v>
      </c>
      <c r="D8477" s="562">
        <v>64071797</v>
      </c>
      <c r="E8477" s="562"/>
      <c r="F8477" s="562">
        <v>64071800</v>
      </c>
      <c r="G8477" s="562">
        <f t="shared" si="526"/>
        <v>-3</v>
      </c>
      <c r="H8477" s="362"/>
      <c r="I8477" s="362"/>
      <c r="J8477" s="362"/>
    </row>
    <row r="8478" spans="1:10" x14ac:dyDescent="0.25">
      <c r="A8478" s="362"/>
      <c r="B8478" s="611">
        <v>44670</v>
      </c>
      <c r="C8478" s="362" t="s">
        <v>80</v>
      </c>
      <c r="D8478" s="562">
        <v>309023900</v>
      </c>
      <c r="E8478" s="562"/>
      <c r="F8478" s="562">
        <v>309023900</v>
      </c>
      <c r="G8478" s="562">
        <f t="shared" si="526"/>
        <v>0</v>
      </c>
      <c r="H8478" s="362"/>
      <c r="I8478" s="362"/>
      <c r="J8478" s="362"/>
    </row>
    <row r="8479" spans="1:10" x14ac:dyDescent="0.25">
      <c r="A8479" s="362"/>
      <c r="B8479" s="611">
        <v>44670</v>
      </c>
      <c r="C8479" s="362" t="s">
        <v>83</v>
      </c>
      <c r="D8479" s="562">
        <v>196150479</v>
      </c>
      <c r="E8479" s="562"/>
      <c r="F8479" s="562">
        <v>196150500</v>
      </c>
      <c r="G8479" s="562">
        <f t="shared" si="526"/>
        <v>-21</v>
      </c>
      <c r="H8479" s="362"/>
      <c r="I8479" s="362"/>
      <c r="J8479" s="362"/>
    </row>
    <row r="8480" spans="1:10" x14ac:dyDescent="0.25">
      <c r="A8480" s="362"/>
      <c r="B8480" s="611">
        <v>44670</v>
      </c>
      <c r="C8480" s="362" t="s">
        <v>78</v>
      </c>
      <c r="D8480" s="562">
        <v>152948890</v>
      </c>
      <c r="E8480" s="562"/>
      <c r="F8480" s="562">
        <v>152948900</v>
      </c>
      <c r="G8480" s="562">
        <f t="shared" si="526"/>
        <v>-10</v>
      </c>
      <c r="H8480" s="362"/>
      <c r="I8480" s="362"/>
      <c r="J8480" s="362"/>
    </row>
    <row r="8481" spans="1:10" x14ac:dyDescent="0.25">
      <c r="A8481" s="362"/>
      <c r="B8481" s="611">
        <v>44670</v>
      </c>
      <c r="C8481" s="362" t="s">
        <v>141</v>
      </c>
      <c r="D8481" s="562">
        <v>121612633</v>
      </c>
      <c r="E8481" s="562"/>
      <c r="F8481" s="562">
        <v>121612700</v>
      </c>
      <c r="G8481" s="562">
        <f t="shared" si="526"/>
        <v>-67</v>
      </c>
      <c r="H8481" s="362"/>
      <c r="I8481" s="362"/>
      <c r="J8481" s="362"/>
    </row>
    <row r="8482" spans="1:10" x14ac:dyDescent="0.25">
      <c r="A8482" s="362"/>
      <c r="B8482" s="611">
        <v>44670</v>
      </c>
      <c r="C8482" s="362" t="s">
        <v>89</v>
      </c>
      <c r="D8482" s="562">
        <v>228324800</v>
      </c>
      <c r="E8482" s="562"/>
      <c r="F8482" s="562">
        <v>228324800</v>
      </c>
      <c r="G8482" s="562">
        <f t="shared" si="526"/>
        <v>0</v>
      </c>
      <c r="H8482" s="362"/>
      <c r="I8482" s="362"/>
      <c r="J8482" s="362"/>
    </row>
    <row r="8483" spans="1:10" x14ac:dyDescent="0.25">
      <c r="A8483" s="362"/>
      <c r="B8483" s="611">
        <v>44670</v>
      </c>
      <c r="C8483" s="362" t="s">
        <v>81</v>
      </c>
      <c r="D8483" s="562">
        <v>127609324</v>
      </c>
      <c r="E8483" s="562"/>
      <c r="F8483" s="562">
        <v>127609400</v>
      </c>
      <c r="G8483" s="562">
        <f t="shared" si="526"/>
        <v>-76</v>
      </c>
      <c r="H8483" s="362"/>
      <c r="I8483" s="362"/>
      <c r="J8483" s="362"/>
    </row>
    <row r="8484" spans="1:10" x14ac:dyDescent="0.25">
      <c r="A8484" s="362"/>
      <c r="B8484" s="611">
        <v>44670</v>
      </c>
      <c r="C8484" s="362" t="s">
        <v>84</v>
      </c>
      <c r="D8484" s="562">
        <v>301651814</v>
      </c>
      <c r="E8484" s="562"/>
      <c r="F8484" s="562">
        <v>301649900</v>
      </c>
      <c r="G8484" s="562">
        <f t="shared" si="526"/>
        <v>1914</v>
      </c>
      <c r="H8484" s="362"/>
      <c r="I8484" s="362"/>
      <c r="J8484" s="362"/>
    </row>
    <row r="8485" spans="1:10" x14ac:dyDescent="0.25">
      <c r="A8485" s="362"/>
      <c r="B8485" s="611">
        <v>44670</v>
      </c>
      <c r="C8485" s="362" t="s">
        <v>4751</v>
      </c>
      <c r="D8485" s="562">
        <v>423147000</v>
      </c>
      <c r="E8485" s="562"/>
      <c r="F8485" s="562">
        <v>423147000</v>
      </c>
      <c r="G8485" s="562">
        <f t="shared" si="526"/>
        <v>0</v>
      </c>
      <c r="H8485" s="362"/>
      <c r="I8485" s="362"/>
      <c r="J8485" s="362"/>
    </row>
    <row r="8486" spans="1:10" x14ac:dyDescent="0.25">
      <c r="A8486" s="362"/>
      <c r="B8486" s="611">
        <v>44670</v>
      </c>
      <c r="C8486" s="362" t="s">
        <v>166</v>
      </c>
      <c r="D8486" s="562">
        <v>129231425</v>
      </c>
      <c r="E8486" s="562"/>
      <c r="F8486" s="562">
        <v>129231500</v>
      </c>
      <c r="G8486" s="562">
        <f t="shared" si="526"/>
        <v>-75</v>
      </c>
      <c r="H8486" s="362"/>
      <c r="I8486" s="362"/>
      <c r="J8486" s="362"/>
    </row>
    <row r="8487" spans="1:10" x14ac:dyDescent="0.25">
      <c r="A8487" s="362"/>
      <c r="B8487" s="611">
        <v>44670</v>
      </c>
      <c r="C8487" s="362" t="s">
        <v>3435</v>
      </c>
      <c r="D8487" s="562">
        <v>66043148</v>
      </c>
      <c r="E8487" s="562"/>
      <c r="F8487" s="562">
        <v>66043200</v>
      </c>
      <c r="G8487" s="562">
        <f t="shared" si="526"/>
        <v>-52</v>
      </c>
      <c r="H8487" s="362"/>
      <c r="I8487" s="362"/>
      <c r="J8487" s="362"/>
    </row>
    <row r="8488" spans="1:10" x14ac:dyDescent="0.25">
      <c r="A8488" s="362"/>
      <c r="B8488" s="611">
        <v>44670</v>
      </c>
      <c r="C8488" s="370" t="s">
        <v>85</v>
      </c>
      <c r="D8488" s="562">
        <v>51751600</v>
      </c>
      <c r="E8488" s="562"/>
      <c r="F8488" s="562">
        <v>51751600</v>
      </c>
      <c r="G8488" s="562">
        <f t="shared" si="526"/>
        <v>0</v>
      </c>
      <c r="H8488" s="362"/>
      <c r="I8488" s="362"/>
      <c r="J8488" s="362"/>
    </row>
    <row r="8489" spans="1:10" x14ac:dyDescent="0.25">
      <c r="A8489" s="532"/>
      <c r="B8489" s="532"/>
      <c r="C8489" s="532"/>
      <c r="D8489" s="564">
        <f>SUM(D8474:D8488)</f>
        <v>2664681683</v>
      </c>
      <c r="E8489" s="564">
        <f t="shared" ref="E8489:G8489" si="527">SUM(E8474:E8488)</f>
        <v>0</v>
      </c>
      <c r="F8489" s="564">
        <f t="shared" si="527"/>
        <v>2664680200</v>
      </c>
      <c r="G8489" s="564">
        <f t="shared" si="527"/>
        <v>1483</v>
      </c>
      <c r="H8489" s="532"/>
      <c r="I8489" s="532"/>
      <c r="J8489" s="532"/>
    </row>
    <row r="8490" spans="1:10" x14ac:dyDescent="0.25">
      <c r="A8490" s="362"/>
      <c r="B8490" s="611">
        <v>44671</v>
      </c>
      <c r="C8490" s="362" t="s">
        <v>86</v>
      </c>
      <c r="D8490" s="562">
        <v>65920572</v>
      </c>
      <c r="E8490" s="562"/>
      <c r="F8490" s="562"/>
      <c r="G8490" s="562">
        <f t="shared" si="526"/>
        <v>65920572</v>
      </c>
      <c r="H8490" s="362"/>
      <c r="I8490" s="362"/>
      <c r="J8490" s="362"/>
    </row>
    <row r="8491" spans="1:10" x14ac:dyDescent="0.25">
      <c r="A8491" s="362"/>
      <c r="B8491" s="611">
        <v>44671</v>
      </c>
      <c r="C8491" s="362" t="s">
        <v>87</v>
      </c>
      <c r="D8491" s="562">
        <v>143337637</v>
      </c>
      <c r="E8491" s="562"/>
      <c r="F8491" s="562"/>
      <c r="G8491" s="562">
        <f t="shared" si="526"/>
        <v>143337637</v>
      </c>
      <c r="H8491" s="362"/>
      <c r="I8491" s="362"/>
      <c r="J8491" s="362"/>
    </row>
    <row r="8492" spans="1:10" x14ac:dyDescent="0.25">
      <c r="A8492" s="362"/>
      <c r="B8492" s="611">
        <v>44671</v>
      </c>
      <c r="C8492" s="362" t="s">
        <v>88</v>
      </c>
      <c r="D8492" s="562">
        <v>204148586</v>
      </c>
      <c r="E8492" s="562"/>
      <c r="F8492" s="562"/>
      <c r="G8492" s="562">
        <f t="shared" si="526"/>
        <v>204148586</v>
      </c>
      <c r="H8492" s="362"/>
      <c r="I8492" s="362"/>
      <c r="J8492" s="362"/>
    </row>
    <row r="8493" spans="1:10" x14ac:dyDescent="0.25">
      <c r="A8493" s="362"/>
      <c r="B8493" s="611">
        <v>44671</v>
      </c>
      <c r="C8493" s="362" t="s">
        <v>82</v>
      </c>
      <c r="D8493" s="562">
        <v>103384454</v>
      </c>
      <c r="E8493" s="562"/>
      <c r="F8493" s="562"/>
      <c r="G8493" s="562">
        <f t="shared" si="526"/>
        <v>103384454</v>
      </c>
      <c r="H8493" s="362"/>
      <c r="I8493" s="362"/>
      <c r="J8493" s="362"/>
    </row>
    <row r="8494" spans="1:10" x14ac:dyDescent="0.25">
      <c r="A8494" s="362"/>
      <c r="B8494" s="611">
        <v>44671</v>
      </c>
      <c r="C8494" s="362" t="s">
        <v>80</v>
      </c>
      <c r="D8494" s="562">
        <v>450034602</v>
      </c>
      <c r="E8494" s="562"/>
      <c r="F8494" s="562"/>
      <c r="G8494" s="562">
        <f t="shared" si="526"/>
        <v>450034602</v>
      </c>
      <c r="H8494" s="362"/>
      <c r="I8494" s="362"/>
      <c r="J8494" s="362"/>
    </row>
    <row r="8495" spans="1:10" x14ac:dyDescent="0.25">
      <c r="A8495" s="362"/>
      <c r="B8495" s="611">
        <v>44671</v>
      </c>
      <c r="C8495" s="362" t="s">
        <v>83</v>
      </c>
      <c r="D8495" s="562">
        <v>147913371</v>
      </c>
      <c r="E8495" s="562"/>
      <c r="F8495" s="562"/>
      <c r="G8495" s="562">
        <f t="shared" si="526"/>
        <v>147913371</v>
      </c>
      <c r="H8495" s="362"/>
      <c r="I8495" s="362"/>
      <c r="J8495" s="362"/>
    </row>
    <row r="8496" spans="1:10" x14ac:dyDescent="0.25">
      <c r="A8496" s="362"/>
      <c r="B8496" s="611">
        <v>44671</v>
      </c>
      <c r="C8496" s="362" t="s">
        <v>78</v>
      </c>
      <c r="D8496" s="562">
        <v>178665327</v>
      </c>
      <c r="E8496" s="562"/>
      <c r="F8496" s="562"/>
      <c r="G8496" s="562">
        <f t="shared" si="526"/>
        <v>178665327</v>
      </c>
      <c r="H8496" s="362"/>
      <c r="I8496" s="362"/>
      <c r="J8496" s="362"/>
    </row>
    <row r="8497" spans="1:10" x14ac:dyDescent="0.25">
      <c r="A8497" s="362"/>
      <c r="B8497" s="611">
        <v>44671</v>
      </c>
      <c r="C8497" s="362" t="s">
        <v>141</v>
      </c>
      <c r="D8497" s="562">
        <v>168843783</v>
      </c>
      <c r="E8497" s="562"/>
      <c r="F8497" s="562"/>
      <c r="G8497" s="562">
        <f t="shared" si="526"/>
        <v>168843783</v>
      </c>
      <c r="H8497" s="362"/>
      <c r="I8497" s="362"/>
      <c r="J8497" s="362"/>
    </row>
    <row r="8498" spans="1:10" x14ac:dyDescent="0.25">
      <c r="A8498" s="362"/>
      <c r="B8498" s="611">
        <v>44671</v>
      </c>
      <c r="C8498" s="362" t="s">
        <v>89</v>
      </c>
      <c r="D8498" s="562">
        <v>200864400</v>
      </c>
      <c r="E8498" s="562"/>
      <c r="F8498" s="562"/>
      <c r="G8498" s="562">
        <f t="shared" si="526"/>
        <v>200864400</v>
      </c>
      <c r="H8498" s="362"/>
      <c r="I8498" s="362"/>
      <c r="J8498" s="362"/>
    </row>
    <row r="8499" spans="1:10" x14ac:dyDescent="0.25">
      <c r="A8499" s="362"/>
      <c r="B8499" s="611">
        <v>44671</v>
      </c>
      <c r="C8499" s="362" t="s">
        <v>81</v>
      </c>
      <c r="D8499" s="562">
        <v>159651722</v>
      </c>
      <c r="E8499" s="562"/>
      <c r="F8499" s="562"/>
      <c r="G8499" s="562">
        <f t="shared" si="526"/>
        <v>159651722</v>
      </c>
      <c r="H8499" s="362"/>
      <c r="I8499" s="362"/>
      <c r="J8499" s="362"/>
    </row>
    <row r="8500" spans="1:10" x14ac:dyDescent="0.25">
      <c r="A8500" s="362"/>
      <c r="B8500" s="611">
        <v>44671</v>
      </c>
      <c r="C8500" s="362" t="s">
        <v>84</v>
      </c>
      <c r="D8500" s="562">
        <v>310922871</v>
      </c>
      <c r="E8500" s="562"/>
      <c r="F8500" s="562"/>
      <c r="G8500" s="562">
        <f t="shared" si="526"/>
        <v>310922871</v>
      </c>
      <c r="H8500" s="362"/>
      <c r="I8500" s="362"/>
      <c r="J8500" s="362"/>
    </row>
    <row r="8501" spans="1:10" x14ac:dyDescent="0.25">
      <c r="A8501" s="362"/>
      <c r="B8501" s="611">
        <v>44671</v>
      </c>
      <c r="C8501" s="362" t="s">
        <v>4751</v>
      </c>
      <c r="D8501" s="562">
        <v>280333800</v>
      </c>
      <c r="E8501" s="562"/>
      <c r="F8501" s="562"/>
      <c r="G8501" s="562">
        <f t="shared" si="526"/>
        <v>280333800</v>
      </c>
      <c r="H8501" s="362"/>
      <c r="I8501" s="362"/>
      <c r="J8501" s="362"/>
    </row>
    <row r="8502" spans="1:10" x14ac:dyDescent="0.25">
      <c r="A8502" s="362"/>
      <c r="B8502" s="611">
        <v>44671</v>
      </c>
      <c r="C8502" s="362" t="s">
        <v>166</v>
      </c>
      <c r="D8502" s="562">
        <v>79124049</v>
      </c>
      <c r="E8502" s="562"/>
      <c r="F8502" s="562"/>
      <c r="G8502" s="562">
        <f t="shared" si="526"/>
        <v>79124049</v>
      </c>
      <c r="H8502" s="362"/>
      <c r="I8502" s="362"/>
      <c r="J8502" s="362"/>
    </row>
    <row r="8503" spans="1:10" x14ac:dyDescent="0.25">
      <c r="A8503" s="362"/>
      <c r="B8503" s="611">
        <v>44671</v>
      </c>
      <c r="C8503" s="362" t="s">
        <v>3435</v>
      </c>
      <c r="D8503" s="562">
        <v>54473883</v>
      </c>
      <c r="E8503" s="562"/>
      <c r="F8503" s="562"/>
      <c r="G8503" s="562">
        <f t="shared" si="526"/>
        <v>54473883</v>
      </c>
      <c r="H8503" s="362"/>
      <c r="I8503" s="362"/>
      <c r="J8503" s="362"/>
    </row>
    <row r="8504" spans="1:10" x14ac:dyDescent="0.25">
      <c r="A8504" s="362"/>
      <c r="B8504" s="611">
        <v>44671</v>
      </c>
      <c r="C8504" s="370" t="s">
        <v>85</v>
      </c>
      <c r="D8504" s="562">
        <v>60578000</v>
      </c>
      <c r="E8504" s="562"/>
      <c r="F8504" s="562"/>
      <c r="G8504" s="562">
        <f t="shared" si="526"/>
        <v>60578000</v>
      </c>
      <c r="H8504" s="362"/>
      <c r="I8504" s="362"/>
      <c r="J8504" s="362"/>
    </row>
    <row r="8505" spans="1:10" x14ac:dyDescent="0.25">
      <c r="A8505" s="532"/>
      <c r="B8505" s="532"/>
      <c r="C8505" s="532"/>
      <c r="D8505" s="564">
        <f>SUM(D8490:D8504)</f>
        <v>2608197057</v>
      </c>
      <c r="E8505" s="564">
        <f t="shared" ref="E8505:G8505" si="528">SUM(E8490:E8504)</f>
        <v>0</v>
      </c>
      <c r="F8505" s="564">
        <f t="shared" si="528"/>
        <v>0</v>
      </c>
      <c r="G8505" s="564">
        <f t="shared" si="528"/>
        <v>2608197057</v>
      </c>
      <c r="H8505" s="532"/>
      <c r="I8505" s="532"/>
      <c r="J8505" s="532"/>
    </row>
    <row r="8506" spans="1:10" x14ac:dyDescent="0.25">
      <c r="A8506" s="362"/>
      <c r="B8506" s="611">
        <v>44672</v>
      </c>
      <c r="C8506" s="362" t="s">
        <v>86</v>
      </c>
      <c r="D8506" s="562">
        <v>167343931</v>
      </c>
      <c r="E8506" s="562"/>
      <c r="F8506" s="562"/>
      <c r="G8506" s="562">
        <f t="shared" si="526"/>
        <v>167343931</v>
      </c>
      <c r="H8506" s="362"/>
      <c r="I8506" s="362"/>
      <c r="J8506" s="362"/>
    </row>
    <row r="8507" spans="1:10" x14ac:dyDescent="0.25">
      <c r="A8507" s="362"/>
      <c r="B8507" s="611">
        <v>44672</v>
      </c>
      <c r="C8507" s="362" t="s">
        <v>87</v>
      </c>
      <c r="D8507" s="562">
        <v>381459014</v>
      </c>
      <c r="E8507" s="562"/>
      <c r="F8507" s="562"/>
      <c r="G8507" s="562">
        <f t="shared" si="526"/>
        <v>381459014</v>
      </c>
      <c r="H8507" s="362"/>
      <c r="I8507" s="362"/>
      <c r="J8507" s="362"/>
    </row>
    <row r="8508" spans="1:10" x14ac:dyDescent="0.25">
      <c r="A8508" s="362"/>
      <c r="B8508" s="611">
        <v>44672</v>
      </c>
      <c r="C8508" s="362" t="s">
        <v>88</v>
      </c>
      <c r="D8508" s="562">
        <v>131408660</v>
      </c>
      <c r="E8508" s="562"/>
      <c r="F8508" s="562"/>
      <c r="G8508" s="562">
        <f t="shared" si="526"/>
        <v>131408660</v>
      </c>
      <c r="H8508" s="362"/>
      <c r="I8508" s="362"/>
      <c r="J8508" s="362"/>
    </row>
    <row r="8509" spans="1:10" x14ac:dyDescent="0.25">
      <c r="A8509" s="362"/>
      <c r="B8509" s="611">
        <v>44672</v>
      </c>
      <c r="C8509" s="362" t="s">
        <v>82</v>
      </c>
      <c r="D8509" s="562">
        <v>84587570</v>
      </c>
      <c r="E8509" s="562"/>
      <c r="F8509" s="562"/>
      <c r="G8509" s="562">
        <f t="shared" si="526"/>
        <v>84587570</v>
      </c>
      <c r="H8509" s="362"/>
      <c r="I8509" s="362"/>
      <c r="J8509" s="362"/>
    </row>
    <row r="8510" spans="1:10" x14ac:dyDescent="0.25">
      <c r="A8510" s="362"/>
      <c r="B8510" s="611">
        <v>44672</v>
      </c>
      <c r="C8510" s="362" t="s">
        <v>80</v>
      </c>
      <c r="D8510" s="562">
        <v>449193600</v>
      </c>
      <c r="E8510" s="562"/>
      <c r="F8510" s="562"/>
      <c r="G8510" s="562">
        <f t="shared" si="526"/>
        <v>449193600</v>
      </c>
      <c r="H8510" s="362"/>
      <c r="I8510" s="362"/>
      <c r="J8510" s="362"/>
    </row>
    <row r="8511" spans="1:10" x14ac:dyDescent="0.25">
      <c r="A8511" s="362"/>
      <c r="B8511" s="611">
        <v>44672</v>
      </c>
      <c r="C8511" s="362" t="s">
        <v>83</v>
      </c>
      <c r="D8511" s="562">
        <v>371440693</v>
      </c>
      <c r="E8511" s="562"/>
      <c r="F8511" s="562"/>
      <c r="G8511" s="562">
        <f t="shared" si="526"/>
        <v>371440693</v>
      </c>
      <c r="H8511" s="362"/>
      <c r="I8511" s="362"/>
      <c r="J8511" s="362"/>
    </row>
    <row r="8512" spans="1:10" x14ac:dyDescent="0.25">
      <c r="A8512" s="362"/>
      <c r="B8512" s="611">
        <v>44672</v>
      </c>
      <c r="C8512" s="362" t="s">
        <v>78</v>
      </c>
      <c r="D8512" s="562">
        <v>134907685</v>
      </c>
      <c r="E8512" s="562"/>
      <c r="F8512" s="562"/>
      <c r="G8512" s="562">
        <f t="shared" si="526"/>
        <v>134907685</v>
      </c>
      <c r="H8512" s="362"/>
      <c r="I8512" s="362"/>
      <c r="J8512" s="362"/>
    </row>
    <row r="8513" spans="1:10" x14ac:dyDescent="0.25">
      <c r="A8513" s="362"/>
      <c r="B8513" s="611">
        <v>44672</v>
      </c>
      <c r="C8513" s="362" t="s">
        <v>141</v>
      </c>
      <c r="D8513" s="562">
        <v>107923968</v>
      </c>
      <c r="E8513" s="562"/>
      <c r="F8513" s="562"/>
      <c r="G8513" s="562">
        <f t="shared" si="526"/>
        <v>107923968</v>
      </c>
      <c r="H8513" s="362"/>
      <c r="I8513" s="362"/>
      <c r="J8513" s="362"/>
    </row>
    <row r="8514" spans="1:10" x14ac:dyDescent="0.25">
      <c r="A8514" s="362"/>
      <c r="B8514" s="611">
        <v>44672</v>
      </c>
      <c r="C8514" s="362" t="s">
        <v>89</v>
      </c>
      <c r="D8514" s="562">
        <v>212075000</v>
      </c>
      <c r="E8514" s="562"/>
      <c r="F8514" s="562"/>
      <c r="G8514" s="562">
        <f t="shared" si="526"/>
        <v>212075000</v>
      </c>
      <c r="H8514" s="362"/>
      <c r="I8514" s="362"/>
      <c r="J8514" s="362"/>
    </row>
    <row r="8515" spans="1:10" x14ac:dyDescent="0.25">
      <c r="A8515" s="362"/>
      <c r="B8515" s="611">
        <v>44672</v>
      </c>
      <c r="C8515" s="362" t="s">
        <v>81</v>
      </c>
      <c r="D8515" s="562">
        <v>91653715</v>
      </c>
      <c r="E8515" s="562"/>
      <c r="F8515" s="562"/>
      <c r="G8515" s="562">
        <f t="shared" si="526"/>
        <v>91653715</v>
      </c>
      <c r="H8515" s="362"/>
      <c r="I8515" s="362"/>
      <c r="J8515" s="362"/>
    </row>
    <row r="8516" spans="1:10" x14ac:dyDescent="0.25">
      <c r="A8516" s="362"/>
      <c r="B8516" s="611">
        <v>44672</v>
      </c>
      <c r="C8516" s="362" t="s">
        <v>84</v>
      </c>
      <c r="D8516" s="562">
        <v>349408191</v>
      </c>
      <c r="E8516" s="562"/>
      <c r="F8516" s="562"/>
      <c r="G8516" s="562">
        <f t="shared" si="526"/>
        <v>349408191</v>
      </c>
      <c r="H8516" s="362"/>
      <c r="I8516" s="362"/>
      <c r="J8516" s="362"/>
    </row>
    <row r="8517" spans="1:10" x14ac:dyDescent="0.25">
      <c r="A8517" s="362"/>
      <c r="B8517" s="611">
        <v>44672</v>
      </c>
      <c r="C8517" s="362" t="s">
        <v>4751</v>
      </c>
      <c r="D8517" s="562">
        <v>264225400</v>
      </c>
      <c r="E8517" s="562"/>
      <c r="F8517" s="562"/>
      <c r="G8517" s="562">
        <f t="shared" si="526"/>
        <v>264225400</v>
      </c>
      <c r="H8517" s="362"/>
      <c r="I8517" s="362"/>
      <c r="J8517" s="362"/>
    </row>
    <row r="8518" spans="1:10" x14ac:dyDescent="0.25">
      <c r="A8518" s="362"/>
      <c r="B8518" s="611">
        <v>44672</v>
      </c>
      <c r="C8518" s="362" t="s">
        <v>166</v>
      </c>
      <c r="D8518" s="562">
        <v>84517318</v>
      </c>
      <c r="E8518" s="562"/>
      <c r="F8518" s="562"/>
      <c r="G8518" s="562">
        <f t="shared" si="526"/>
        <v>84517318</v>
      </c>
      <c r="H8518" s="362"/>
      <c r="I8518" s="362"/>
      <c r="J8518" s="362"/>
    </row>
    <row r="8519" spans="1:10" x14ac:dyDescent="0.25">
      <c r="A8519" s="362"/>
      <c r="B8519" s="611">
        <v>44672</v>
      </c>
      <c r="C8519" s="362" t="s">
        <v>3435</v>
      </c>
      <c r="D8519" s="562">
        <v>19913784</v>
      </c>
      <c r="E8519" s="562"/>
      <c r="F8519" s="562"/>
      <c r="G8519" s="562">
        <f t="shared" si="526"/>
        <v>19913784</v>
      </c>
      <c r="H8519" s="362"/>
      <c r="I8519" s="362"/>
      <c r="J8519" s="362"/>
    </row>
    <row r="8520" spans="1:10" x14ac:dyDescent="0.25">
      <c r="A8520" s="362"/>
      <c r="B8520" s="611">
        <v>44672</v>
      </c>
      <c r="C8520" s="370" t="s">
        <v>85</v>
      </c>
      <c r="D8520" s="562">
        <v>53437100</v>
      </c>
      <c r="E8520" s="562"/>
      <c r="F8520" s="562"/>
      <c r="G8520" s="562">
        <f t="shared" si="526"/>
        <v>53437100</v>
      </c>
      <c r="H8520" s="362"/>
      <c r="I8520" s="362"/>
      <c r="J8520" s="362"/>
    </row>
    <row r="8521" spans="1:10" x14ac:dyDescent="0.25">
      <c r="A8521" s="532"/>
      <c r="B8521" s="532"/>
      <c r="C8521" s="532"/>
      <c r="D8521" s="564">
        <f>SUM(D8506:D8520)</f>
        <v>2903495629</v>
      </c>
      <c r="E8521" s="564">
        <f t="shared" ref="E8521:G8521" si="529">SUM(E8506:E8520)</f>
        <v>0</v>
      </c>
      <c r="F8521" s="564">
        <f t="shared" si="529"/>
        <v>0</v>
      </c>
      <c r="G8521" s="564">
        <f t="shared" si="529"/>
        <v>2903495629</v>
      </c>
      <c r="H8521" s="532"/>
      <c r="I8521" s="532"/>
      <c r="J8521" s="532"/>
    </row>
    <row r="8522" spans="1:10" x14ac:dyDescent="0.25">
      <c r="A8522" s="362"/>
      <c r="B8522" s="611">
        <v>44673</v>
      </c>
      <c r="C8522" s="362" t="s">
        <v>86</v>
      </c>
      <c r="D8522" s="562">
        <v>168344331</v>
      </c>
      <c r="E8522" s="562"/>
      <c r="F8522" s="562"/>
      <c r="G8522" s="562">
        <f t="shared" si="526"/>
        <v>168344331</v>
      </c>
      <c r="H8522" s="362"/>
      <c r="I8522" s="362"/>
      <c r="J8522" s="362"/>
    </row>
    <row r="8523" spans="1:10" x14ac:dyDescent="0.25">
      <c r="A8523" s="362"/>
      <c r="B8523" s="611">
        <v>44673</v>
      </c>
      <c r="C8523" s="362" t="s">
        <v>87</v>
      </c>
      <c r="D8523" s="562">
        <v>381459014</v>
      </c>
      <c r="E8523" s="562"/>
      <c r="F8523" s="562"/>
      <c r="G8523" s="562">
        <f t="shared" si="526"/>
        <v>381459014</v>
      </c>
      <c r="H8523" s="362"/>
      <c r="I8523" s="362"/>
      <c r="J8523" s="362"/>
    </row>
    <row r="8524" spans="1:10" x14ac:dyDescent="0.25">
      <c r="A8524" s="362"/>
      <c r="B8524" s="611">
        <v>44673</v>
      </c>
      <c r="C8524" s="362" t="s">
        <v>88</v>
      </c>
      <c r="D8524" s="562">
        <v>131408660</v>
      </c>
      <c r="E8524" s="562"/>
      <c r="F8524" s="562"/>
      <c r="G8524" s="562">
        <f t="shared" si="526"/>
        <v>131408660</v>
      </c>
      <c r="H8524" s="362"/>
      <c r="I8524" s="362"/>
      <c r="J8524" s="362"/>
    </row>
    <row r="8525" spans="1:10" x14ac:dyDescent="0.25">
      <c r="A8525" s="362"/>
      <c r="B8525" s="611">
        <v>44673</v>
      </c>
      <c r="C8525" s="362" t="s">
        <v>82</v>
      </c>
      <c r="D8525" s="562">
        <v>84587570</v>
      </c>
      <c r="E8525" s="562"/>
      <c r="F8525" s="562"/>
      <c r="G8525" s="562">
        <f t="shared" si="526"/>
        <v>84587570</v>
      </c>
      <c r="H8525" s="362"/>
      <c r="I8525" s="362"/>
      <c r="J8525" s="362"/>
    </row>
    <row r="8526" spans="1:10" x14ac:dyDescent="0.25">
      <c r="A8526" s="362"/>
      <c r="B8526" s="611">
        <v>44673</v>
      </c>
      <c r="C8526" s="362" t="s">
        <v>80</v>
      </c>
      <c r="D8526" s="562">
        <v>206246558</v>
      </c>
      <c r="E8526" s="562"/>
      <c r="F8526" s="562"/>
      <c r="G8526" s="562">
        <f t="shared" si="526"/>
        <v>206246558</v>
      </c>
      <c r="H8526" s="362"/>
      <c r="I8526" s="362"/>
      <c r="J8526" s="362"/>
    </row>
    <row r="8527" spans="1:10" x14ac:dyDescent="0.25">
      <c r="A8527" s="362"/>
      <c r="B8527" s="611">
        <v>44673</v>
      </c>
      <c r="C8527" s="362" t="s">
        <v>83</v>
      </c>
      <c r="D8527" s="562">
        <v>371440693</v>
      </c>
      <c r="E8527" s="562"/>
      <c r="F8527" s="562"/>
      <c r="G8527" s="562">
        <f t="shared" si="526"/>
        <v>371440693</v>
      </c>
      <c r="H8527" s="362"/>
      <c r="I8527" s="362"/>
      <c r="J8527" s="362"/>
    </row>
    <row r="8528" spans="1:10" x14ac:dyDescent="0.25">
      <c r="A8528" s="362"/>
      <c r="B8528" s="611">
        <v>44673</v>
      </c>
      <c r="C8528" s="362" t="s">
        <v>78</v>
      </c>
      <c r="D8528" s="562">
        <v>134907685</v>
      </c>
      <c r="E8528" s="562"/>
      <c r="F8528" s="562"/>
      <c r="G8528" s="562">
        <f t="shared" si="526"/>
        <v>134907685</v>
      </c>
      <c r="H8528" s="362"/>
      <c r="I8528" s="362"/>
      <c r="J8528" s="362"/>
    </row>
    <row r="8529" spans="1:10" x14ac:dyDescent="0.25">
      <c r="A8529" s="362"/>
      <c r="B8529" s="611">
        <v>44673</v>
      </c>
      <c r="C8529" s="362" t="s">
        <v>141</v>
      </c>
      <c r="D8529" s="562">
        <v>107923968</v>
      </c>
      <c r="E8529" s="562"/>
      <c r="F8529" s="562"/>
      <c r="G8529" s="562">
        <f t="shared" si="526"/>
        <v>107923968</v>
      </c>
      <c r="H8529" s="362"/>
      <c r="I8529" s="362"/>
      <c r="J8529" s="362"/>
    </row>
    <row r="8530" spans="1:10" x14ac:dyDescent="0.25">
      <c r="A8530" s="362"/>
      <c r="B8530" s="611">
        <v>44673</v>
      </c>
      <c r="C8530" s="362" t="s">
        <v>89</v>
      </c>
      <c r="D8530" s="562">
        <v>284815600</v>
      </c>
      <c r="E8530" s="562"/>
      <c r="F8530" s="562"/>
      <c r="G8530" s="562">
        <f t="shared" si="526"/>
        <v>284815600</v>
      </c>
      <c r="H8530" s="362"/>
      <c r="I8530" s="362"/>
      <c r="J8530" s="362"/>
    </row>
    <row r="8531" spans="1:10" x14ac:dyDescent="0.25">
      <c r="A8531" s="362"/>
      <c r="B8531" s="611">
        <v>44673</v>
      </c>
      <c r="C8531" s="362" t="s">
        <v>81</v>
      </c>
      <c r="D8531" s="562">
        <v>114799865</v>
      </c>
      <c r="E8531" s="562"/>
      <c r="F8531" s="562"/>
      <c r="G8531" s="562">
        <f t="shared" si="526"/>
        <v>114799865</v>
      </c>
      <c r="H8531" s="362"/>
      <c r="I8531" s="362"/>
      <c r="J8531" s="362"/>
    </row>
    <row r="8532" spans="1:10" x14ac:dyDescent="0.25">
      <c r="A8532" s="362"/>
      <c r="B8532" s="611">
        <v>44673</v>
      </c>
      <c r="C8532" s="362" t="s">
        <v>84</v>
      </c>
      <c r="D8532" s="562">
        <v>299019493</v>
      </c>
      <c r="E8532" s="562"/>
      <c r="F8532" s="562"/>
      <c r="G8532" s="562">
        <f t="shared" si="526"/>
        <v>299019493</v>
      </c>
      <c r="H8532" s="362"/>
      <c r="I8532" s="362"/>
      <c r="J8532" s="362"/>
    </row>
    <row r="8533" spans="1:10" x14ac:dyDescent="0.25">
      <c r="A8533" s="362"/>
      <c r="B8533" s="611">
        <v>44673</v>
      </c>
      <c r="C8533" s="362" t="s">
        <v>4751</v>
      </c>
      <c r="D8533" s="562">
        <v>264225400</v>
      </c>
      <c r="E8533" s="562"/>
      <c r="F8533" s="562"/>
      <c r="G8533" s="562">
        <f t="shared" si="526"/>
        <v>264225400</v>
      </c>
      <c r="H8533" s="362"/>
      <c r="I8533" s="362"/>
      <c r="J8533" s="362"/>
    </row>
    <row r="8534" spans="1:10" x14ac:dyDescent="0.25">
      <c r="A8534" s="362"/>
      <c r="B8534" s="611">
        <v>44673</v>
      </c>
      <c r="C8534" s="362" t="s">
        <v>166</v>
      </c>
      <c r="D8534" s="562">
        <v>84517318</v>
      </c>
      <c r="E8534" s="562"/>
      <c r="F8534" s="562"/>
      <c r="G8534" s="562">
        <f t="shared" si="526"/>
        <v>84517318</v>
      </c>
      <c r="H8534" s="362"/>
      <c r="I8534" s="362"/>
      <c r="J8534" s="362"/>
    </row>
    <row r="8535" spans="1:10" x14ac:dyDescent="0.25">
      <c r="A8535" s="362"/>
      <c r="B8535" s="611">
        <v>44673</v>
      </c>
      <c r="C8535" s="362" t="s">
        <v>3435</v>
      </c>
      <c r="D8535" s="562">
        <v>19913784</v>
      </c>
      <c r="E8535" s="562"/>
      <c r="F8535" s="562"/>
      <c r="G8535" s="562">
        <f t="shared" si="526"/>
        <v>19913784</v>
      </c>
      <c r="H8535" s="362"/>
      <c r="I8535" s="362"/>
      <c r="J8535" s="362"/>
    </row>
    <row r="8536" spans="1:10" x14ac:dyDescent="0.25">
      <c r="A8536" s="362"/>
      <c r="B8536" s="611">
        <v>44673</v>
      </c>
      <c r="C8536" s="370" t="s">
        <v>85</v>
      </c>
      <c r="D8536" s="562">
        <v>50345300</v>
      </c>
      <c r="E8536" s="562"/>
      <c r="F8536" s="562"/>
      <c r="G8536" s="562">
        <f t="shared" si="526"/>
        <v>50345300</v>
      </c>
      <c r="H8536" s="362"/>
      <c r="I8536" s="362"/>
      <c r="J8536" s="362"/>
    </row>
    <row r="8537" spans="1:10" x14ac:dyDescent="0.25">
      <c r="A8537" s="532"/>
      <c r="B8537" s="532"/>
      <c r="C8537" s="532"/>
      <c r="D8537" s="564">
        <f>SUM(D8522:D8536)</f>
        <v>2703955239</v>
      </c>
      <c r="E8537" s="564">
        <f t="shared" ref="E8537:G8537" si="530">SUM(E8522:E8536)</f>
        <v>0</v>
      </c>
      <c r="F8537" s="564">
        <f t="shared" si="530"/>
        <v>0</v>
      </c>
      <c r="G8537" s="564">
        <f t="shared" si="530"/>
        <v>2703955239</v>
      </c>
      <c r="H8537" s="532"/>
      <c r="I8537" s="532"/>
      <c r="J8537" s="532"/>
    </row>
    <row r="8538" spans="1:10" x14ac:dyDescent="0.25">
      <c r="A8538" s="362"/>
      <c r="B8538" s="611">
        <v>44674</v>
      </c>
      <c r="C8538" s="362" t="s">
        <v>86</v>
      </c>
      <c r="D8538" s="562">
        <v>234517882</v>
      </c>
      <c r="E8538" s="562"/>
      <c r="F8538" s="562"/>
      <c r="G8538" s="562">
        <f t="shared" si="526"/>
        <v>234517882</v>
      </c>
      <c r="H8538" s="362"/>
      <c r="I8538" s="362"/>
      <c r="J8538" s="362"/>
    </row>
    <row r="8539" spans="1:10" x14ac:dyDescent="0.25">
      <c r="A8539" s="362"/>
      <c r="B8539" s="611">
        <v>44674</v>
      </c>
      <c r="C8539" s="362" t="s">
        <v>87</v>
      </c>
      <c r="D8539" s="562">
        <v>130811048</v>
      </c>
      <c r="E8539" s="562"/>
      <c r="F8539" s="562"/>
      <c r="G8539" s="562">
        <f t="shared" si="526"/>
        <v>130811048</v>
      </c>
      <c r="H8539" s="362"/>
      <c r="I8539" s="362"/>
      <c r="J8539" s="362"/>
    </row>
    <row r="8540" spans="1:10" x14ac:dyDescent="0.25">
      <c r="A8540" s="362"/>
      <c r="B8540" s="611">
        <v>44674</v>
      </c>
      <c r="C8540" s="362" t="s">
        <v>88</v>
      </c>
      <c r="D8540" s="562">
        <v>309881030</v>
      </c>
      <c r="E8540" s="562"/>
      <c r="F8540" s="562"/>
      <c r="G8540" s="562">
        <f t="shared" ref="G8540:G8603" si="531">D8540+E8540-F8540</f>
        <v>309881030</v>
      </c>
      <c r="H8540" s="362"/>
      <c r="I8540" s="362"/>
      <c r="J8540" s="362"/>
    </row>
    <row r="8541" spans="1:10" x14ac:dyDescent="0.25">
      <c r="A8541" s="362"/>
      <c r="B8541" s="611">
        <v>44674</v>
      </c>
      <c r="C8541" s="362" t="s">
        <v>82</v>
      </c>
      <c r="D8541" s="562">
        <v>162332065</v>
      </c>
      <c r="E8541" s="562"/>
      <c r="F8541" s="562"/>
      <c r="G8541" s="562">
        <f t="shared" si="531"/>
        <v>162332065</v>
      </c>
      <c r="H8541" s="362"/>
      <c r="I8541" s="362"/>
      <c r="J8541" s="362"/>
    </row>
    <row r="8542" spans="1:10" x14ac:dyDescent="0.25">
      <c r="A8542" s="362"/>
      <c r="B8542" s="611">
        <v>44674</v>
      </c>
      <c r="C8542" s="362" t="s">
        <v>80</v>
      </c>
      <c r="D8542" s="562">
        <v>591440000</v>
      </c>
      <c r="E8542" s="562"/>
      <c r="F8542" s="562"/>
      <c r="G8542" s="562">
        <f t="shared" si="531"/>
        <v>591440000</v>
      </c>
      <c r="H8542" s="362"/>
      <c r="I8542" s="362"/>
      <c r="J8542" s="362"/>
    </row>
    <row r="8543" spans="1:10" x14ac:dyDescent="0.25">
      <c r="A8543" s="362"/>
      <c r="B8543" s="611">
        <v>44674</v>
      </c>
      <c r="C8543" s="362" t="s">
        <v>83</v>
      </c>
      <c r="D8543" s="562">
        <v>205916000</v>
      </c>
      <c r="E8543" s="562"/>
      <c r="F8543" s="562"/>
      <c r="G8543" s="562">
        <f t="shared" si="531"/>
        <v>205916000</v>
      </c>
      <c r="H8543" s="362"/>
      <c r="I8543" s="362"/>
      <c r="J8543" s="362"/>
    </row>
    <row r="8544" spans="1:10" x14ac:dyDescent="0.25">
      <c r="A8544" s="362"/>
      <c r="B8544" s="611">
        <v>44674</v>
      </c>
      <c r="C8544" s="362" t="s">
        <v>78</v>
      </c>
      <c r="D8544" s="562">
        <v>179294307</v>
      </c>
      <c r="E8544" s="562"/>
      <c r="F8544" s="562"/>
      <c r="G8544" s="562">
        <f t="shared" si="531"/>
        <v>179294307</v>
      </c>
      <c r="H8544" s="362"/>
      <c r="I8544" s="362"/>
      <c r="J8544" s="362"/>
    </row>
    <row r="8545" spans="1:10" x14ac:dyDescent="0.25">
      <c r="A8545" s="362"/>
      <c r="B8545" s="611">
        <v>44674</v>
      </c>
      <c r="C8545" s="362" t="s">
        <v>141</v>
      </c>
      <c r="D8545" s="562">
        <v>62372771</v>
      </c>
      <c r="E8545" s="562"/>
      <c r="F8545" s="562"/>
      <c r="G8545" s="562">
        <f t="shared" si="531"/>
        <v>62372771</v>
      </c>
      <c r="H8545" s="362"/>
      <c r="I8545" s="362"/>
      <c r="J8545" s="362"/>
    </row>
    <row r="8546" spans="1:10" x14ac:dyDescent="0.25">
      <c r="A8546" s="362"/>
      <c r="B8546" s="611">
        <v>44674</v>
      </c>
      <c r="C8546" s="362" t="s">
        <v>89</v>
      </c>
      <c r="D8546" s="562">
        <v>225386200</v>
      </c>
      <c r="E8546" s="562"/>
      <c r="F8546" s="562"/>
      <c r="G8546" s="562">
        <f t="shared" si="531"/>
        <v>225386200</v>
      </c>
      <c r="H8546" s="362"/>
      <c r="I8546" s="362"/>
      <c r="J8546" s="362"/>
    </row>
    <row r="8547" spans="1:10" x14ac:dyDescent="0.25">
      <c r="A8547" s="362"/>
      <c r="B8547" s="611">
        <v>44674</v>
      </c>
      <c r="C8547" s="362" t="s">
        <v>81</v>
      </c>
      <c r="D8547" s="562">
        <v>161618280</v>
      </c>
      <c r="E8547" s="562"/>
      <c r="F8547" s="562"/>
      <c r="G8547" s="562">
        <f t="shared" si="531"/>
        <v>161618280</v>
      </c>
      <c r="H8547" s="362"/>
      <c r="I8547" s="362"/>
      <c r="J8547" s="362"/>
    </row>
    <row r="8548" spans="1:10" x14ac:dyDescent="0.25">
      <c r="A8548" s="362"/>
      <c r="B8548" s="611">
        <v>44674</v>
      </c>
      <c r="C8548" s="362" t="s">
        <v>84</v>
      </c>
      <c r="D8548" s="562">
        <v>215671220</v>
      </c>
      <c r="E8548" s="562"/>
      <c r="F8548" s="562"/>
      <c r="G8548" s="562">
        <f t="shared" si="531"/>
        <v>215671220</v>
      </c>
      <c r="H8548" s="362"/>
      <c r="I8548" s="362"/>
      <c r="J8548" s="362"/>
    </row>
    <row r="8549" spans="1:10" x14ac:dyDescent="0.25">
      <c r="A8549" s="362"/>
      <c r="B8549" s="611">
        <v>44674</v>
      </c>
      <c r="C8549" s="362" t="s">
        <v>4751</v>
      </c>
      <c r="D8549" s="562">
        <v>416968700</v>
      </c>
      <c r="E8549" s="562"/>
      <c r="F8549" s="562"/>
      <c r="G8549" s="562">
        <f t="shared" si="531"/>
        <v>416968700</v>
      </c>
      <c r="H8549" s="362"/>
      <c r="I8549" s="362"/>
      <c r="J8549" s="362"/>
    </row>
    <row r="8550" spans="1:10" x14ac:dyDescent="0.25">
      <c r="A8550" s="362"/>
      <c r="B8550" s="611">
        <v>44674</v>
      </c>
      <c r="C8550" s="362" t="s">
        <v>166</v>
      </c>
      <c r="D8550" s="562"/>
      <c r="E8550" s="562"/>
      <c r="F8550" s="562"/>
      <c r="G8550" s="562">
        <f t="shared" si="531"/>
        <v>0</v>
      </c>
      <c r="H8550" s="362"/>
      <c r="I8550" s="362"/>
      <c r="J8550" s="362"/>
    </row>
    <row r="8551" spans="1:10" x14ac:dyDescent="0.25">
      <c r="A8551" s="362"/>
      <c r="B8551" s="611">
        <v>44674</v>
      </c>
      <c r="C8551" s="362" t="s">
        <v>3435</v>
      </c>
      <c r="D8551" s="562"/>
      <c r="E8551" s="562"/>
      <c r="F8551" s="562"/>
      <c r="G8551" s="562">
        <f t="shared" si="531"/>
        <v>0</v>
      </c>
      <c r="H8551" s="362"/>
      <c r="I8551" s="362"/>
      <c r="J8551" s="362"/>
    </row>
    <row r="8552" spans="1:10" x14ac:dyDescent="0.25">
      <c r="A8552" s="362"/>
      <c r="B8552" s="611">
        <v>44674</v>
      </c>
      <c r="C8552" s="370" t="s">
        <v>85</v>
      </c>
      <c r="D8552" s="562">
        <v>33177000</v>
      </c>
      <c r="E8552" s="562"/>
      <c r="F8552" s="562"/>
      <c r="G8552" s="562">
        <f t="shared" si="531"/>
        <v>33177000</v>
      </c>
      <c r="H8552" s="362"/>
      <c r="I8552" s="362"/>
      <c r="J8552" s="362"/>
    </row>
    <row r="8553" spans="1:10" x14ac:dyDescent="0.25">
      <c r="A8553" s="532"/>
      <c r="B8553" s="532"/>
      <c r="C8553" s="532"/>
      <c r="D8553" s="564">
        <f>SUM(D8538:D8552)</f>
        <v>2929386503</v>
      </c>
      <c r="E8553" s="564">
        <f t="shared" ref="E8553:G8553" si="532">SUM(E8538:E8552)</f>
        <v>0</v>
      </c>
      <c r="F8553" s="564">
        <f t="shared" si="532"/>
        <v>0</v>
      </c>
      <c r="G8553" s="564">
        <f t="shared" si="532"/>
        <v>2929386503</v>
      </c>
      <c r="H8553" s="532"/>
      <c r="I8553" s="532"/>
      <c r="J8553" s="532"/>
    </row>
    <row r="8554" spans="1:10" x14ac:dyDescent="0.25">
      <c r="A8554" s="362"/>
      <c r="B8554" s="611">
        <v>44676</v>
      </c>
      <c r="C8554" s="362" t="s">
        <v>86</v>
      </c>
      <c r="D8554" s="562">
        <v>203157577</v>
      </c>
      <c r="E8554" s="562"/>
      <c r="F8554" s="562"/>
      <c r="G8554" s="562">
        <f t="shared" si="531"/>
        <v>203157577</v>
      </c>
      <c r="H8554" s="362"/>
      <c r="I8554" s="362"/>
      <c r="J8554" s="362"/>
    </row>
    <row r="8555" spans="1:10" x14ac:dyDescent="0.25">
      <c r="A8555" s="362"/>
      <c r="B8555" s="611">
        <v>44676</v>
      </c>
      <c r="C8555" s="362" t="s">
        <v>87</v>
      </c>
      <c r="D8555" s="562">
        <v>234677285</v>
      </c>
      <c r="E8555" s="562"/>
      <c r="F8555" s="562"/>
      <c r="G8555" s="562">
        <f t="shared" si="531"/>
        <v>234677285</v>
      </c>
      <c r="H8555" s="362"/>
      <c r="I8555" s="362"/>
      <c r="J8555" s="362"/>
    </row>
    <row r="8556" spans="1:10" x14ac:dyDescent="0.25">
      <c r="A8556" s="362"/>
      <c r="B8556" s="611">
        <v>44676</v>
      </c>
      <c r="C8556" s="362" t="s">
        <v>88</v>
      </c>
      <c r="D8556" s="562">
        <v>236113260</v>
      </c>
      <c r="E8556" s="562"/>
      <c r="F8556" s="562"/>
      <c r="G8556" s="562">
        <f t="shared" si="531"/>
        <v>236113260</v>
      </c>
      <c r="H8556" s="362"/>
      <c r="I8556" s="362"/>
      <c r="J8556" s="362"/>
    </row>
    <row r="8557" spans="1:10" x14ac:dyDescent="0.25">
      <c r="A8557" s="362"/>
      <c r="B8557" s="611">
        <v>44676</v>
      </c>
      <c r="C8557" s="362" t="s">
        <v>82</v>
      </c>
      <c r="D8557" s="562">
        <v>168611572</v>
      </c>
      <c r="E8557" s="562"/>
      <c r="F8557" s="562"/>
      <c r="G8557" s="562">
        <f t="shared" si="531"/>
        <v>168611572</v>
      </c>
      <c r="H8557" s="362"/>
      <c r="I8557" s="362"/>
      <c r="J8557" s="362"/>
    </row>
    <row r="8558" spans="1:10" x14ac:dyDescent="0.25">
      <c r="A8558" s="362"/>
      <c r="B8558" s="611">
        <v>44676</v>
      </c>
      <c r="C8558" s="362" t="s">
        <v>80</v>
      </c>
      <c r="D8558" s="562">
        <v>364316900</v>
      </c>
      <c r="E8558" s="562"/>
      <c r="F8558" s="562"/>
      <c r="G8558" s="562">
        <f t="shared" si="531"/>
        <v>364316900</v>
      </c>
      <c r="H8558" s="362"/>
      <c r="I8558" s="362"/>
      <c r="J8558" s="362"/>
    </row>
    <row r="8559" spans="1:10" x14ac:dyDescent="0.25">
      <c r="A8559" s="362"/>
      <c r="B8559" s="611">
        <v>44676</v>
      </c>
      <c r="C8559" s="362" t="s">
        <v>83</v>
      </c>
      <c r="D8559" s="562">
        <v>301929901</v>
      </c>
      <c r="E8559" s="562"/>
      <c r="F8559" s="562"/>
      <c r="G8559" s="562">
        <f t="shared" si="531"/>
        <v>301929901</v>
      </c>
      <c r="H8559" s="362"/>
      <c r="I8559" s="362"/>
      <c r="J8559" s="362"/>
    </row>
    <row r="8560" spans="1:10" x14ac:dyDescent="0.25">
      <c r="A8560" s="362"/>
      <c r="B8560" s="611">
        <v>44676</v>
      </c>
      <c r="C8560" s="362" t="s">
        <v>78</v>
      </c>
      <c r="D8560" s="562">
        <v>127117724</v>
      </c>
      <c r="E8560" s="562"/>
      <c r="F8560" s="562"/>
      <c r="G8560" s="562">
        <f t="shared" si="531"/>
        <v>127117724</v>
      </c>
      <c r="H8560" s="362"/>
      <c r="I8560" s="362"/>
      <c r="J8560" s="362"/>
    </row>
    <row r="8561" spans="1:10" x14ac:dyDescent="0.25">
      <c r="A8561" s="362"/>
      <c r="B8561" s="611">
        <v>44676</v>
      </c>
      <c r="C8561" s="362" t="s">
        <v>141</v>
      </c>
      <c r="D8561" s="562">
        <v>146664744</v>
      </c>
      <c r="E8561" s="562"/>
      <c r="F8561" s="562"/>
      <c r="G8561" s="562">
        <f t="shared" si="531"/>
        <v>146664744</v>
      </c>
      <c r="H8561" s="362"/>
      <c r="I8561" s="362"/>
      <c r="J8561" s="362"/>
    </row>
    <row r="8562" spans="1:10" x14ac:dyDescent="0.25">
      <c r="A8562" s="362"/>
      <c r="B8562" s="611">
        <v>44676</v>
      </c>
      <c r="C8562" s="362" t="s">
        <v>89</v>
      </c>
      <c r="D8562" s="562">
        <v>182325000</v>
      </c>
      <c r="E8562" s="562"/>
      <c r="F8562" s="562"/>
      <c r="G8562" s="562">
        <f t="shared" si="531"/>
        <v>182325000</v>
      </c>
      <c r="H8562" s="362"/>
      <c r="I8562" s="362"/>
      <c r="J8562" s="362"/>
    </row>
    <row r="8563" spans="1:10" x14ac:dyDescent="0.25">
      <c r="A8563" s="362"/>
      <c r="B8563" s="611">
        <v>44676</v>
      </c>
      <c r="C8563" s="362" t="s">
        <v>81</v>
      </c>
      <c r="D8563" s="562">
        <v>172626999</v>
      </c>
      <c r="E8563" s="562"/>
      <c r="F8563" s="562"/>
      <c r="G8563" s="562">
        <f t="shared" si="531"/>
        <v>172626999</v>
      </c>
      <c r="H8563" s="362"/>
      <c r="I8563" s="362"/>
      <c r="J8563" s="362"/>
    </row>
    <row r="8564" spans="1:10" x14ac:dyDescent="0.25">
      <c r="A8564" s="362"/>
      <c r="B8564" s="611">
        <v>44676</v>
      </c>
      <c r="C8564" s="362" t="s">
        <v>84</v>
      </c>
      <c r="D8564" s="562">
        <v>490196238</v>
      </c>
      <c r="E8564" s="562"/>
      <c r="F8564" s="562"/>
      <c r="G8564" s="562">
        <f t="shared" si="531"/>
        <v>490196238</v>
      </c>
      <c r="H8564" s="362"/>
      <c r="I8564" s="362"/>
      <c r="J8564" s="362"/>
    </row>
    <row r="8565" spans="1:10" x14ac:dyDescent="0.25">
      <c r="A8565" s="362"/>
      <c r="B8565" s="611">
        <v>44676</v>
      </c>
      <c r="C8565" s="362" t="s">
        <v>4751</v>
      </c>
      <c r="D8565" s="562">
        <v>279373100</v>
      </c>
      <c r="E8565" s="562"/>
      <c r="F8565" s="562"/>
      <c r="G8565" s="562">
        <f t="shared" si="531"/>
        <v>279373100</v>
      </c>
      <c r="H8565" s="362"/>
      <c r="I8565" s="362"/>
      <c r="J8565" s="362"/>
    </row>
    <row r="8566" spans="1:10" x14ac:dyDescent="0.25">
      <c r="A8566" s="362"/>
      <c r="B8566" s="611">
        <v>44676</v>
      </c>
      <c r="C8566" s="362" t="s">
        <v>166</v>
      </c>
      <c r="D8566" s="562">
        <v>83404516</v>
      </c>
      <c r="E8566" s="562"/>
      <c r="F8566" s="562"/>
      <c r="G8566" s="562">
        <f t="shared" si="531"/>
        <v>83404516</v>
      </c>
      <c r="H8566" s="362"/>
      <c r="I8566" s="362"/>
      <c r="J8566" s="362"/>
    </row>
    <row r="8567" spans="1:10" x14ac:dyDescent="0.25">
      <c r="A8567" s="362"/>
      <c r="B8567" s="611">
        <v>44676</v>
      </c>
      <c r="C8567" s="362" t="s">
        <v>3435</v>
      </c>
      <c r="D8567" s="562">
        <v>36204882</v>
      </c>
      <c r="E8567" s="562"/>
      <c r="F8567" s="562"/>
      <c r="G8567" s="562">
        <f t="shared" si="531"/>
        <v>36204882</v>
      </c>
      <c r="H8567" s="362"/>
      <c r="I8567" s="362"/>
      <c r="J8567" s="362"/>
    </row>
    <row r="8568" spans="1:10" x14ac:dyDescent="0.25">
      <c r="A8568" s="362"/>
      <c r="B8568" s="611">
        <v>44676</v>
      </c>
      <c r="C8568" s="370" t="s">
        <v>85</v>
      </c>
      <c r="D8568" s="562">
        <v>92494600</v>
      </c>
      <c r="E8568" s="562"/>
      <c r="F8568" s="562"/>
      <c r="G8568" s="562">
        <f t="shared" si="531"/>
        <v>92494600</v>
      </c>
      <c r="H8568" s="362"/>
      <c r="I8568" s="362"/>
      <c r="J8568" s="362"/>
    </row>
    <row r="8569" spans="1:10" x14ac:dyDescent="0.25">
      <c r="A8569" s="532"/>
      <c r="B8569" s="532"/>
      <c r="C8569" s="532"/>
      <c r="D8569" s="564">
        <f>SUM(D8554:D8568)</f>
        <v>3119214298</v>
      </c>
      <c r="E8569" s="564">
        <f t="shared" ref="E8569:G8569" si="533">SUM(E8554:E8568)</f>
        <v>0</v>
      </c>
      <c r="F8569" s="564">
        <f t="shared" si="533"/>
        <v>0</v>
      </c>
      <c r="G8569" s="564">
        <f t="shared" si="533"/>
        <v>3119214298</v>
      </c>
      <c r="H8569" s="532"/>
      <c r="I8569" s="532"/>
      <c r="J8569" s="532"/>
    </row>
    <row r="8570" spans="1:10" x14ac:dyDescent="0.25">
      <c r="A8570" s="362"/>
      <c r="B8570" s="611">
        <v>44677</v>
      </c>
      <c r="C8570" s="362" t="s">
        <v>86</v>
      </c>
      <c r="D8570" s="562">
        <v>169958103</v>
      </c>
      <c r="E8570" s="562"/>
      <c r="F8570" s="562"/>
      <c r="G8570" s="562">
        <f t="shared" si="531"/>
        <v>169958103</v>
      </c>
      <c r="H8570" s="362"/>
      <c r="I8570" s="362"/>
      <c r="J8570" s="362"/>
    </row>
    <row r="8571" spans="1:10" x14ac:dyDescent="0.25">
      <c r="A8571" s="362"/>
      <c r="B8571" s="611">
        <v>44677</v>
      </c>
      <c r="C8571" s="362" t="s">
        <v>87</v>
      </c>
      <c r="D8571" s="562">
        <v>250792928</v>
      </c>
      <c r="E8571" s="562"/>
      <c r="F8571" s="562"/>
      <c r="G8571" s="562">
        <f t="shared" si="531"/>
        <v>250792928</v>
      </c>
      <c r="H8571" s="362"/>
      <c r="I8571" s="362"/>
      <c r="J8571" s="362"/>
    </row>
    <row r="8572" spans="1:10" x14ac:dyDescent="0.25">
      <c r="A8572" s="362"/>
      <c r="B8572" s="611">
        <v>44677</v>
      </c>
      <c r="C8572" s="362" t="s">
        <v>88</v>
      </c>
      <c r="D8572" s="562">
        <v>121966932</v>
      </c>
      <c r="E8572" s="562"/>
      <c r="F8572" s="562"/>
      <c r="G8572" s="562">
        <f t="shared" si="531"/>
        <v>121966932</v>
      </c>
      <c r="H8572" s="362"/>
      <c r="I8572" s="362"/>
      <c r="J8572" s="362"/>
    </row>
    <row r="8573" spans="1:10" x14ac:dyDescent="0.25">
      <c r="A8573" s="362"/>
      <c r="B8573" s="611">
        <v>44677</v>
      </c>
      <c r="C8573" s="362" t="s">
        <v>82</v>
      </c>
      <c r="D8573" s="562">
        <v>72115655</v>
      </c>
      <c r="E8573" s="562"/>
      <c r="F8573" s="562"/>
      <c r="G8573" s="562">
        <f t="shared" si="531"/>
        <v>72115655</v>
      </c>
      <c r="H8573" s="362"/>
      <c r="I8573" s="362"/>
      <c r="J8573" s="362"/>
    </row>
    <row r="8574" spans="1:10" x14ac:dyDescent="0.25">
      <c r="A8574" s="362"/>
      <c r="B8574" s="611">
        <v>44677</v>
      </c>
      <c r="C8574" s="362" t="s">
        <v>80</v>
      </c>
      <c r="D8574" s="562">
        <v>308796400</v>
      </c>
      <c r="E8574" s="562"/>
      <c r="F8574" s="562"/>
      <c r="G8574" s="562">
        <f t="shared" si="531"/>
        <v>308796400</v>
      </c>
      <c r="H8574" s="362"/>
      <c r="I8574" s="362"/>
      <c r="J8574" s="362"/>
    </row>
    <row r="8575" spans="1:10" x14ac:dyDescent="0.25">
      <c r="A8575" s="362"/>
      <c r="B8575" s="611">
        <v>44677</v>
      </c>
      <c r="C8575" s="362" t="s">
        <v>83</v>
      </c>
      <c r="D8575" s="562">
        <v>216862863</v>
      </c>
      <c r="E8575" s="562"/>
      <c r="F8575" s="562"/>
      <c r="G8575" s="562">
        <f t="shared" si="531"/>
        <v>216862863</v>
      </c>
      <c r="H8575" s="362"/>
      <c r="I8575" s="362"/>
      <c r="J8575" s="362"/>
    </row>
    <row r="8576" spans="1:10" x14ac:dyDescent="0.25">
      <c r="A8576" s="362"/>
      <c r="B8576" s="611">
        <v>44677</v>
      </c>
      <c r="C8576" s="362" t="s">
        <v>78</v>
      </c>
      <c r="D8576" s="562">
        <v>185427948</v>
      </c>
      <c r="E8576" s="562"/>
      <c r="F8576" s="562"/>
      <c r="G8576" s="562">
        <f t="shared" si="531"/>
        <v>185427948</v>
      </c>
      <c r="H8576" s="362"/>
      <c r="I8576" s="362"/>
      <c r="J8576" s="362"/>
    </row>
    <row r="8577" spans="1:10" x14ac:dyDescent="0.25">
      <c r="A8577" s="362"/>
      <c r="B8577" s="611">
        <v>44677</v>
      </c>
      <c r="C8577" s="362" t="s">
        <v>141</v>
      </c>
      <c r="D8577" s="562">
        <v>119379375</v>
      </c>
      <c r="E8577" s="562"/>
      <c r="F8577" s="562"/>
      <c r="G8577" s="562">
        <f t="shared" si="531"/>
        <v>119379375</v>
      </c>
      <c r="H8577" s="362"/>
      <c r="I8577" s="362"/>
      <c r="J8577" s="362"/>
    </row>
    <row r="8578" spans="1:10" x14ac:dyDescent="0.25">
      <c r="A8578" s="362"/>
      <c r="B8578" s="611">
        <v>44677</v>
      </c>
      <c r="C8578" s="362" t="s">
        <v>89</v>
      </c>
      <c r="D8578" s="562">
        <v>191082800</v>
      </c>
      <c r="E8578" s="562"/>
      <c r="F8578" s="562"/>
      <c r="G8578" s="562">
        <f t="shared" si="531"/>
        <v>191082800</v>
      </c>
      <c r="H8578" s="362"/>
      <c r="I8578" s="362"/>
      <c r="J8578" s="362"/>
    </row>
    <row r="8579" spans="1:10" x14ac:dyDescent="0.25">
      <c r="A8579" s="362"/>
      <c r="B8579" s="611">
        <v>44677</v>
      </c>
      <c r="C8579" s="362" t="s">
        <v>81</v>
      </c>
      <c r="D8579" s="562">
        <v>142506491</v>
      </c>
      <c r="E8579" s="562"/>
      <c r="F8579" s="562"/>
      <c r="G8579" s="562">
        <f t="shared" si="531"/>
        <v>142506491</v>
      </c>
      <c r="H8579" s="362"/>
      <c r="I8579" s="362"/>
      <c r="J8579" s="362"/>
    </row>
    <row r="8580" spans="1:10" x14ac:dyDescent="0.25">
      <c r="A8580" s="362"/>
      <c r="B8580" s="611">
        <v>44677</v>
      </c>
      <c r="C8580" s="362" t="s">
        <v>84</v>
      </c>
      <c r="D8580" s="562">
        <v>425082603</v>
      </c>
      <c r="E8580" s="562"/>
      <c r="F8580" s="562"/>
      <c r="G8580" s="562">
        <f t="shared" si="531"/>
        <v>425082603</v>
      </c>
      <c r="H8580" s="362"/>
      <c r="I8580" s="362"/>
      <c r="J8580" s="362"/>
    </row>
    <row r="8581" spans="1:10" x14ac:dyDescent="0.25">
      <c r="A8581" s="362"/>
      <c r="B8581" s="611">
        <v>44677</v>
      </c>
      <c r="C8581" s="362" t="s">
        <v>4751</v>
      </c>
      <c r="D8581" s="562">
        <v>312201100</v>
      </c>
      <c r="E8581" s="562"/>
      <c r="F8581" s="562"/>
      <c r="G8581" s="562">
        <f t="shared" si="531"/>
        <v>312201100</v>
      </c>
      <c r="H8581" s="362"/>
      <c r="I8581" s="362"/>
      <c r="J8581" s="362"/>
    </row>
    <row r="8582" spans="1:10" x14ac:dyDescent="0.25">
      <c r="A8582" s="362"/>
      <c r="B8582" s="611">
        <v>44677</v>
      </c>
      <c r="C8582" s="362" t="s">
        <v>166</v>
      </c>
      <c r="D8582" s="562">
        <v>147179596</v>
      </c>
      <c r="E8582" s="562"/>
      <c r="F8582" s="562"/>
      <c r="G8582" s="562">
        <f t="shared" si="531"/>
        <v>147179596</v>
      </c>
      <c r="H8582" s="362"/>
      <c r="I8582" s="362"/>
      <c r="J8582" s="362"/>
    </row>
    <row r="8583" spans="1:10" x14ac:dyDescent="0.25">
      <c r="A8583" s="362"/>
      <c r="B8583" s="611">
        <v>44677</v>
      </c>
      <c r="C8583" s="362" t="s">
        <v>3435</v>
      </c>
      <c r="D8583" s="562">
        <v>79617379</v>
      </c>
      <c r="E8583" s="562"/>
      <c r="F8583" s="562"/>
      <c r="G8583" s="562">
        <f t="shared" si="531"/>
        <v>79617379</v>
      </c>
      <c r="H8583" s="362"/>
      <c r="I8583" s="362"/>
      <c r="J8583" s="362"/>
    </row>
    <row r="8584" spans="1:10" x14ac:dyDescent="0.25">
      <c r="A8584" s="362"/>
      <c r="B8584" s="611">
        <v>44677</v>
      </c>
      <c r="C8584" s="370" t="s">
        <v>85</v>
      </c>
      <c r="D8584" s="562">
        <v>61855800</v>
      </c>
      <c r="E8584" s="562"/>
      <c r="F8584" s="562"/>
      <c r="G8584" s="562">
        <f t="shared" si="531"/>
        <v>61855800</v>
      </c>
      <c r="H8584" s="362"/>
      <c r="I8584" s="362"/>
      <c r="J8584" s="362"/>
    </row>
    <row r="8585" spans="1:10" x14ac:dyDescent="0.25">
      <c r="A8585" s="532"/>
      <c r="B8585" s="532"/>
      <c r="C8585" s="532"/>
      <c r="D8585" s="564">
        <f>SUM(D8570:D8584)</f>
        <v>2804825973</v>
      </c>
      <c r="E8585" s="564">
        <f>SUM(E8570:E8584)</f>
        <v>0</v>
      </c>
      <c r="F8585" s="564">
        <f>SUM(F8570:F8584)</f>
        <v>0</v>
      </c>
      <c r="G8585" s="564">
        <f>SUM(G8570:G8584)</f>
        <v>2804825973</v>
      </c>
      <c r="H8585" s="532"/>
      <c r="I8585" s="532"/>
      <c r="J8585" s="532"/>
    </row>
    <row r="8586" spans="1:10" x14ac:dyDescent="0.25">
      <c r="A8586" s="362"/>
      <c r="B8586" s="611">
        <v>44678</v>
      </c>
      <c r="C8586" s="362" t="s">
        <v>86</v>
      </c>
      <c r="D8586" s="562">
        <v>155172905</v>
      </c>
      <c r="E8586" s="562"/>
      <c r="F8586" s="562"/>
      <c r="G8586" s="562">
        <f t="shared" si="531"/>
        <v>155172905</v>
      </c>
      <c r="H8586" s="362"/>
      <c r="I8586" s="362"/>
      <c r="J8586" s="362"/>
    </row>
    <row r="8587" spans="1:10" x14ac:dyDescent="0.25">
      <c r="A8587" s="362"/>
      <c r="B8587" s="611">
        <v>44678</v>
      </c>
      <c r="C8587" s="362" t="s">
        <v>87</v>
      </c>
      <c r="D8587" s="562">
        <v>203211018</v>
      </c>
      <c r="E8587" s="562"/>
      <c r="F8587" s="562"/>
      <c r="G8587" s="562">
        <f t="shared" si="531"/>
        <v>203211018</v>
      </c>
      <c r="H8587" s="362"/>
      <c r="I8587" s="362"/>
      <c r="J8587" s="362"/>
    </row>
    <row r="8588" spans="1:10" x14ac:dyDescent="0.25">
      <c r="A8588" s="362"/>
      <c r="B8588" s="611">
        <v>44678</v>
      </c>
      <c r="C8588" s="362" t="s">
        <v>88</v>
      </c>
      <c r="D8588" s="562">
        <v>191958743</v>
      </c>
      <c r="E8588" s="562"/>
      <c r="F8588" s="562"/>
      <c r="G8588" s="562">
        <f t="shared" si="531"/>
        <v>191958743</v>
      </c>
      <c r="H8588" s="362"/>
      <c r="I8588" s="362"/>
      <c r="J8588" s="362"/>
    </row>
    <row r="8589" spans="1:10" x14ac:dyDescent="0.25">
      <c r="A8589" s="362"/>
      <c r="B8589" s="611">
        <v>44678</v>
      </c>
      <c r="C8589" s="362" t="s">
        <v>82</v>
      </c>
      <c r="D8589" s="562">
        <v>80150901</v>
      </c>
      <c r="E8589" s="562"/>
      <c r="F8589" s="562"/>
      <c r="G8589" s="562">
        <f t="shared" si="531"/>
        <v>80150901</v>
      </c>
      <c r="H8589" s="362"/>
      <c r="I8589" s="362"/>
      <c r="J8589" s="362"/>
    </row>
    <row r="8590" spans="1:10" x14ac:dyDescent="0.25">
      <c r="A8590" s="362"/>
      <c r="B8590" s="611">
        <v>44678</v>
      </c>
      <c r="C8590" s="362" t="s">
        <v>80</v>
      </c>
      <c r="D8590" s="562">
        <v>338431400</v>
      </c>
      <c r="E8590" s="562"/>
      <c r="F8590" s="562"/>
      <c r="G8590" s="562">
        <f t="shared" si="531"/>
        <v>338431400</v>
      </c>
      <c r="H8590" s="362"/>
      <c r="I8590" s="362"/>
      <c r="J8590" s="362"/>
    </row>
    <row r="8591" spans="1:10" x14ac:dyDescent="0.25">
      <c r="A8591" s="362"/>
      <c r="B8591" s="611">
        <v>44678</v>
      </c>
      <c r="C8591" s="362" t="s">
        <v>83</v>
      </c>
      <c r="D8591" s="562">
        <v>160856428</v>
      </c>
      <c r="E8591" s="562"/>
      <c r="F8591" s="562"/>
      <c r="G8591" s="562">
        <f t="shared" si="531"/>
        <v>160856428</v>
      </c>
      <c r="H8591" s="362"/>
      <c r="I8591" s="362"/>
      <c r="J8591" s="362"/>
    </row>
    <row r="8592" spans="1:10" x14ac:dyDescent="0.25">
      <c r="A8592" s="362"/>
      <c r="B8592" s="611">
        <v>44678</v>
      </c>
      <c r="C8592" s="362" t="s">
        <v>78</v>
      </c>
      <c r="D8592" s="562">
        <v>123903095</v>
      </c>
      <c r="E8592" s="562"/>
      <c r="F8592" s="562"/>
      <c r="G8592" s="562">
        <f t="shared" si="531"/>
        <v>123903095</v>
      </c>
      <c r="H8592" s="362"/>
      <c r="I8592" s="362"/>
      <c r="J8592" s="362"/>
    </row>
    <row r="8593" spans="1:10" x14ac:dyDescent="0.25">
      <c r="A8593" s="362"/>
      <c r="B8593" s="611">
        <v>44678</v>
      </c>
      <c r="C8593" s="362" t="s">
        <v>141</v>
      </c>
      <c r="D8593" s="562">
        <v>144095535</v>
      </c>
      <c r="E8593" s="562"/>
      <c r="F8593" s="562"/>
      <c r="G8593" s="562">
        <f t="shared" si="531"/>
        <v>144095535</v>
      </c>
      <c r="H8593" s="362"/>
      <c r="I8593" s="362"/>
      <c r="J8593" s="362"/>
    </row>
    <row r="8594" spans="1:10" x14ac:dyDescent="0.25">
      <c r="A8594" s="362"/>
      <c r="B8594" s="611">
        <v>44678</v>
      </c>
      <c r="C8594" s="362" t="s">
        <v>89</v>
      </c>
      <c r="D8594" s="562">
        <v>209282400</v>
      </c>
      <c r="E8594" s="562"/>
      <c r="F8594" s="562"/>
      <c r="G8594" s="562">
        <f t="shared" si="531"/>
        <v>209282400</v>
      </c>
      <c r="H8594" s="362"/>
      <c r="I8594" s="362"/>
      <c r="J8594" s="362"/>
    </row>
    <row r="8595" spans="1:10" x14ac:dyDescent="0.25">
      <c r="A8595" s="362"/>
      <c r="B8595" s="611">
        <v>44678</v>
      </c>
      <c r="C8595" s="362" t="s">
        <v>81</v>
      </c>
      <c r="D8595" s="562">
        <v>138957523</v>
      </c>
      <c r="E8595" s="562"/>
      <c r="F8595" s="562"/>
      <c r="G8595" s="562">
        <f t="shared" si="531"/>
        <v>138957523</v>
      </c>
      <c r="H8595" s="362"/>
      <c r="I8595" s="362"/>
      <c r="J8595" s="362"/>
    </row>
    <row r="8596" spans="1:10" x14ac:dyDescent="0.25">
      <c r="A8596" s="362"/>
      <c r="B8596" s="611">
        <v>44678</v>
      </c>
      <c r="C8596" s="362" t="s">
        <v>84</v>
      </c>
      <c r="D8596" s="562">
        <v>289356843</v>
      </c>
      <c r="E8596" s="562"/>
      <c r="F8596" s="562"/>
      <c r="G8596" s="562">
        <f t="shared" si="531"/>
        <v>289356843</v>
      </c>
      <c r="H8596" s="362"/>
      <c r="I8596" s="362"/>
      <c r="J8596" s="362"/>
    </row>
    <row r="8597" spans="1:10" x14ac:dyDescent="0.25">
      <c r="A8597" s="362"/>
      <c r="B8597" s="611">
        <v>44678</v>
      </c>
      <c r="C8597" s="362" t="s">
        <v>4751</v>
      </c>
      <c r="D8597" s="562">
        <v>167916900</v>
      </c>
      <c r="E8597" s="562"/>
      <c r="F8597" s="562"/>
      <c r="G8597" s="562">
        <f t="shared" si="531"/>
        <v>167916900</v>
      </c>
      <c r="H8597" s="362"/>
      <c r="I8597" s="362"/>
      <c r="J8597" s="362"/>
    </row>
    <row r="8598" spans="1:10" x14ac:dyDescent="0.25">
      <c r="A8598" s="362"/>
      <c r="B8598" s="611">
        <v>44678</v>
      </c>
      <c r="C8598" s="362" t="s">
        <v>166</v>
      </c>
      <c r="D8598" s="562">
        <v>123458591</v>
      </c>
      <c r="E8598" s="562"/>
      <c r="F8598" s="562"/>
      <c r="G8598" s="562">
        <f t="shared" si="531"/>
        <v>123458591</v>
      </c>
      <c r="H8598" s="362"/>
      <c r="I8598" s="362"/>
      <c r="J8598" s="362"/>
    </row>
    <row r="8599" spans="1:10" x14ac:dyDescent="0.25">
      <c r="A8599" s="362"/>
      <c r="B8599" s="611">
        <v>44678</v>
      </c>
      <c r="C8599" s="362" t="s">
        <v>3435</v>
      </c>
      <c r="D8599" s="562">
        <v>107530584</v>
      </c>
      <c r="E8599" s="562"/>
      <c r="F8599" s="562"/>
      <c r="G8599" s="562">
        <f t="shared" si="531"/>
        <v>107530584</v>
      </c>
      <c r="H8599" s="362"/>
      <c r="I8599" s="362"/>
      <c r="J8599" s="362"/>
    </row>
    <row r="8600" spans="1:10" x14ac:dyDescent="0.25">
      <c r="A8600" s="362"/>
      <c r="B8600" s="611">
        <v>44678</v>
      </c>
      <c r="C8600" s="370" t="s">
        <v>85</v>
      </c>
      <c r="D8600" s="562">
        <v>58808000</v>
      </c>
      <c r="E8600" s="562"/>
      <c r="F8600" s="562"/>
      <c r="G8600" s="562">
        <f t="shared" si="531"/>
        <v>58808000</v>
      </c>
      <c r="H8600" s="362"/>
      <c r="I8600" s="362"/>
      <c r="J8600" s="362"/>
    </row>
    <row r="8601" spans="1:10" x14ac:dyDescent="0.25">
      <c r="A8601" s="532"/>
      <c r="B8601" s="532"/>
      <c r="C8601" s="532"/>
      <c r="D8601" s="564">
        <f>SUM(D8586:D8600)</f>
        <v>2493090866</v>
      </c>
      <c r="E8601" s="564">
        <f t="shared" ref="E8601:G8601" si="534">SUM(E8586:E8600)</f>
        <v>0</v>
      </c>
      <c r="F8601" s="564">
        <f t="shared" si="534"/>
        <v>0</v>
      </c>
      <c r="G8601" s="564">
        <f t="shared" si="534"/>
        <v>2493090866</v>
      </c>
      <c r="H8601" s="532"/>
      <c r="I8601" s="532"/>
      <c r="J8601" s="532"/>
    </row>
    <row r="8602" spans="1:10" x14ac:dyDescent="0.25">
      <c r="A8602" s="362"/>
      <c r="B8602" s="611">
        <v>44679</v>
      </c>
      <c r="C8602" s="362" t="s">
        <v>86</v>
      </c>
      <c r="D8602" s="562">
        <v>354034546</v>
      </c>
      <c r="E8602" s="562"/>
      <c r="F8602" s="562">
        <v>354409600</v>
      </c>
      <c r="G8602" s="562">
        <f t="shared" si="531"/>
        <v>-375054</v>
      </c>
      <c r="H8602" s="362"/>
      <c r="I8602" s="362"/>
      <c r="J8602" s="362"/>
    </row>
    <row r="8603" spans="1:10" x14ac:dyDescent="0.25">
      <c r="A8603" s="362"/>
      <c r="B8603" s="611">
        <v>44679</v>
      </c>
      <c r="C8603" s="362" t="s">
        <v>87</v>
      </c>
      <c r="D8603" s="562">
        <v>372445018</v>
      </c>
      <c r="E8603" s="562"/>
      <c r="F8603" s="562"/>
      <c r="G8603" s="562">
        <f t="shared" si="531"/>
        <v>372445018</v>
      </c>
      <c r="H8603" s="362"/>
      <c r="I8603" s="362"/>
      <c r="J8603" s="362"/>
    </row>
    <row r="8604" spans="1:10" x14ac:dyDescent="0.25">
      <c r="A8604" s="362"/>
      <c r="B8604" s="611">
        <v>44679</v>
      </c>
      <c r="C8604" s="362" t="s">
        <v>88</v>
      </c>
      <c r="D8604" s="562">
        <v>305309317</v>
      </c>
      <c r="E8604" s="562"/>
      <c r="F8604" s="562"/>
      <c r="G8604" s="562">
        <f t="shared" ref="G8604:G8683" si="535">D8604+E8604-F8604</f>
        <v>305309317</v>
      </c>
      <c r="H8604" s="362"/>
      <c r="I8604" s="362"/>
      <c r="J8604" s="362"/>
    </row>
    <row r="8605" spans="1:10" x14ac:dyDescent="0.25">
      <c r="A8605" s="362"/>
      <c r="B8605" s="611">
        <v>44679</v>
      </c>
      <c r="C8605" s="362" t="s">
        <v>82</v>
      </c>
      <c r="D8605" s="562">
        <v>130975532</v>
      </c>
      <c r="E8605" s="562"/>
      <c r="F8605" s="562"/>
      <c r="G8605" s="562">
        <f t="shared" si="535"/>
        <v>130975532</v>
      </c>
      <c r="H8605" s="362"/>
      <c r="I8605" s="362"/>
      <c r="J8605" s="362"/>
    </row>
    <row r="8606" spans="1:10" x14ac:dyDescent="0.25">
      <c r="A8606" s="362"/>
      <c r="B8606" s="611">
        <v>44679</v>
      </c>
      <c r="C8606" s="362" t="s">
        <v>80</v>
      </c>
      <c r="D8606" s="562">
        <v>731213478</v>
      </c>
      <c r="E8606" s="562"/>
      <c r="F8606" s="562"/>
      <c r="G8606" s="562">
        <f t="shared" si="535"/>
        <v>731213478</v>
      </c>
      <c r="H8606" s="362"/>
      <c r="I8606" s="362"/>
      <c r="J8606" s="362"/>
    </row>
    <row r="8607" spans="1:10" x14ac:dyDescent="0.25">
      <c r="A8607" s="362"/>
      <c r="B8607" s="611">
        <v>44679</v>
      </c>
      <c r="C8607" s="362" t="s">
        <v>83</v>
      </c>
      <c r="D8607" s="562">
        <v>150848333</v>
      </c>
      <c r="E8607" s="562"/>
      <c r="F8607" s="562"/>
      <c r="G8607" s="562">
        <f t="shared" si="535"/>
        <v>150848333</v>
      </c>
      <c r="H8607" s="362"/>
      <c r="I8607" s="362"/>
      <c r="J8607" s="362"/>
    </row>
    <row r="8608" spans="1:10" x14ac:dyDescent="0.25">
      <c r="A8608" s="362"/>
      <c r="B8608" s="611">
        <v>44679</v>
      </c>
      <c r="C8608" s="362" t="s">
        <v>78</v>
      </c>
      <c r="D8608" s="562">
        <v>240754102</v>
      </c>
      <c r="E8608" s="562"/>
      <c r="F8608" s="562"/>
      <c r="G8608" s="562">
        <f t="shared" si="535"/>
        <v>240754102</v>
      </c>
      <c r="H8608" s="362"/>
      <c r="I8608" s="362"/>
      <c r="J8608" s="362"/>
    </row>
    <row r="8609" spans="1:10" x14ac:dyDescent="0.25">
      <c r="A8609" s="362"/>
      <c r="B8609" s="611">
        <v>44679</v>
      </c>
      <c r="C8609" s="362" t="s">
        <v>141</v>
      </c>
      <c r="D8609" s="562">
        <v>94339327</v>
      </c>
      <c r="E8609" s="562"/>
      <c r="F8609" s="562"/>
      <c r="G8609" s="562">
        <f t="shared" si="535"/>
        <v>94339327</v>
      </c>
      <c r="H8609" s="362"/>
      <c r="I8609" s="362"/>
      <c r="J8609" s="362"/>
    </row>
    <row r="8610" spans="1:10" x14ac:dyDescent="0.25">
      <c r="A8610" s="362"/>
      <c r="B8610" s="611">
        <v>44679</v>
      </c>
      <c r="C8610" s="362" t="s">
        <v>89</v>
      </c>
      <c r="D8610" s="562">
        <v>174589800</v>
      </c>
      <c r="E8610" s="562"/>
      <c r="F8610" s="562"/>
      <c r="G8610" s="562">
        <f t="shared" si="535"/>
        <v>174589800</v>
      </c>
      <c r="H8610" s="362"/>
      <c r="I8610" s="362"/>
      <c r="J8610" s="362"/>
    </row>
    <row r="8611" spans="1:10" x14ac:dyDescent="0.25">
      <c r="A8611" s="362"/>
      <c r="B8611" s="611">
        <v>44679</v>
      </c>
      <c r="C8611" s="362" t="s">
        <v>81</v>
      </c>
      <c r="D8611" s="562">
        <v>220343682</v>
      </c>
      <c r="E8611" s="562"/>
      <c r="F8611" s="562"/>
      <c r="G8611" s="562">
        <f t="shared" si="535"/>
        <v>220343682</v>
      </c>
      <c r="H8611" s="362"/>
      <c r="I8611" s="362"/>
      <c r="J8611" s="362"/>
    </row>
    <row r="8612" spans="1:10" x14ac:dyDescent="0.25">
      <c r="A8612" s="362"/>
      <c r="B8612" s="611">
        <v>44679</v>
      </c>
      <c r="C8612" s="362" t="s">
        <v>84</v>
      </c>
      <c r="D8612" s="562">
        <v>329722175</v>
      </c>
      <c r="E8612" s="562"/>
      <c r="F8612" s="562"/>
      <c r="G8612" s="562">
        <f t="shared" si="535"/>
        <v>329722175</v>
      </c>
      <c r="H8612" s="362"/>
      <c r="I8612" s="362"/>
      <c r="J8612" s="362"/>
    </row>
    <row r="8613" spans="1:10" x14ac:dyDescent="0.25">
      <c r="A8613" s="362"/>
      <c r="B8613" s="611">
        <v>44679</v>
      </c>
      <c r="C8613" s="362" t="s">
        <v>4751</v>
      </c>
      <c r="D8613" s="562">
        <v>262225300</v>
      </c>
      <c r="E8613" s="562"/>
      <c r="F8613" s="562"/>
      <c r="G8613" s="562">
        <f t="shared" si="535"/>
        <v>262225300</v>
      </c>
      <c r="H8613" s="362"/>
      <c r="I8613" s="362"/>
      <c r="J8613" s="362"/>
    </row>
    <row r="8614" spans="1:10" x14ac:dyDescent="0.25">
      <c r="A8614" s="362"/>
      <c r="B8614" s="611">
        <v>44679</v>
      </c>
      <c r="C8614" s="362" t="s">
        <v>166</v>
      </c>
      <c r="D8614" s="562">
        <v>98651268</v>
      </c>
      <c r="E8614" s="562"/>
      <c r="F8614" s="562"/>
      <c r="G8614" s="562">
        <f t="shared" si="535"/>
        <v>98651268</v>
      </c>
      <c r="H8614" s="362"/>
      <c r="I8614" s="362"/>
      <c r="J8614" s="362"/>
    </row>
    <row r="8615" spans="1:10" x14ac:dyDescent="0.25">
      <c r="A8615" s="362"/>
      <c r="B8615" s="611">
        <v>44679</v>
      </c>
      <c r="C8615" s="362" t="s">
        <v>3435</v>
      </c>
      <c r="D8615" s="562">
        <v>26665387</v>
      </c>
      <c r="E8615" s="562"/>
      <c r="F8615" s="562"/>
      <c r="G8615" s="562">
        <f t="shared" si="535"/>
        <v>26665387</v>
      </c>
      <c r="H8615" s="362"/>
      <c r="I8615" s="362"/>
      <c r="J8615" s="362"/>
    </row>
    <row r="8616" spans="1:10" x14ac:dyDescent="0.25">
      <c r="A8616" s="362"/>
      <c r="B8616" s="611">
        <v>44679</v>
      </c>
      <c r="C8616" s="370" t="s">
        <v>85</v>
      </c>
      <c r="D8616" s="562">
        <v>28993100</v>
      </c>
      <c r="E8616" s="562"/>
      <c r="F8616" s="562"/>
      <c r="G8616" s="562">
        <f t="shared" si="535"/>
        <v>28993100</v>
      </c>
      <c r="H8616" s="362"/>
      <c r="I8616" s="362"/>
      <c r="J8616" s="362"/>
    </row>
    <row r="8617" spans="1:10" x14ac:dyDescent="0.25">
      <c r="A8617" s="532"/>
      <c r="B8617" s="532"/>
      <c r="C8617" s="532"/>
      <c r="D8617" s="564">
        <f>SUM(D8602:D8616)</f>
        <v>3521110365</v>
      </c>
      <c r="E8617" s="564">
        <f t="shared" ref="E8617:G8617" si="536">SUM(E8602:E8616)</f>
        <v>0</v>
      </c>
      <c r="F8617" s="564">
        <f t="shared" si="536"/>
        <v>354409600</v>
      </c>
      <c r="G8617" s="564">
        <f t="shared" si="536"/>
        <v>3166700765</v>
      </c>
      <c r="H8617" s="532"/>
      <c r="I8617" s="532"/>
      <c r="J8617" s="532"/>
    </row>
    <row r="8618" spans="1:10" x14ac:dyDescent="0.25">
      <c r="A8618" s="362"/>
      <c r="B8618" s="611">
        <v>44680</v>
      </c>
      <c r="C8618" s="362" t="s">
        <v>86</v>
      </c>
      <c r="D8618" s="562">
        <v>59193624</v>
      </c>
      <c r="E8618" s="562"/>
      <c r="F8618" s="562"/>
      <c r="G8618" s="562">
        <f t="shared" si="535"/>
        <v>59193624</v>
      </c>
      <c r="H8618" s="362"/>
      <c r="I8618" s="362"/>
      <c r="J8618" s="362"/>
    </row>
    <row r="8619" spans="1:10" x14ac:dyDescent="0.25">
      <c r="A8619" s="362"/>
      <c r="B8619" s="611">
        <v>44680</v>
      </c>
      <c r="C8619" s="362" t="s">
        <v>87</v>
      </c>
      <c r="D8619" s="562">
        <v>219946654</v>
      </c>
      <c r="E8619" s="562"/>
      <c r="F8619" s="562"/>
      <c r="G8619" s="562">
        <f t="shared" si="535"/>
        <v>219946654</v>
      </c>
      <c r="H8619" s="362"/>
      <c r="I8619" s="362"/>
      <c r="J8619" s="362"/>
    </row>
    <row r="8620" spans="1:10" x14ac:dyDescent="0.25">
      <c r="A8620" s="362"/>
      <c r="B8620" s="611">
        <v>44680</v>
      </c>
      <c r="C8620" s="362" t="s">
        <v>88</v>
      </c>
      <c r="D8620" s="562">
        <v>102784968</v>
      </c>
      <c r="E8620" s="562"/>
      <c r="F8620" s="562"/>
      <c r="G8620" s="562">
        <f t="shared" si="535"/>
        <v>102784968</v>
      </c>
      <c r="H8620" s="362"/>
      <c r="I8620" s="362"/>
      <c r="J8620" s="362"/>
    </row>
    <row r="8621" spans="1:10" x14ac:dyDescent="0.25">
      <c r="A8621" s="362"/>
      <c r="B8621" s="611">
        <v>44680</v>
      </c>
      <c r="C8621" s="362" t="s">
        <v>82</v>
      </c>
      <c r="D8621" s="562">
        <v>58584639</v>
      </c>
      <c r="E8621" s="562"/>
      <c r="F8621" s="562"/>
      <c r="G8621" s="562">
        <f t="shared" si="535"/>
        <v>58584639</v>
      </c>
      <c r="H8621" s="362"/>
      <c r="I8621" s="362"/>
      <c r="J8621" s="362"/>
    </row>
    <row r="8622" spans="1:10" x14ac:dyDescent="0.25">
      <c r="A8622" s="362"/>
      <c r="B8622" s="611">
        <v>44680</v>
      </c>
      <c r="C8622" s="362" t="s">
        <v>80</v>
      </c>
      <c r="D8622" s="562">
        <v>319492700</v>
      </c>
      <c r="E8622" s="562"/>
      <c r="F8622" s="562"/>
      <c r="G8622" s="562">
        <f t="shared" si="535"/>
        <v>319492700</v>
      </c>
      <c r="H8622" s="362"/>
      <c r="I8622" s="362"/>
      <c r="J8622" s="362"/>
    </row>
    <row r="8623" spans="1:10" x14ac:dyDescent="0.25">
      <c r="A8623" s="362"/>
      <c r="B8623" s="611">
        <v>44680</v>
      </c>
      <c r="C8623" s="362" t="s">
        <v>83</v>
      </c>
      <c r="D8623" s="562">
        <v>113128100</v>
      </c>
      <c r="E8623" s="562"/>
      <c r="F8623" s="562"/>
      <c r="G8623" s="562">
        <f t="shared" si="535"/>
        <v>113128100</v>
      </c>
      <c r="H8623" s="362"/>
      <c r="I8623" s="362"/>
      <c r="J8623" s="362"/>
    </row>
    <row r="8624" spans="1:10" x14ac:dyDescent="0.25">
      <c r="A8624" s="362"/>
      <c r="B8624" s="611">
        <v>44680</v>
      </c>
      <c r="C8624" s="362" t="s">
        <v>78</v>
      </c>
      <c r="D8624" s="562">
        <v>336919009</v>
      </c>
      <c r="E8624" s="562"/>
      <c r="F8624" s="562"/>
      <c r="G8624" s="562">
        <f t="shared" si="535"/>
        <v>336919009</v>
      </c>
      <c r="H8624" s="362"/>
      <c r="I8624" s="362"/>
      <c r="J8624" s="362"/>
    </row>
    <row r="8625" spans="1:10" x14ac:dyDescent="0.25">
      <c r="A8625" s="362"/>
      <c r="B8625" s="611">
        <v>44680</v>
      </c>
      <c r="C8625" s="362" t="s">
        <v>141</v>
      </c>
      <c r="D8625" s="562">
        <v>157792863</v>
      </c>
      <c r="E8625" s="562"/>
      <c r="F8625" s="562"/>
      <c r="G8625" s="562">
        <f t="shared" si="535"/>
        <v>157792863</v>
      </c>
      <c r="H8625" s="362"/>
      <c r="I8625" s="362"/>
      <c r="J8625" s="362"/>
    </row>
    <row r="8626" spans="1:10" x14ac:dyDescent="0.25">
      <c r="A8626" s="362"/>
      <c r="B8626" s="611">
        <v>44680</v>
      </c>
      <c r="C8626" s="362" t="s">
        <v>89</v>
      </c>
      <c r="D8626" s="562">
        <v>208464300</v>
      </c>
      <c r="E8626" s="562"/>
      <c r="F8626" s="562"/>
      <c r="G8626" s="562">
        <f t="shared" si="535"/>
        <v>208464300</v>
      </c>
      <c r="H8626" s="362"/>
      <c r="I8626" s="362"/>
      <c r="J8626" s="362"/>
    </row>
    <row r="8627" spans="1:10" x14ac:dyDescent="0.25">
      <c r="A8627" s="362"/>
      <c r="B8627" s="611">
        <v>44680</v>
      </c>
      <c r="C8627" s="362" t="s">
        <v>81</v>
      </c>
      <c r="D8627" s="562">
        <v>137667903</v>
      </c>
      <c r="E8627" s="562"/>
      <c r="F8627" s="562"/>
      <c r="G8627" s="562">
        <f t="shared" si="535"/>
        <v>137667903</v>
      </c>
      <c r="H8627" s="362"/>
      <c r="I8627" s="362"/>
      <c r="J8627" s="362"/>
    </row>
    <row r="8628" spans="1:10" x14ac:dyDescent="0.25">
      <c r="A8628" s="362"/>
      <c r="B8628" s="611">
        <v>44680</v>
      </c>
      <c r="C8628" s="362" t="s">
        <v>84</v>
      </c>
      <c r="D8628" s="562">
        <v>184668715</v>
      </c>
      <c r="E8628" s="562"/>
      <c r="F8628" s="562"/>
      <c r="G8628" s="562">
        <f t="shared" si="535"/>
        <v>184668715</v>
      </c>
      <c r="H8628" s="362"/>
      <c r="I8628" s="362"/>
      <c r="J8628" s="362"/>
    </row>
    <row r="8629" spans="1:10" x14ac:dyDescent="0.25">
      <c r="A8629" s="362"/>
      <c r="B8629" s="611">
        <v>44680</v>
      </c>
      <c r="C8629" s="362" t="s">
        <v>4751</v>
      </c>
      <c r="D8629" s="562">
        <v>162709000</v>
      </c>
      <c r="E8629" s="562"/>
      <c r="F8629" s="562"/>
      <c r="G8629" s="562">
        <f t="shared" si="535"/>
        <v>162709000</v>
      </c>
      <c r="H8629" s="362"/>
      <c r="I8629" s="362"/>
      <c r="J8629" s="362"/>
    </row>
    <row r="8630" spans="1:10" x14ac:dyDescent="0.25">
      <c r="A8630" s="362"/>
      <c r="B8630" s="611">
        <v>44680</v>
      </c>
      <c r="C8630" s="362" t="s">
        <v>166</v>
      </c>
      <c r="D8630" s="562"/>
      <c r="E8630" s="562"/>
      <c r="F8630" s="562"/>
      <c r="G8630" s="562">
        <f t="shared" si="535"/>
        <v>0</v>
      </c>
      <c r="H8630" s="362"/>
      <c r="I8630" s="362"/>
      <c r="J8630" s="362"/>
    </row>
    <row r="8631" spans="1:10" x14ac:dyDescent="0.25">
      <c r="A8631" s="362"/>
      <c r="B8631" s="611">
        <v>44680</v>
      </c>
      <c r="C8631" s="362" t="s">
        <v>3435</v>
      </c>
      <c r="D8631" s="562"/>
      <c r="E8631" s="562"/>
      <c r="F8631" s="562"/>
      <c r="G8631" s="562">
        <f t="shared" si="535"/>
        <v>0</v>
      </c>
      <c r="H8631" s="362"/>
      <c r="I8631" s="362"/>
      <c r="J8631" s="362"/>
    </row>
    <row r="8632" spans="1:10" x14ac:dyDescent="0.25">
      <c r="A8632" s="362"/>
      <c r="B8632" s="611">
        <v>44680</v>
      </c>
      <c r="C8632" s="370" t="s">
        <v>85</v>
      </c>
      <c r="D8632" s="562">
        <v>29828700</v>
      </c>
      <c r="E8632" s="562"/>
      <c r="F8632" s="562"/>
      <c r="G8632" s="562">
        <f t="shared" si="535"/>
        <v>29828700</v>
      </c>
      <c r="H8632" s="362"/>
      <c r="I8632" s="362"/>
      <c r="J8632" s="362"/>
    </row>
    <row r="8633" spans="1:10" x14ac:dyDescent="0.25">
      <c r="A8633" s="532"/>
      <c r="B8633" s="532"/>
      <c r="C8633" s="532"/>
      <c r="D8633" s="564">
        <f>SUM(D8618:D8632)</f>
        <v>2091181175</v>
      </c>
      <c r="E8633" s="564">
        <f t="shared" ref="E8633:G8633" si="537">SUM(E8618:E8632)</f>
        <v>0</v>
      </c>
      <c r="F8633" s="564">
        <f t="shared" si="537"/>
        <v>0</v>
      </c>
      <c r="G8633" s="564">
        <f t="shared" si="537"/>
        <v>2091181175</v>
      </c>
      <c r="H8633" s="532"/>
      <c r="I8633" s="532"/>
      <c r="J8633" s="532"/>
    </row>
    <row r="8634" spans="1:10" x14ac:dyDescent="0.25">
      <c r="A8634" s="362"/>
      <c r="B8634" s="1361">
        <v>44681</v>
      </c>
      <c r="C8634" s="362" t="s">
        <v>86</v>
      </c>
      <c r="D8634" s="562">
        <v>93056018</v>
      </c>
      <c r="E8634" s="562"/>
      <c r="F8634" s="562"/>
      <c r="G8634" s="562">
        <f t="shared" si="535"/>
        <v>93056018</v>
      </c>
      <c r="H8634" s="362"/>
      <c r="I8634" s="362"/>
      <c r="J8634" s="362"/>
    </row>
    <row r="8635" spans="1:10" x14ac:dyDescent="0.25">
      <c r="A8635" s="362"/>
      <c r="B8635" s="1361">
        <v>44681</v>
      </c>
      <c r="C8635" s="362" t="s">
        <v>87</v>
      </c>
      <c r="D8635" s="562">
        <v>82108637</v>
      </c>
      <c r="E8635" s="562"/>
      <c r="F8635" s="562"/>
      <c r="G8635" s="562">
        <f t="shared" si="535"/>
        <v>82108637</v>
      </c>
      <c r="H8635" s="362"/>
      <c r="I8635" s="362"/>
      <c r="J8635" s="362"/>
    </row>
    <row r="8636" spans="1:10" x14ac:dyDescent="0.25">
      <c r="A8636" s="362"/>
      <c r="B8636" s="1361">
        <v>44681</v>
      </c>
      <c r="C8636" s="362" t="s">
        <v>88</v>
      </c>
      <c r="D8636" s="562">
        <v>184480333</v>
      </c>
      <c r="E8636" s="562"/>
      <c r="F8636" s="562"/>
      <c r="G8636" s="562">
        <f t="shared" si="535"/>
        <v>184480333</v>
      </c>
      <c r="H8636" s="362"/>
      <c r="I8636" s="362"/>
      <c r="J8636" s="362"/>
    </row>
    <row r="8637" spans="1:10" x14ac:dyDescent="0.25">
      <c r="A8637" s="362"/>
      <c r="B8637" s="1361">
        <v>44681</v>
      </c>
      <c r="C8637" s="362" t="s">
        <v>82</v>
      </c>
      <c r="D8637" s="562">
        <v>104214298</v>
      </c>
      <c r="E8637" s="562"/>
      <c r="F8637" s="562"/>
      <c r="G8637" s="562">
        <f t="shared" si="535"/>
        <v>104214298</v>
      </c>
      <c r="H8637" s="362"/>
      <c r="I8637" s="362"/>
      <c r="J8637" s="362"/>
    </row>
    <row r="8638" spans="1:10" x14ac:dyDescent="0.25">
      <c r="A8638" s="362"/>
      <c r="B8638" s="1361">
        <v>44681</v>
      </c>
      <c r="C8638" s="362" t="s">
        <v>80</v>
      </c>
      <c r="D8638" s="562">
        <v>153788000</v>
      </c>
      <c r="E8638" s="562"/>
      <c r="F8638" s="562"/>
      <c r="G8638" s="562">
        <f t="shared" si="535"/>
        <v>153788000</v>
      </c>
      <c r="H8638" s="362"/>
      <c r="I8638" s="362"/>
      <c r="J8638" s="362"/>
    </row>
    <row r="8639" spans="1:10" x14ac:dyDescent="0.25">
      <c r="A8639" s="362"/>
      <c r="B8639" s="1361">
        <v>44681</v>
      </c>
      <c r="C8639" s="362" t="s">
        <v>83</v>
      </c>
      <c r="D8639" s="562">
        <v>315972294</v>
      </c>
      <c r="E8639" s="562"/>
      <c r="F8639" s="562"/>
      <c r="G8639" s="562">
        <f t="shared" si="535"/>
        <v>315972294</v>
      </c>
      <c r="H8639" s="362"/>
      <c r="I8639" s="362"/>
      <c r="J8639" s="362"/>
    </row>
    <row r="8640" spans="1:10" x14ac:dyDescent="0.25">
      <c r="A8640" s="362"/>
      <c r="B8640" s="1361">
        <v>44681</v>
      </c>
      <c r="C8640" s="362" t="s">
        <v>78</v>
      </c>
      <c r="D8640" s="562">
        <v>176706323</v>
      </c>
      <c r="E8640" s="562"/>
      <c r="F8640" s="562"/>
      <c r="G8640" s="562">
        <f t="shared" si="535"/>
        <v>176706323</v>
      </c>
      <c r="H8640" s="362"/>
      <c r="I8640" s="362"/>
      <c r="J8640" s="362"/>
    </row>
    <row r="8641" spans="1:10" x14ac:dyDescent="0.25">
      <c r="A8641" s="362"/>
      <c r="B8641" s="1361">
        <v>44681</v>
      </c>
      <c r="C8641" s="362" t="s">
        <v>141</v>
      </c>
      <c r="D8641" s="562">
        <v>144375131</v>
      </c>
      <c r="E8641" s="562"/>
      <c r="F8641" s="562"/>
      <c r="G8641" s="562">
        <f t="shared" si="535"/>
        <v>144375131</v>
      </c>
      <c r="H8641" s="362"/>
      <c r="I8641" s="362"/>
      <c r="J8641" s="362"/>
    </row>
    <row r="8642" spans="1:10" x14ac:dyDescent="0.25">
      <c r="A8642" s="362"/>
      <c r="B8642" s="1361">
        <v>44681</v>
      </c>
      <c r="C8642" s="362" t="s">
        <v>89</v>
      </c>
      <c r="D8642" s="562">
        <v>174426000</v>
      </c>
      <c r="E8642" s="562"/>
      <c r="F8642" s="562"/>
      <c r="G8642" s="562">
        <f t="shared" si="535"/>
        <v>174426000</v>
      </c>
      <c r="H8642" s="362"/>
      <c r="I8642" s="362"/>
      <c r="J8642" s="362"/>
    </row>
    <row r="8643" spans="1:10" x14ac:dyDescent="0.25">
      <c r="A8643" s="362"/>
      <c r="B8643" s="1361">
        <v>44681</v>
      </c>
      <c r="C8643" s="362" t="s">
        <v>81</v>
      </c>
      <c r="D8643" s="562">
        <v>188328234</v>
      </c>
      <c r="E8643" s="562"/>
      <c r="F8643" s="562"/>
      <c r="G8643" s="562">
        <f t="shared" si="535"/>
        <v>188328234</v>
      </c>
      <c r="H8643" s="362"/>
      <c r="I8643" s="362"/>
      <c r="J8643" s="362"/>
    </row>
    <row r="8644" spans="1:10" x14ac:dyDescent="0.25">
      <c r="A8644" s="362"/>
      <c r="B8644" s="1361">
        <v>44681</v>
      </c>
      <c r="C8644" s="362" t="s">
        <v>84</v>
      </c>
      <c r="D8644" s="562">
        <v>315956006</v>
      </c>
      <c r="E8644" s="562"/>
      <c r="F8644" s="562"/>
      <c r="G8644" s="562">
        <f t="shared" si="535"/>
        <v>315956006</v>
      </c>
      <c r="H8644" s="362"/>
      <c r="I8644" s="362"/>
      <c r="J8644" s="362"/>
    </row>
    <row r="8645" spans="1:10" x14ac:dyDescent="0.25">
      <c r="A8645" s="362"/>
      <c r="B8645" s="1361">
        <v>44681</v>
      </c>
      <c r="C8645" s="362" t="s">
        <v>4751</v>
      </c>
      <c r="D8645" s="562">
        <v>198629400</v>
      </c>
      <c r="E8645" s="562"/>
      <c r="F8645" s="562"/>
      <c r="G8645" s="562">
        <f t="shared" si="535"/>
        <v>198629400</v>
      </c>
      <c r="H8645" s="362"/>
      <c r="I8645" s="362"/>
      <c r="J8645" s="362"/>
    </row>
    <row r="8646" spans="1:10" x14ac:dyDescent="0.25">
      <c r="A8646" s="362"/>
      <c r="B8646" s="1361">
        <v>44681</v>
      </c>
      <c r="C8646" s="362" t="s">
        <v>166</v>
      </c>
      <c r="D8646" s="562">
        <v>83370285</v>
      </c>
      <c r="E8646" s="562"/>
      <c r="F8646" s="562"/>
      <c r="G8646" s="562">
        <f t="shared" si="535"/>
        <v>83370285</v>
      </c>
      <c r="H8646" s="362"/>
      <c r="I8646" s="362"/>
      <c r="J8646" s="362"/>
    </row>
    <row r="8647" spans="1:10" x14ac:dyDescent="0.25">
      <c r="A8647" s="362"/>
      <c r="B8647" s="1361">
        <v>44681</v>
      </c>
      <c r="C8647" s="362" t="s">
        <v>3435</v>
      </c>
      <c r="D8647" s="562"/>
      <c r="E8647" s="562"/>
      <c r="F8647" s="562"/>
      <c r="G8647" s="562">
        <f t="shared" si="535"/>
        <v>0</v>
      </c>
      <c r="H8647" s="362"/>
      <c r="I8647" s="362"/>
      <c r="J8647" s="362"/>
    </row>
    <row r="8648" spans="1:10" x14ac:dyDescent="0.25">
      <c r="A8648" s="362"/>
      <c r="B8648" s="1361">
        <v>44681</v>
      </c>
      <c r="C8648" s="370" t="s">
        <v>85</v>
      </c>
      <c r="D8648" s="562">
        <v>58816700</v>
      </c>
      <c r="E8648" s="562"/>
      <c r="F8648" s="562"/>
      <c r="G8648" s="562">
        <f t="shared" si="535"/>
        <v>58816700</v>
      </c>
      <c r="H8648" s="362"/>
      <c r="I8648" s="362"/>
      <c r="J8648" s="362"/>
    </row>
    <row r="8649" spans="1:10" x14ac:dyDescent="0.25">
      <c r="A8649" s="532"/>
      <c r="B8649" s="532"/>
      <c r="C8649" s="532"/>
      <c r="D8649" s="564">
        <f>SUM(D8634:D8648)</f>
        <v>2274227659</v>
      </c>
      <c r="E8649" s="564">
        <f>SUM(E8634:E8648)</f>
        <v>0</v>
      </c>
      <c r="F8649" s="564">
        <f>SUM(F8634:F8648)</f>
        <v>0</v>
      </c>
      <c r="G8649" s="564">
        <f>SUM(G8634:G8648)</f>
        <v>2274227659</v>
      </c>
      <c r="H8649" s="532"/>
      <c r="I8649" s="532"/>
      <c r="J8649" s="532"/>
    </row>
    <row r="8650" spans="1:10" s="567" customFormat="1" x14ac:dyDescent="0.25">
      <c r="A8650" s="370"/>
      <c r="B8650" s="852">
        <v>44690</v>
      </c>
      <c r="C8650" s="362" t="s">
        <v>86</v>
      </c>
      <c r="D8650" s="565">
        <v>93056018</v>
      </c>
      <c r="E8650" s="565"/>
      <c r="F8650" s="565"/>
      <c r="G8650" s="562">
        <f t="shared" si="535"/>
        <v>93056018</v>
      </c>
      <c r="H8650" s="370"/>
      <c r="I8650" s="370"/>
      <c r="J8650" s="370"/>
    </row>
    <row r="8651" spans="1:10" s="567" customFormat="1" x14ac:dyDescent="0.25">
      <c r="A8651" s="370"/>
      <c r="B8651" s="852">
        <v>44690</v>
      </c>
      <c r="C8651" s="362" t="s">
        <v>87</v>
      </c>
      <c r="D8651" s="565">
        <v>82108637</v>
      </c>
      <c r="E8651" s="565"/>
      <c r="F8651" s="565"/>
      <c r="G8651" s="562">
        <f t="shared" si="535"/>
        <v>82108637</v>
      </c>
      <c r="H8651" s="370"/>
      <c r="I8651" s="370"/>
      <c r="J8651" s="370"/>
    </row>
    <row r="8652" spans="1:10" s="567" customFormat="1" x14ac:dyDescent="0.25">
      <c r="A8652" s="370"/>
      <c r="B8652" s="852">
        <v>44690</v>
      </c>
      <c r="C8652" s="362" t="s">
        <v>88</v>
      </c>
      <c r="D8652" s="565">
        <v>184480333</v>
      </c>
      <c r="E8652" s="565"/>
      <c r="F8652" s="565"/>
      <c r="G8652" s="562">
        <f t="shared" si="535"/>
        <v>184480333</v>
      </c>
      <c r="H8652" s="370"/>
      <c r="I8652" s="370"/>
      <c r="J8652" s="370"/>
    </row>
    <row r="8653" spans="1:10" s="567" customFormat="1" x14ac:dyDescent="0.25">
      <c r="A8653" s="370"/>
      <c r="B8653" s="852">
        <v>44690</v>
      </c>
      <c r="C8653" s="362" t="s">
        <v>82</v>
      </c>
      <c r="D8653" s="565">
        <v>104214298</v>
      </c>
      <c r="E8653" s="565"/>
      <c r="F8653" s="565"/>
      <c r="G8653" s="562">
        <f t="shared" si="535"/>
        <v>104214298</v>
      </c>
      <c r="H8653" s="370"/>
      <c r="I8653" s="370"/>
      <c r="J8653" s="370"/>
    </row>
    <row r="8654" spans="1:10" s="567" customFormat="1" x14ac:dyDescent="0.25">
      <c r="A8654" s="370"/>
      <c r="B8654" s="852">
        <v>44690</v>
      </c>
      <c r="C8654" s="362" t="s">
        <v>80</v>
      </c>
      <c r="D8654" s="565">
        <v>153788000</v>
      </c>
      <c r="E8654" s="565"/>
      <c r="F8654" s="565"/>
      <c r="G8654" s="562">
        <f t="shared" si="535"/>
        <v>153788000</v>
      </c>
      <c r="H8654" s="370"/>
      <c r="I8654" s="370"/>
      <c r="J8654" s="370"/>
    </row>
    <row r="8655" spans="1:10" s="567" customFormat="1" x14ac:dyDescent="0.25">
      <c r="A8655" s="370"/>
      <c r="B8655" s="852">
        <v>44690</v>
      </c>
      <c r="C8655" s="362" t="s">
        <v>83</v>
      </c>
      <c r="D8655" s="565">
        <v>315971900</v>
      </c>
      <c r="E8655" s="565"/>
      <c r="F8655" s="565"/>
      <c r="G8655" s="562">
        <f t="shared" si="535"/>
        <v>315971900</v>
      </c>
      <c r="H8655" s="370"/>
      <c r="I8655" s="370"/>
      <c r="J8655" s="370"/>
    </row>
    <row r="8656" spans="1:10" s="567" customFormat="1" x14ac:dyDescent="0.25">
      <c r="A8656" s="370"/>
      <c r="B8656" s="852">
        <v>44690</v>
      </c>
      <c r="C8656" s="362" t="s">
        <v>78</v>
      </c>
      <c r="D8656" s="565">
        <v>176706323</v>
      </c>
      <c r="E8656" s="565"/>
      <c r="F8656" s="565"/>
      <c r="G8656" s="562">
        <f t="shared" si="535"/>
        <v>176706323</v>
      </c>
      <c r="H8656" s="370"/>
      <c r="I8656" s="370"/>
      <c r="J8656" s="370"/>
    </row>
    <row r="8657" spans="1:10" s="567" customFormat="1" x14ac:dyDescent="0.25">
      <c r="A8657" s="370"/>
      <c r="B8657" s="852">
        <v>44690</v>
      </c>
      <c r="C8657" s="362" t="s">
        <v>141</v>
      </c>
      <c r="D8657" s="565">
        <v>146442472</v>
      </c>
      <c r="E8657" s="565"/>
      <c r="F8657" s="565"/>
      <c r="G8657" s="562">
        <f t="shared" si="535"/>
        <v>146442472</v>
      </c>
      <c r="H8657" s="370"/>
      <c r="I8657" s="370"/>
      <c r="J8657" s="370"/>
    </row>
    <row r="8658" spans="1:10" s="567" customFormat="1" x14ac:dyDescent="0.25">
      <c r="A8658" s="370"/>
      <c r="B8658" s="852">
        <v>44690</v>
      </c>
      <c r="C8658" s="362" t="s">
        <v>89</v>
      </c>
      <c r="D8658" s="565">
        <v>174426000</v>
      </c>
      <c r="E8658" s="565"/>
      <c r="F8658" s="565"/>
      <c r="G8658" s="562">
        <f t="shared" si="535"/>
        <v>174426000</v>
      </c>
      <c r="H8658" s="370"/>
      <c r="I8658" s="370"/>
      <c r="J8658" s="370"/>
    </row>
    <row r="8659" spans="1:10" s="567" customFormat="1" x14ac:dyDescent="0.25">
      <c r="A8659" s="370"/>
      <c r="B8659" s="852">
        <v>44690</v>
      </c>
      <c r="C8659" s="362" t="s">
        <v>81</v>
      </c>
      <c r="D8659" s="565">
        <v>188328234</v>
      </c>
      <c r="E8659" s="565"/>
      <c r="F8659" s="565"/>
      <c r="G8659" s="562">
        <f t="shared" si="535"/>
        <v>188328234</v>
      </c>
      <c r="H8659" s="370"/>
      <c r="I8659" s="370"/>
      <c r="J8659" s="370"/>
    </row>
    <row r="8660" spans="1:10" s="567" customFormat="1" x14ac:dyDescent="0.25">
      <c r="A8660" s="370"/>
      <c r="B8660" s="852">
        <v>44690</v>
      </c>
      <c r="C8660" s="362" t="s">
        <v>84</v>
      </c>
      <c r="D8660" s="565">
        <v>315956006</v>
      </c>
      <c r="E8660" s="565"/>
      <c r="F8660" s="565"/>
      <c r="G8660" s="562">
        <f t="shared" si="535"/>
        <v>315956006</v>
      </c>
      <c r="H8660" s="370"/>
      <c r="I8660" s="370"/>
      <c r="J8660" s="370"/>
    </row>
    <row r="8661" spans="1:10" s="567" customFormat="1" x14ac:dyDescent="0.25">
      <c r="A8661" s="370"/>
      <c r="B8661" s="852">
        <v>44690</v>
      </c>
      <c r="C8661" s="362" t="s">
        <v>4751</v>
      </c>
      <c r="D8661" s="565">
        <v>198629400</v>
      </c>
      <c r="E8661" s="565"/>
      <c r="F8661" s="565"/>
      <c r="G8661" s="562">
        <f t="shared" si="535"/>
        <v>198629400</v>
      </c>
      <c r="H8661" s="370"/>
      <c r="I8661" s="370"/>
      <c r="J8661" s="370"/>
    </row>
    <row r="8662" spans="1:10" s="567" customFormat="1" x14ac:dyDescent="0.25">
      <c r="A8662" s="370"/>
      <c r="B8662" s="852">
        <v>44690</v>
      </c>
      <c r="C8662" s="362" t="s">
        <v>166</v>
      </c>
      <c r="D8662" s="565">
        <v>83370285</v>
      </c>
      <c r="E8662" s="565"/>
      <c r="F8662" s="565"/>
      <c r="G8662" s="562">
        <f t="shared" si="535"/>
        <v>83370285</v>
      </c>
      <c r="H8662" s="370"/>
      <c r="I8662" s="370"/>
      <c r="J8662" s="370"/>
    </row>
    <row r="8663" spans="1:10" s="567" customFormat="1" x14ac:dyDescent="0.25">
      <c r="A8663" s="370"/>
      <c r="B8663" s="852">
        <v>44690</v>
      </c>
      <c r="C8663" s="362" t="s">
        <v>3435</v>
      </c>
      <c r="D8663" s="565"/>
      <c r="E8663" s="565"/>
      <c r="F8663" s="565"/>
      <c r="G8663" s="562">
        <f t="shared" si="535"/>
        <v>0</v>
      </c>
      <c r="H8663" s="370"/>
      <c r="I8663" s="370"/>
      <c r="J8663" s="370"/>
    </row>
    <row r="8664" spans="1:10" s="567" customFormat="1" x14ac:dyDescent="0.25">
      <c r="A8664" s="370"/>
      <c r="B8664" s="852">
        <v>44690</v>
      </c>
      <c r="C8664" s="370" t="s">
        <v>85</v>
      </c>
      <c r="D8664" s="565">
        <v>58816700</v>
      </c>
      <c r="E8664" s="565"/>
      <c r="F8664" s="565"/>
      <c r="G8664" s="562">
        <f t="shared" si="535"/>
        <v>58816700</v>
      </c>
      <c r="H8664" s="370"/>
      <c r="I8664" s="370"/>
      <c r="J8664" s="370"/>
    </row>
    <row r="8665" spans="1:10" s="567" customFormat="1" x14ac:dyDescent="0.25">
      <c r="A8665" s="532"/>
      <c r="B8665" s="532"/>
      <c r="C8665" s="532"/>
      <c r="D8665" s="564">
        <f>SUM(D8650:D8664)</f>
        <v>2276294606</v>
      </c>
      <c r="E8665" s="564">
        <f t="shared" ref="E8665:G8665" si="538">SUM(E8650:E8664)</f>
        <v>0</v>
      </c>
      <c r="F8665" s="564">
        <f t="shared" si="538"/>
        <v>0</v>
      </c>
      <c r="G8665" s="564">
        <f t="shared" si="538"/>
        <v>2276294606</v>
      </c>
      <c r="H8665" s="532"/>
      <c r="I8665" s="532"/>
      <c r="J8665" s="532"/>
    </row>
    <row r="8666" spans="1:10" x14ac:dyDescent="0.25">
      <c r="A8666" s="362"/>
      <c r="B8666" s="611">
        <v>44691</v>
      </c>
      <c r="C8666" s="362" t="s">
        <v>86</v>
      </c>
      <c r="D8666" s="562">
        <v>142160146</v>
      </c>
      <c r="E8666" s="562"/>
      <c r="F8666" s="562"/>
      <c r="G8666" s="562">
        <f t="shared" si="535"/>
        <v>142160146</v>
      </c>
      <c r="H8666" s="362"/>
      <c r="I8666" s="362"/>
      <c r="J8666" s="362"/>
    </row>
    <row r="8667" spans="1:10" x14ac:dyDescent="0.25">
      <c r="A8667" s="362"/>
      <c r="B8667" s="611">
        <v>44691</v>
      </c>
      <c r="C8667" s="362" t="s">
        <v>87</v>
      </c>
      <c r="D8667" s="562">
        <v>228653604</v>
      </c>
      <c r="E8667" s="562"/>
      <c r="F8667" s="562"/>
      <c r="G8667" s="562">
        <f t="shared" si="535"/>
        <v>228653604</v>
      </c>
      <c r="H8667" s="362"/>
      <c r="I8667" s="362"/>
      <c r="J8667" s="362"/>
    </row>
    <row r="8668" spans="1:10" x14ac:dyDescent="0.25">
      <c r="A8668" s="362"/>
      <c r="B8668" s="611">
        <v>44691</v>
      </c>
      <c r="C8668" s="362" t="s">
        <v>88</v>
      </c>
      <c r="D8668" s="562">
        <v>319794186</v>
      </c>
      <c r="E8668" s="562"/>
      <c r="F8668" s="562"/>
      <c r="G8668" s="562">
        <f t="shared" si="535"/>
        <v>319794186</v>
      </c>
      <c r="H8668" s="362"/>
      <c r="I8668" s="362"/>
      <c r="J8668" s="362"/>
    </row>
    <row r="8669" spans="1:10" x14ac:dyDescent="0.25">
      <c r="A8669" s="362"/>
      <c r="B8669" s="611">
        <v>44691</v>
      </c>
      <c r="C8669" s="362" t="s">
        <v>82</v>
      </c>
      <c r="D8669" s="562">
        <v>168883720</v>
      </c>
      <c r="E8669" s="562"/>
      <c r="F8669" s="562"/>
      <c r="G8669" s="562">
        <f t="shared" si="535"/>
        <v>168883720</v>
      </c>
      <c r="H8669" s="362"/>
      <c r="I8669" s="362"/>
      <c r="J8669" s="362"/>
    </row>
    <row r="8670" spans="1:10" x14ac:dyDescent="0.25">
      <c r="A8670" s="362"/>
      <c r="B8670" s="611">
        <v>44691</v>
      </c>
      <c r="C8670" s="362" t="s">
        <v>80</v>
      </c>
      <c r="D8670" s="562">
        <v>354624817</v>
      </c>
      <c r="E8670" s="562"/>
      <c r="F8670" s="562"/>
      <c r="G8670" s="562">
        <f t="shared" si="535"/>
        <v>354624817</v>
      </c>
      <c r="H8670" s="362"/>
      <c r="I8670" s="362"/>
      <c r="J8670" s="362"/>
    </row>
    <row r="8671" spans="1:10" x14ac:dyDescent="0.25">
      <c r="A8671" s="362"/>
      <c r="B8671" s="611">
        <v>44691</v>
      </c>
      <c r="C8671" s="362" t="s">
        <v>83</v>
      </c>
      <c r="D8671" s="562">
        <v>382304354</v>
      </c>
      <c r="E8671" s="562"/>
      <c r="F8671" s="562"/>
      <c r="G8671" s="562">
        <f t="shared" si="535"/>
        <v>382304354</v>
      </c>
      <c r="H8671" s="362"/>
      <c r="I8671" s="362"/>
      <c r="J8671" s="362"/>
    </row>
    <row r="8672" spans="1:10" x14ac:dyDescent="0.25">
      <c r="A8672" s="362"/>
      <c r="B8672" s="611">
        <v>44691</v>
      </c>
      <c r="C8672" s="362" t="s">
        <v>78</v>
      </c>
      <c r="D8672" s="562">
        <v>281853557</v>
      </c>
      <c r="E8672" s="562"/>
      <c r="F8672" s="562"/>
      <c r="G8672" s="562">
        <f t="shared" si="535"/>
        <v>281853557</v>
      </c>
      <c r="H8672" s="362"/>
      <c r="I8672" s="362"/>
      <c r="J8672" s="362"/>
    </row>
    <row r="8673" spans="1:10" x14ac:dyDescent="0.25">
      <c r="A8673" s="362"/>
      <c r="B8673" s="611">
        <v>44691</v>
      </c>
      <c r="C8673" s="362" t="s">
        <v>141</v>
      </c>
      <c r="D8673" s="562">
        <v>192796151</v>
      </c>
      <c r="E8673" s="562"/>
      <c r="F8673" s="562"/>
      <c r="G8673" s="562">
        <f t="shared" si="535"/>
        <v>192796151</v>
      </c>
      <c r="H8673" s="362"/>
      <c r="I8673" s="362"/>
      <c r="J8673" s="362"/>
    </row>
    <row r="8674" spans="1:10" x14ac:dyDescent="0.25">
      <c r="A8674" s="362"/>
      <c r="B8674" s="611">
        <v>44691</v>
      </c>
      <c r="C8674" s="362" t="s">
        <v>89</v>
      </c>
      <c r="D8674" s="562">
        <v>153114100</v>
      </c>
      <c r="E8674" s="562"/>
      <c r="F8674" s="562"/>
      <c r="G8674" s="562">
        <f t="shared" si="535"/>
        <v>153114100</v>
      </c>
      <c r="H8674" s="362"/>
      <c r="I8674" s="362"/>
      <c r="J8674" s="362"/>
    </row>
    <row r="8675" spans="1:10" x14ac:dyDescent="0.25">
      <c r="A8675" s="362"/>
      <c r="B8675" s="611">
        <v>44691</v>
      </c>
      <c r="C8675" s="362" t="s">
        <v>81</v>
      </c>
      <c r="D8675" s="562">
        <v>215117836</v>
      </c>
      <c r="E8675" s="562"/>
      <c r="F8675" s="562"/>
      <c r="G8675" s="562">
        <f t="shared" si="535"/>
        <v>215117836</v>
      </c>
      <c r="H8675" s="362"/>
      <c r="I8675" s="362"/>
      <c r="J8675" s="362"/>
    </row>
    <row r="8676" spans="1:10" x14ac:dyDescent="0.25">
      <c r="A8676" s="362"/>
      <c r="B8676" s="611">
        <v>44691</v>
      </c>
      <c r="C8676" s="362" t="s">
        <v>84</v>
      </c>
      <c r="D8676" s="562">
        <v>525762886</v>
      </c>
      <c r="E8676" s="562"/>
      <c r="F8676" s="562"/>
      <c r="G8676" s="562">
        <f t="shared" si="535"/>
        <v>525762886</v>
      </c>
      <c r="H8676" s="362"/>
      <c r="I8676" s="362"/>
      <c r="J8676" s="362"/>
    </row>
    <row r="8677" spans="1:10" x14ac:dyDescent="0.25">
      <c r="A8677" s="362"/>
      <c r="B8677" s="611">
        <v>44691</v>
      </c>
      <c r="C8677" s="362" t="s">
        <v>4751</v>
      </c>
      <c r="D8677" s="562">
        <v>265290600</v>
      </c>
      <c r="E8677" s="562"/>
      <c r="F8677" s="562"/>
      <c r="G8677" s="562">
        <f t="shared" si="535"/>
        <v>265290600</v>
      </c>
      <c r="H8677" s="362"/>
      <c r="I8677" s="362"/>
      <c r="J8677" s="362"/>
    </row>
    <row r="8678" spans="1:10" x14ac:dyDescent="0.25">
      <c r="A8678" s="362"/>
      <c r="B8678" s="611">
        <v>44691</v>
      </c>
      <c r="C8678" s="362" t="s">
        <v>166</v>
      </c>
      <c r="D8678" s="562">
        <v>69422920</v>
      </c>
      <c r="E8678" s="562"/>
      <c r="F8678" s="562"/>
      <c r="G8678" s="562">
        <f t="shared" si="535"/>
        <v>69422920</v>
      </c>
      <c r="H8678" s="362"/>
      <c r="I8678" s="362"/>
      <c r="J8678" s="362"/>
    </row>
    <row r="8679" spans="1:10" x14ac:dyDescent="0.25">
      <c r="A8679" s="362"/>
      <c r="B8679" s="611">
        <v>44691</v>
      </c>
      <c r="C8679" s="362" t="s">
        <v>3435</v>
      </c>
      <c r="D8679" s="562">
        <v>92385550</v>
      </c>
      <c r="E8679" s="562"/>
      <c r="F8679" s="562"/>
      <c r="G8679" s="562">
        <f t="shared" si="535"/>
        <v>92385550</v>
      </c>
      <c r="H8679" s="362"/>
      <c r="I8679" s="362"/>
      <c r="J8679" s="362"/>
    </row>
    <row r="8680" spans="1:10" x14ac:dyDescent="0.25">
      <c r="A8680" s="362"/>
      <c r="B8680" s="611">
        <v>44691</v>
      </c>
      <c r="C8680" s="370" t="s">
        <v>85</v>
      </c>
      <c r="D8680" s="562">
        <v>50863200</v>
      </c>
      <c r="E8680" s="562"/>
      <c r="F8680" s="562"/>
      <c r="G8680" s="562">
        <f t="shared" si="535"/>
        <v>50863200</v>
      </c>
      <c r="H8680" s="362"/>
      <c r="I8680" s="362"/>
      <c r="J8680" s="362"/>
    </row>
    <row r="8681" spans="1:10" x14ac:dyDescent="0.25">
      <c r="A8681" s="532"/>
      <c r="B8681" s="532"/>
      <c r="C8681" s="532"/>
      <c r="D8681" s="564">
        <f>SUM(D8666:D8680)</f>
        <v>3443027627</v>
      </c>
      <c r="E8681" s="564">
        <f t="shared" ref="E8681:G8681" si="539">SUM(E8666:E8680)</f>
        <v>0</v>
      </c>
      <c r="F8681" s="564">
        <f t="shared" si="539"/>
        <v>0</v>
      </c>
      <c r="G8681" s="564">
        <f t="shared" si="539"/>
        <v>3443027627</v>
      </c>
      <c r="H8681" s="532"/>
      <c r="I8681" s="532"/>
      <c r="J8681" s="532"/>
    </row>
    <row r="8682" spans="1:10" x14ac:dyDescent="0.25">
      <c r="A8682" s="362"/>
      <c r="B8682" s="611">
        <v>44692</v>
      </c>
      <c r="C8682" s="362" t="s">
        <v>86</v>
      </c>
      <c r="D8682" s="562">
        <v>111003329</v>
      </c>
      <c r="E8682" s="562"/>
      <c r="F8682" s="562"/>
      <c r="G8682" s="562">
        <f t="shared" si="535"/>
        <v>111003329</v>
      </c>
      <c r="H8682" s="362"/>
      <c r="I8682" s="362"/>
      <c r="J8682" s="362"/>
    </row>
    <row r="8683" spans="1:10" x14ac:dyDescent="0.25">
      <c r="A8683" s="362"/>
      <c r="B8683" s="611">
        <v>44692</v>
      </c>
      <c r="C8683" s="362" t="s">
        <v>87</v>
      </c>
      <c r="D8683" s="562">
        <v>381576672</v>
      </c>
      <c r="E8683" s="562"/>
      <c r="F8683" s="562"/>
      <c r="G8683" s="562">
        <f t="shared" si="535"/>
        <v>381576672</v>
      </c>
      <c r="H8683" s="362"/>
      <c r="I8683" s="362"/>
      <c r="J8683" s="362"/>
    </row>
    <row r="8684" spans="1:10" x14ac:dyDescent="0.25">
      <c r="A8684" s="362"/>
      <c r="B8684" s="611">
        <v>44692</v>
      </c>
      <c r="C8684" s="362" t="s">
        <v>88</v>
      </c>
      <c r="D8684" s="562">
        <v>372315188</v>
      </c>
      <c r="E8684" s="562"/>
      <c r="F8684" s="562"/>
      <c r="G8684" s="562">
        <f t="shared" ref="G8684:G8747" si="540">D8684+E8684-F8684</f>
        <v>372315188</v>
      </c>
      <c r="H8684" s="362"/>
      <c r="I8684" s="362"/>
      <c r="J8684" s="362"/>
    </row>
    <row r="8685" spans="1:10" x14ac:dyDescent="0.25">
      <c r="A8685" s="362"/>
      <c r="B8685" s="611">
        <v>44692</v>
      </c>
      <c r="C8685" s="362" t="s">
        <v>82</v>
      </c>
      <c r="D8685" s="562">
        <v>204000240</v>
      </c>
      <c r="E8685" s="562"/>
      <c r="F8685" s="562"/>
      <c r="G8685" s="562">
        <f t="shared" si="540"/>
        <v>204000240</v>
      </c>
      <c r="H8685" s="362"/>
      <c r="I8685" s="362"/>
      <c r="J8685" s="362"/>
    </row>
    <row r="8686" spans="1:10" x14ac:dyDescent="0.25">
      <c r="A8686" s="362"/>
      <c r="B8686" s="611">
        <v>44692</v>
      </c>
      <c r="C8686" s="362" t="s">
        <v>80</v>
      </c>
      <c r="D8686" s="562">
        <v>508055326</v>
      </c>
      <c r="E8686" s="562"/>
      <c r="F8686" s="562"/>
      <c r="G8686" s="562">
        <f t="shared" si="540"/>
        <v>508055326</v>
      </c>
      <c r="H8686" s="362"/>
      <c r="I8686" s="362"/>
      <c r="J8686" s="362"/>
    </row>
    <row r="8687" spans="1:10" x14ac:dyDescent="0.25">
      <c r="A8687" s="362"/>
      <c r="B8687" s="611">
        <v>44692</v>
      </c>
      <c r="C8687" s="362" t="s">
        <v>83</v>
      </c>
      <c r="D8687" s="562">
        <v>281054661</v>
      </c>
      <c r="E8687" s="562"/>
      <c r="F8687" s="562"/>
      <c r="G8687" s="562">
        <f t="shared" si="540"/>
        <v>281054661</v>
      </c>
      <c r="H8687" s="362"/>
      <c r="I8687" s="362"/>
      <c r="J8687" s="362"/>
    </row>
    <row r="8688" spans="1:10" x14ac:dyDescent="0.25">
      <c r="A8688" s="362"/>
      <c r="B8688" s="611">
        <v>44692</v>
      </c>
      <c r="C8688" s="362" t="s">
        <v>78</v>
      </c>
      <c r="D8688" s="562">
        <v>241507452</v>
      </c>
      <c r="E8688" s="562"/>
      <c r="F8688" s="562"/>
      <c r="G8688" s="562">
        <f t="shared" si="540"/>
        <v>241507452</v>
      </c>
      <c r="H8688" s="362"/>
      <c r="I8688" s="362"/>
      <c r="J8688" s="362"/>
    </row>
    <row r="8689" spans="1:10" x14ac:dyDescent="0.25">
      <c r="A8689" s="362"/>
      <c r="B8689" s="611">
        <v>44692</v>
      </c>
      <c r="C8689" s="362" t="s">
        <v>141</v>
      </c>
      <c r="D8689" s="562">
        <v>281093907</v>
      </c>
      <c r="E8689" s="562"/>
      <c r="F8689" s="562"/>
      <c r="G8689" s="562">
        <f t="shared" si="540"/>
        <v>281093907</v>
      </c>
      <c r="H8689" s="362"/>
      <c r="I8689" s="362"/>
      <c r="J8689" s="362"/>
    </row>
    <row r="8690" spans="1:10" x14ac:dyDescent="0.25">
      <c r="A8690" s="362"/>
      <c r="B8690" s="611">
        <v>44692</v>
      </c>
      <c r="C8690" s="362" t="s">
        <v>89</v>
      </c>
      <c r="D8690" s="562">
        <v>124691600</v>
      </c>
      <c r="E8690" s="562"/>
      <c r="F8690" s="562"/>
      <c r="G8690" s="562">
        <f t="shared" si="540"/>
        <v>124691600</v>
      </c>
      <c r="H8690" s="362"/>
      <c r="I8690" s="362"/>
      <c r="J8690" s="362"/>
    </row>
    <row r="8691" spans="1:10" x14ac:dyDescent="0.25">
      <c r="A8691" s="362"/>
      <c r="B8691" s="611">
        <v>44692</v>
      </c>
      <c r="C8691" s="362" t="s">
        <v>81</v>
      </c>
      <c r="D8691" s="562">
        <v>225514353</v>
      </c>
      <c r="E8691" s="562"/>
      <c r="F8691" s="562"/>
      <c r="G8691" s="562">
        <f t="shared" si="540"/>
        <v>225514353</v>
      </c>
      <c r="H8691" s="362"/>
      <c r="I8691" s="362"/>
      <c r="J8691" s="362"/>
    </row>
    <row r="8692" spans="1:10" x14ac:dyDescent="0.25">
      <c r="A8692" s="362"/>
      <c r="B8692" s="611">
        <v>44692</v>
      </c>
      <c r="C8692" s="362" t="s">
        <v>84</v>
      </c>
      <c r="D8692" s="562">
        <v>394730712</v>
      </c>
      <c r="E8692" s="562"/>
      <c r="F8692" s="562"/>
      <c r="G8692" s="562">
        <f t="shared" si="540"/>
        <v>394730712</v>
      </c>
      <c r="H8692" s="362"/>
      <c r="I8692" s="362"/>
      <c r="J8692" s="362"/>
    </row>
    <row r="8693" spans="1:10" x14ac:dyDescent="0.25">
      <c r="A8693" s="362"/>
      <c r="B8693" s="611">
        <v>44692</v>
      </c>
      <c r="C8693" s="362" t="s">
        <v>4751</v>
      </c>
      <c r="D8693" s="562">
        <v>309543800</v>
      </c>
      <c r="E8693" s="562"/>
      <c r="F8693" s="562"/>
      <c r="G8693" s="562">
        <f t="shared" si="540"/>
        <v>309543800</v>
      </c>
      <c r="H8693" s="362"/>
      <c r="I8693" s="362"/>
      <c r="J8693" s="362"/>
    </row>
    <row r="8694" spans="1:10" x14ac:dyDescent="0.25">
      <c r="A8694" s="362"/>
      <c r="B8694" s="611">
        <v>44692</v>
      </c>
      <c r="C8694" s="362" t="s">
        <v>166</v>
      </c>
      <c r="D8694" s="562">
        <v>95047476</v>
      </c>
      <c r="E8694" s="562"/>
      <c r="F8694" s="562"/>
      <c r="G8694" s="562">
        <f t="shared" si="540"/>
        <v>95047476</v>
      </c>
      <c r="H8694" s="362"/>
      <c r="I8694" s="362"/>
      <c r="J8694" s="362"/>
    </row>
    <row r="8695" spans="1:10" x14ac:dyDescent="0.25">
      <c r="A8695" s="362"/>
      <c r="B8695" s="611">
        <v>44692</v>
      </c>
      <c r="C8695" s="362" t="s">
        <v>3435</v>
      </c>
      <c r="D8695" s="562">
        <v>111749426</v>
      </c>
      <c r="E8695" s="562"/>
      <c r="F8695" s="562"/>
      <c r="G8695" s="562">
        <f t="shared" si="540"/>
        <v>111749426</v>
      </c>
      <c r="H8695" s="362"/>
      <c r="I8695" s="362"/>
      <c r="J8695" s="362"/>
    </row>
    <row r="8696" spans="1:10" x14ac:dyDescent="0.25">
      <c r="A8696" s="362"/>
      <c r="B8696" s="611">
        <v>44692</v>
      </c>
      <c r="C8696" s="370" t="s">
        <v>85</v>
      </c>
      <c r="D8696" s="562">
        <v>46363200</v>
      </c>
      <c r="E8696" s="562"/>
      <c r="F8696" s="562"/>
      <c r="G8696" s="562">
        <f t="shared" si="540"/>
        <v>46363200</v>
      </c>
      <c r="H8696" s="362"/>
      <c r="I8696" s="362"/>
      <c r="J8696" s="362"/>
    </row>
    <row r="8697" spans="1:10" x14ac:dyDescent="0.25">
      <c r="A8697" s="532"/>
      <c r="B8697" s="532"/>
      <c r="C8697" s="532"/>
      <c r="D8697" s="564">
        <f>SUM(D8682:D8696)</f>
        <v>3688247342</v>
      </c>
      <c r="E8697" s="564">
        <f t="shared" ref="E8697:G8697" si="541">SUM(E8682:E8696)</f>
        <v>0</v>
      </c>
      <c r="F8697" s="564">
        <f t="shared" si="541"/>
        <v>0</v>
      </c>
      <c r="G8697" s="564">
        <f t="shared" si="541"/>
        <v>3688247342</v>
      </c>
      <c r="H8697" s="532"/>
      <c r="I8697" s="532"/>
      <c r="J8697" s="532"/>
    </row>
    <row r="8698" spans="1:10" x14ac:dyDescent="0.25">
      <c r="A8698" s="362"/>
      <c r="B8698" s="611">
        <v>44693</v>
      </c>
      <c r="C8698" s="362" t="s">
        <v>86</v>
      </c>
      <c r="D8698" s="562">
        <v>288830296</v>
      </c>
      <c r="E8698" s="562"/>
      <c r="F8698" s="562"/>
      <c r="G8698" s="562">
        <f t="shared" si="540"/>
        <v>288830296</v>
      </c>
      <c r="H8698" s="362"/>
      <c r="I8698" s="362"/>
      <c r="J8698" s="362"/>
    </row>
    <row r="8699" spans="1:10" x14ac:dyDescent="0.25">
      <c r="A8699" s="362"/>
      <c r="B8699" s="611">
        <v>44693</v>
      </c>
      <c r="C8699" s="362" t="s">
        <v>87</v>
      </c>
      <c r="D8699" s="562">
        <v>378797987</v>
      </c>
      <c r="E8699" s="562"/>
      <c r="F8699" s="562"/>
      <c r="G8699" s="562">
        <f t="shared" si="540"/>
        <v>378797987</v>
      </c>
      <c r="H8699" s="362"/>
      <c r="I8699" s="362"/>
      <c r="J8699" s="362"/>
    </row>
    <row r="8700" spans="1:10" x14ac:dyDescent="0.25">
      <c r="A8700" s="362"/>
      <c r="B8700" s="611">
        <v>44693</v>
      </c>
      <c r="C8700" s="362" t="s">
        <v>88</v>
      </c>
      <c r="D8700" s="562">
        <v>186951698</v>
      </c>
      <c r="E8700" s="562"/>
      <c r="F8700" s="562"/>
      <c r="G8700" s="562">
        <f t="shared" si="540"/>
        <v>186951698</v>
      </c>
      <c r="H8700" s="362"/>
      <c r="I8700" s="362"/>
      <c r="J8700" s="362"/>
    </row>
    <row r="8701" spans="1:10" x14ac:dyDescent="0.25">
      <c r="A8701" s="362"/>
      <c r="B8701" s="611">
        <v>44693</v>
      </c>
      <c r="C8701" s="362" t="s">
        <v>82</v>
      </c>
      <c r="D8701" s="562">
        <v>213067262</v>
      </c>
      <c r="E8701" s="562"/>
      <c r="F8701" s="562"/>
      <c r="G8701" s="562">
        <f t="shared" si="540"/>
        <v>213067262</v>
      </c>
      <c r="H8701" s="362"/>
      <c r="I8701" s="362"/>
      <c r="J8701" s="362"/>
    </row>
    <row r="8702" spans="1:10" x14ac:dyDescent="0.25">
      <c r="A8702" s="362"/>
      <c r="B8702" s="611">
        <v>44693</v>
      </c>
      <c r="C8702" s="362" t="s">
        <v>80</v>
      </c>
      <c r="D8702" s="562">
        <v>282531600</v>
      </c>
      <c r="E8702" s="562"/>
      <c r="F8702" s="562"/>
      <c r="G8702" s="562">
        <f t="shared" si="540"/>
        <v>282531600</v>
      </c>
      <c r="H8702" s="362"/>
      <c r="I8702" s="362"/>
      <c r="J8702" s="362"/>
    </row>
    <row r="8703" spans="1:10" x14ac:dyDescent="0.25">
      <c r="A8703" s="362"/>
      <c r="B8703" s="611">
        <v>44693</v>
      </c>
      <c r="C8703" s="362" t="s">
        <v>83</v>
      </c>
      <c r="D8703" s="562">
        <v>388797000</v>
      </c>
      <c r="E8703" s="562"/>
      <c r="F8703" s="562"/>
      <c r="G8703" s="562">
        <f t="shared" si="540"/>
        <v>388797000</v>
      </c>
      <c r="H8703" s="362"/>
      <c r="I8703" s="362"/>
      <c r="J8703" s="362"/>
    </row>
    <row r="8704" spans="1:10" x14ac:dyDescent="0.25">
      <c r="A8704" s="362"/>
      <c r="B8704" s="611">
        <v>44693</v>
      </c>
      <c r="C8704" s="362" t="s">
        <v>78</v>
      </c>
      <c r="D8704" s="562">
        <v>134844352</v>
      </c>
      <c r="E8704" s="562"/>
      <c r="F8704" s="562"/>
      <c r="G8704" s="562">
        <f t="shared" si="540"/>
        <v>134844352</v>
      </c>
      <c r="H8704" s="362"/>
      <c r="I8704" s="362"/>
      <c r="J8704" s="362"/>
    </row>
    <row r="8705" spans="1:10" x14ac:dyDescent="0.25">
      <c r="A8705" s="362"/>
      <c r="B8705" s="611">
        <v>44693</v>
      </c>
      <c r="C8705" s="362" t="s">
        <v>141</v>
      </c>
      <c r="D8705" s="562">
        <v>95524737</v>
      </c>
      <c r="E8705" s="562"/>
      <c r="F8705" s="562"/>
      <c r="G8705" s="562">
        <f t="shared" si="540"/>
        <v>95524737</v>
      </c>
      <c r="H8705" s="362"/>
      <c r="I8705" s="362"/>
      <c r="J8705" s="362"/>
    </row>
    <row r="8706" spans="1:10" x14ac:dyDescent="0.25">
      <c r="A8706" s="362"/>
      <c r="B8706" s="611">
        <v>44693</v>
      </c>
      <c r="C8706" s="362" t="s">
        <v>89</v>
      </c>
      <c r="D8706" s="562">
        <v>107527900</v>
      </c>
      <c r="E8706" s="562"/>
      <c r="F8706" s="562"/>
      <c r="G8706" s="562">
        <f t="shared" si="540"/>
        <v>107527900</v>
      </c>
      <c r="H8706" s="362"/>
      <c r="I8706" s="362"/>
      <c r="J8706" s="362"/>
    </row>
    <row r="8707" spans="1:10" x14ac:dyDescent="0.25">
      <c r="A8707" s="362"/>
      <c r="B8707" s="611">
        <v>44693</v>
      </c>
      <c r="C8707" s="362" t="s">
        <v>81</v>
      </c>
      <c r="D8707" s="562">
        <v>174587035</v>
      </c>
      <c r="E8707" s="562"/>
      <c r="F8707" s="562"/>
      <c r="G8707" s="562">
        <f t="shared" si="540"/>
        <v>174587035</v>
      </c>
      <c r="H8707" s="362"/>
      <c r="I8707" s="362"/>
      <c r="J8707" s="362"/>
    </row>
    <row r="8708" spans="1:10" x14ac:dyDescent="0.25">
      <c r="A8708" s="362"/>
      <c r="B8708" s="611">
        <v>44693</v>
      </c>
      <c r="C8708" s="362" t="s">
        <v>84</v>
      </c>
      <c r="D8708" s="562">
        <v>282688634</v>
      </c>
      <c r="E8708" s="562"/>
      <c r="F8708" s="562"/>
      <c r="G8708" s="562">
        <f t="shared" si="540"/>
        <v>282688634</v>
      </c>
      <c r="H8708" s="362"/>
      <c r="I8708" s="362"/>
      <c r="J8708" s="362"/>
    </row>
    <row r="8709" spans="1:10" x14ac:dyDescent="0.25">
      <c r="A8709" s="362"/>
      <c r="B8709" s="611">
        <v>44693</v>
      </c>
      <c r="C8709" s="362" t="s">
        <v>4751</v>
      </c>
      <c r="D8709" s="562">
        <v>202689500</v>
      </c>
      <c r="E8709" s="562"/>
      <c r="F8709" s="562"/>
      <c r="G8709" s="562">
        <f t="shared" si="540"/>
        <v>202689500</v>
      </c>
      <c r="H8709" s="362"/>
      <c r="I8709" s="362"/>
      <c r="J8709" s="362"/>
    </row>
    <row r="8710" spans="1:10" x14ac:dyDescent="0.25">
      <c r="A8710" s="362"/>
      <c r="B8710" s="611">
        <v>44693</v>
      </c>
      <c r="C8710" s="362" t="s">
        <v>166</v>
      </c>
      <c r="D8710" s="562">
        <v>106255351</v>
      </c>
      <c r="E8710" s="562"/>
      <c r="F8710" s="562"/>
      <c r="G8710" s="562">
        <f t="shared" si="540"/>
        <v>106255351</v>
      </c>
      <c r="H8710" s="362"/>
      <c r="I8710" s="362"/>
      <c r="J8710" s="362"/>
    </row>
    <row r="8711" spans="1:10" x14ac:dyDescent="0.25">
      <c r="A8711" s="362"/>
      <c r="B8711" s="611">
        <v>44693</v>
      </c>
      <c r="C8711" s="362" t="s">
        <v>3435</v>
      </c>
      <c r="D8711" s="562">
        <v>68631212</v>
      </c>
      <c r="E8711" s="562"/>
      <c r="F8711" s="562"/>
      <c r="G8711" s="562">
        <f t="shared" si="540"/>
        <v>68631212</v>
      </c>
      <c r="H8711" s="362"/>
      <c r="I8711" s="362"/>
      <c r="J8711" s="362"/>
    </row>
    <row r="8712" spans="1:10" x14ac:dyDescent="0.25">
      <c r="A8712" s="362"/>
      <c r="B8712" s="611">
        <v>44693</v>
      </c>
      <c r="C8712" s="370" t="s">
        <v>85</v>
      </c>
      <c r="D8712" s="562">
        <v>16180500</v>
      </c>
      <c r="E8712" s="562"/>
      <c r="F8712" s="562"/>
      <c r="G8712" s="562">
        <f t="shared" si="540"/>
        <v>16180500</v>
      </c>
      <c r="H8712" s="362"/>
      <c r="I8712" s="362"/>
      <c r="J8712" s="362"/>
    </row>
    <row r="8713" spans="1:10" x14ac:dyDescent="0.25">
      <c r="A8713" s="532"/>
      <c r="B8713" s="532"/>
      <c r="C8713" s="532"/>
      <c r="D8713" s="564">
        <f>SUM(D8698:D8712)</f>
        <v>2927905064</v>
      </c>
      <c r="E8713" s="564">
        <f t="shared" ref="E8713:G8713" si="542">SUM(E8698:E8712)</f>
        <v>0</v>
      </c>
      <c r="F8713" s="564">
        <f t="shared" si="542"/>
        <v>0</v>
      </c>
      <c r="G8713" s="564">
        <f t="shared" si="542"/>
        <v>2927905064</v>
      </c>
      <c r="H8713" s="532"/>
      <c r="I8713" s="532"/>
      <c r="J8713" s="532"/>
    </row>
    <row r="8714" spans="1:10" x14ac:dyDescent="0.25">
      <c r="A8714" s="362"/>
      <c r="B8714" s="611">
        <v>44694</v>
      </c>
      <c r="C8714" s="362" t="s">
        <v>86</v>
      </c>
      <c r="D8714" s="562">
        <v>105494738</v>
      </c>
      <c r="E8714" s="562"/>
      <c r="F8714" s="562"/>
      <c r="G8714" s="562">
        <f t="shared" si="540"/>
        <v>105494738</v>
      </c>
      <c r="H8714" s="362"/>
      <c r="I8714" s="362"/>
      <c r="J8714" s="362"/>
    </row>
    <row r="8715" spans="1:10" x14ac:dyDescent="0.25">
      <c r="A8715" s="362"/>
      <c r="B8715" s="611">
        <v>44694</v>
      </c>
      <c r="C8715" s="362" t="s">
        <v>87</v>
      </c>
      <c r="D8715" s="562">
        <v>592368647</v>
      </c>
      <c r="E8715" s="562"/>
      <c r="F8715" s="562"/>
      <c r="G8715" s="562">
        <f t="shared" si="540"/>
        <v>592368647</v>
      </c>
      <c r="H8715" s="362"/>
      <c r="I8715" s="362"/>
      <c r="J8715" s="362"/>
    </row>
    <row r="8716" spans="1:10" x14ac:dyDescent="0.25">
      <c r="A8716" s="362"/>
      <c r="B8716" s="611">
        <v>44694</v>
      </c>
      <c r="C8716" s="362" t="s">
        <v>88</v>
      </c>
      <c r="D8716" s="562">
        <v>312747615</v>
      </c>
      <c r="E8716" s="562"/>
      <c r="F8716" s="562"/>
      <c r="G8716" s="562">
        <f t="shared" si="540"/>
        <v>312747615</v>
      </c>
      <c r="H8716" s="362"/>
      <c r="I8716" s="362"/>
      <c r="J8716" s="362"/>
    </row>
    <row r="8717" spans="1:10" x14ac:dyDescent="0.25">
      <c r="A8717" s="362"/>
      <c r="B8717" s="611">
        <v>44694</v>
      </c>
      <c r="C8717" s="362" t="s">
        <v>82</v>
      </c>
      <c r="D8717" s="562">
        <v>119594778</v>
      </c>
      <c r="E8717" s="562"/>
      <c r="F8717" s="562"/>
      <c r="G8717" s="562">
        <f t="shared" si="540"/>
        <v>119594778</v>
      </c>
      <c r="H8717" s="362"/>
      <c r="I8717" s="362"/>
      <c r="J8717" s="362"/>
    </row>
    <row r="8718" spans="1:10" x14ac:dyDescent="0.25">
      <c r="A8718" s="362"/>
      <c r="B8718" s="611">
        <v>44694</v>
      </c>
      <c r="C8718" s="362" t="s">
        <v>80</v>
      </c>
      <c r="D8718" s="562">
        <v>282198376</v>
      </c>
      <c r="E8718" s="562"/>
      <c r="F8718" s="562"/>
      <c r="G8718" s="562">
        <f t="shared" si="540"/>
        <v>282198376</v>
      </c>
      <c r="H8718" s="362"/>
      <c r="I8718" s="362"/>
      <c r="J8718" s="362"/>
    </row>
    <row r="8719" spans="1:10" x14ac:dyDescent="0.25">
      <c r="A8719" s="362"/>
      <c r="B8719" s="611">
        <v>44694</v>
      </c>
      <c r="C8719" s="362" t="s">
        <v>83</v>
      </c>
      <c r="D8719" s="562">
        <v>346552039</v>
      </c>
      <c r="E8719" s="562"/>
      <c r="F8719" s="562"/>
      <c r="G8719" s="562">
        <f t="shared" si="540"/>
        <v>346552039</v>
      </c>
      <c r="H8719" s="362"/>
      <c r="I8719" s="362"/>
      <c r="J8719" s="362"/>
    </row>
    <row r="8720" spans="1:10" x14ac:dyDescent="0.25">
      <c r="A8720" s="362"/>
      <c r="B8720" s="611">
        <v>44694</v>
      </c>
      <c r="C8720" s="362" t="s">
        <v>78</v>
      </c>
      <c r="D8720" s="562">
        <v>117747641</v>
      </c>
      <c r="E8720" s="562"/>
      <c r="F8720" s="562"/>
      <c r="G8720" s="562">
        <f t="shared" si="540"/>
        <v>117747641</v>
      </c>
      <c r="H8720" s="362"/>
      <c r="I8720" s="362"/>
      <c r="J8720" s="362"/>
    </row>
    <row r="8721" spans="1:10" x14ac:dyDescent="0.25">
      <c r="A8721" s="362"/>
      <c r="B8721" s="611">
        <v>44694</v>
      </c>
      <c r="C8721" s="362" t="s">
        <v>141</v>
      </c>
      <c r="D8721" s="562">
        <v>89457077</v>
      </c>
      <c r="E8721" s="562"/>
      <c r="F8721" s="562"/>
      <c r="G8721" s="562">
        <f t="shared" si="540"/>
        <v>89457077</v>
      </c>
      <c r="H8721" s="362"/>
      <c r="I8721" s="362"/>
      <c r="J8721" s="362"/>
    </row>
    <row r="8722" spans="1:10" x14ac:dyDescent="0.25">
      <c r="A8722" s="362"/>
      <c r="B8722" s="611">
        <v>44694</v>
      </c>
      <c r="C8722" s="362" t="s">
        <v>89</v>
      </c>
      <c r="D8722" s="562">
        <v>293982800</v>
      </c>
      <c r="E8722" s="562"/>
      <c r="F8722" s="562"/>
      <c r="G8722" s="562">
        <f t="shared" si="540"/>
        <v>293982800</v>
      </c>
      <c r="H8722" s="362"/>
      <c r="I8722" s="362"/>
      <c r="J8722" s="362"/>
    </row>
    <row r="8723" spans="1:10" x14ac:dyDescent="0.25">
      <c r="A8723" s="362"/>
      <c r="B8723" s="611">
        <v>44694</v>
      </c>
      <c r="C8723" s="362" t="s">
        <v>81</v>
      </c>
      <c r="D8723" s="562">
        <v>325743219</v>
      </c>
      <c r="E8723" s="562"/>
      <c r="F8723" s="562"/>
      <c r="G8723" s="562">
        <f t="shared" si="540"/>
        <v>325743219</v>
      </c>
      <c r="H8723" s="362"/>
      <c r="I8723" s="362"/>
      <c r="J8723" s="362"/>
    </row>
    <row r="8724" spans="1:10" x14ac:dyDescent="0.25">
      <c r="A8724" s="362"/>
      <c r="B8724" s="611">
        <v>44694</v>
      </c>
      <c r="C8724" s="362" t="s">
        <v>84</v>
      </c>
      <c r="D8724" s="562">
        <v>346221509</v>
      </c>
      <c r="E8724" s="562"/>
      <c r="F8724" s="562"/>
      <c r="G8724" s="562">
        <f t="shared" si="540"/>
        <v>346221509</v>
      </c>
      <c r="H8724" s="362"/>
      <c r="I8724" s="362"/>
      <c r="J8724" s="362"/>
    </row>
    <row r="8725" spans="1:10" x14ac:dyDescent="0.25">
      <c r="A8725" s="362"/>
      <c r="B8725" s="611">
        <v>44694</v>
      </c>
      <c r="C8725" s="362" t="s">
        <v>4751</v>
      </c>
      <c r="D8725" s="562">
        <v>172945500</v>
      </c>
      <c r="E8725" s="562"/>
      <c r="F8725" s="562"/>
      <c r="G8725" s="562">
        <f t="shared" si="540"/>
        <v>172945500</v>
      </c>
      <c r="H8725" s="362"/>
      <c r="I8725" s="362"/>
      <c r="J8725" s="362"/>
    </row>
    <row r="8726" spans="1:10" x14ac:dyDescent="0.25">
      <c r="A8726" s="362"/>
      <c r="B8726" s="611">
        <v>44694</v>
      </c>
      <c r="C8726" s="362" t="s">
        <v>166</v>
      </c>
      <c r="D8726" s="562">
        <v>41612267</v>
      </c>
      <c r="E8726" s="562"/>
      <c r="F8726" s="562"/>
      <c r="G8726" s="562">
        <f t="shared" si="540"/>
        <v>41612267</v>
      </c>
      <c r="H8726" s="362"/>
      <c r="I8726" s="362"/>
      <c r="J8726" s="362"/>
    </row>
    <row r="8727" spans="1:10" x14ac:dyDescent="0.25">
      <c r="A8727" s="362"/>
      <c r="B8727" s="611">
        <v>44694</v>
      </c>
      <c r="C8727" s="362" t="s">
        <v>3435</v>
      </c>
      <c r="D8727" s="562">
        <v>180201980</v>
      </c>
      <c r="E8727" s="562"/>
      <c r="F8727" s="562"/>
      <c r="G8727" s="562">
        <f t="shared" si="540"/>
        <v>180201980</v>
      </c>
      <c r="H8727" s="362"/>
      <c r="I8727" s="362"/>
      <c r="J8727" s="362"/>
    </row>
    <row r="8728" spans="1:10" x14ac:dyDescent="0.25">
      <c r="A8728" s="362"/>
      <c r="B8728" s="611">
        <v>44694</v>
      </c>
      <c r="C8728" s="370" t="s">
        <v>85</v>
      </c>
      <c r="D8728" s="562">
        <v>10106600</v>
      </c>
      <c r="E8728" s="562"/>
      <c r="F8728" s="562"/>
      <c r="G8728" s="562">
        <f t="shared" si="540"/>
        <v>10106600</v>
      </c>
      <c r="H8728" s="362"/>
      <c r="I8728" s="362"/>
      <c r="J8728" s="362"/>
    </row>
    <row r="8729" spans="1:10" x14ac:dyDescent="0.25">
      <c r="A8729" s="532"/>
      <c r="B8729" s="532"/>
      <c r="C8729" s="532"/>
      <c r="D8729" s="564">
        <f>SUM(D8714:D8728)</f>
        <v>3336974786</v>
      </c>
      <c r="E8729" s="564">
        <f t="shared" ref="E8729:G8729" si="543">SUM(E8714:E8728)</f>
        <v>0</v>
      </c>
      <c r="F8729" s="564">
        <f t="shared" si="543"/>
        <v>0</v>
      </c>
      <c r="G8729" s="564">
        <f t="shared" si="543"/>
        <v>3336974786</v>
      </c>
      <c r="H8729" s="532"/>
      <c r="I8729" s="532"/>
      <c r="J8729" s="532"/>
    </row>
    <row r="8730" spans="1:10" x14ac:dyDescent="0.25">
      <c r="A8730" s="362"/>
      <c r="B8730" s="611">
        <v>44695</v>
      </c>
      <c r="C8730" s="362" t="s">
        <v>86</v>
      </c>
      <c r="D8730" s="562">
        <v>108301310</v>
      </c>
      <c r="E8730" s="562"/>
      <c r="F8730" s="562"/>
      <c r="G8730" s="562">
        <f t="shared" si="540"/>
        <v>108301310</v>
      </c>
      <c r="H8730" s="362"/>
      <c r="I8730" s="362"/>
      <c r="J8730" s="362"/>
    </row>
    <row r="8731" spans="1:10" x14ac:dyDescent="0.25">
      <c r="A8731" s="362"/>
      <c r="B8731" s="611">
        <v>44695</v>
      </c>
      <c r="C8731" s="362" t="s">
        <v>87</v>
      </c>
      <c r="D8731" s="562">
        <v>311491748</v>
      </c>
      <c r="E8731" s="562"/>
      <c r="F8731" s="562"/>
      <c r="G8731" s="562">
        <f t="shared" si="540"/>
        <v>311491748</v>
      </c>
      <c r="H8731" s="362"/>
      <c r="I8731" s="362"/>
      <c r="J8731" s="362"/>
    </row>
    <row r="8732" spans="1:10" x14ac:dyDescent="0.25">
      <c r="A8732" s="362"/>
      <c r="B8732" s="611">
        <v>44695</v>
      </c>
      <c r="C8732" s="362" t="s">
        <v>88</v>
      </c>
      <c r="D8732" s="562">
        <v>511023639</v>
      </c>
      <c r="E8732" s="562"/>
      <c r="F8732" s="562"/>
      <c r="G8732" s="562">
        <f t="shared" si="540"/>
        <v>511023639</v>
      </c>
      <c r="H8732" s="362"/>
      <c r="I8732" s="362"/>
      <c r="J8732" s="362"/>
    </row>
    <row r="8733" spans="1:10" x14ac:dyDescent="0.25">
      <c r="A8733" s="362"/>
      <c r="B8733" s="611">
        <v>44695</v>
      </c>
      <c r="C8733" s="362" t="s">
        <v>82</v>
      </c>
      <c r="D8733" s="562">
        <v>159889057</v>
      </c>
      <c r="E8733" s="562"/>
      <c r="F8733" s="562"/>
      <c r="G8733" s="562">
        <f t="shared" si="540"/>
        <v>159889057</v>
      </c>
      <c r="H8733" s="362"/>
      <c r="I8733" s="362"/>
      <c r="J8733" s="362"/>
    </row>
    <row r="8734" spans="1:10" x14ac:dyDescent="0.25">
      <c r="A8734" s="362"/>
      <c r="B8734" s="611">
        <v>44695</v>
      </c>
      <c r="C8734" s="362" t="s">
        <v>80</v>
      </c>
      <c r="D8734" s="562">
        <v>586671200</v>
      </c>
      <c r="E8734" s="562"/>
      <c r="F8734" s="562"/>
      <c r="G8734" s="562">
        <f t="shared" si="540"/>
        <v>586671200</v>
      </c>
      <c r="H8734" s="362"/>
      <c r="I8734" s="362"/>
      <c r="J8734" s="362"/>
    </row>
    <row r="8735" spans="1:10" x14ac:dyDescent="0.25">
      <c r="A8735" s="362"/>
      <c r="B8735" s="611">
        <v>44695</v>
      </c>
      <c r="C8735" s="362" t="s">
        <v>83</v>
      </c>
      <c r="D8735" s="562">
        <v>415373327</v>
      </c>
      <c r="E8735" s="562"/>
      <c r="F8735" s="562"/>
      <c r="G8735" s="562">
        <f t="shared" si="540"/>
        <v>415373327</v>
      </c>
      <c r="H8735" s="362"/>
      <c r="I8735" s="362"/>
      <c r="J8735" s="362"/>
    </row>
    <row r="8736" spans="1:10" x14ac:dyDescent="0.25">
      <c r="A8736" s="362"/>
      <c r="B8736" s="611">
        <v>44695</v>
      </c>
      <c r="C8736" s="362" t="s">
        <v>78</v>
      </c>
      <c r="D8736" s="562">
        <v>203667539</v>
      </c>
      <c r="E8736" s="562"/>
      <c r="F8736" s="562"/>
      <c r="G8736" s="562">
        <f t="shared" si="540"/>
        <v>203667539</v>
      </c>
      <c r="H8736" s="362"/>
      <c r="I8736" s="362"/>
      <c r="J8736" s="362"/>
    </row>
    <row r="8737" spans="1:10" x14ac:dyDescent="0.25">
      <c r="A8737" s="362"/>
      <c r="B8737" s="611">
        <v>44695</v>
      </c>
      <c r="C8737" s="362" t="s">
        <v>141</v>
      </c>
      <c r="D8737" s="562">
        <v>73745910</v>
      </c>
      <c r="E8737" s="562"/>
      <c r="F8737" s="562"/>
      <c r="G8737" s="562">
        <f t="shared" si="540"/>
        <v>73745910</v>
      </c>
      <c r="H8737" s="362"/>
      <c r="I8737" s="362"/>
      <c r="J8737" s="362"/>
    </row>
    <row r="8738" spans="1:10" x14ac:dyDescent="0.25">
      <c r="A8738" s="362"/>
      <c r="B8738" s="611">
        <v>44695</v>
      </c>
      <c r="C8738" s="362" t="s">
        <v>89</v>
      </c>
      <c r="D8738" s="562">
        <v>157922700</v>
      </c>
      <c r="E8738" s="562"/>
      <c r="F8738" s="562"/>
      <c r="G8738" s="562">
        <f t="shared" si="540"/>
        <v>157922700</v>
      </c>
      <c r="H8738" s="362"/>
      <c r="I8738" s="362"/>
      <c r="J8738" s="362"/>
    </row>
    <row r="8739" spans="1:10" x14ac:dyDescent="0.25">
      <c r="A8739" s="362"/>
      <c r="B8739" s="611">
        <v>44695</v>
      </c>
      <c r="C8739" s="362" t="s">
        <v>81</v>
      </c>
      <c r="D8739" s="562">
        <v>244599059</v>
      </c>
      <c r="E8739" s="562"/>
      <c r="F8739" s="562"/>
      <c r="G8739" s="562">
        <f t="shared" si="540"/>
        <v>244599059</v>
      </c>
      <c r="H8739" s="362"/>
      <c r="I8739" s="362"/>
      <c r="J8739" s="362"/>
    </row>
    <row r="8740" spans="1:10" x14ac:dyDescent="0.25">
      <c r="A8740" s="362"/>
      <c r="B8740" s="611">
        <v>44695</v>
      </c>
      <c r="C8740" s="362" t="s">
        <v>84</v>
      </c>
      <c r="D8740" s="562">
        <v>335779090</v>
      </c>
      <c r="E8740" s="562"/>
      <c r="F8740" s="562"/>
      <c r="G8740" s="562">
        <f t="shared" si="540"/>
        <v>335779090</v>
      </c>
      <c r="H8740" s="362"/>
      <c r="I8740" s="362"/>
      <c r="J8740" s="362"/>
    </row>
    <row r="8741" spans="1:10" x14ac:dyDescent="0.25">
      <c r="A8741" s="362"/>
      <c r="B8741" s="611">
        <v>44695</v>
      </c>
      <c r="C8741" s="362" t="s">
        <v>4751</v>
      </c>
      <c r="D8741" s="562">
        <v>357365200</v>
      </c>
      <c r="E8741" s="562"/>
      <c r="F8741" s="562"/>
      <c r="G8741" s="562">
        <f t="shared" si="540"/>
        <v>357365200</v>
      </c>
      <c r="H8741" s="362"/>
      <c r="I8741" s="362"/>
      <c r="J8741" s="362"/>
    </row>
    <row r="8742" spans="1:10" x14ac:dyDescent="0.25">
      <c r="A8742" s="362"/>
      <c r="B8742" s="611">
        <v>44695</v>
      </c>
      <c r="C8742" s="362" t="s">
        <v>166</v>
      </c>
      <c r="D8742" s="562"/>
      <c r="E8742" s="562"/>
      <c r="F8742" s="562"/>
      <c r="G8742" s="562">
        <f t="shared" si="540"/>
        <v>0</v>
      </c>
      <c r="H8742" s="362"/>
      <c r="I8742" s="362"/>
      <c r="J8742" s="362"/>
    </row>
    <row r="8743" spans="1:10" x14ac:dyDescent="0.25">
      <c r="A8743" s="362"/>
      <c r="B8743" s="611">
        <v>44695</v>
      </c>
      <c r="C8743" s="362" t="s">
        <v>3435</v>
      </c>
      <c r="D8743" s="562"/>
      <c r="E8743" s="562"/>
      <c r="F8743" s="562"/>
      <c r="G8743" s="562">
        <f t="shared" si="540"/>
        <v>0</v>
      </c>
      <c r="H8743" s="362"/>
      <c r="I8743" s="362"/>
      <c r="J8743" s="362"/>
    </row>
    <row r="8744" spans="1:10" x14ac:dyDescent="0.25">
      <c r="A8744" s="362"/>
      <c r="B8744" s="611">
        <v>44695</v>
      </c>
      <c r="C8744" s="370" t="s">
        <v>85</v>
      </c>
      <c r="D8744" s="562">
        <v>78692900</v>
      </c>
      <c r="E8744" s="562"/>
      <c r="F8744" s="562"/>
      <c r="G8744" s="562">
        <f t="shared" si="540"/>
        <v>78692900</v>
      </c>
      <c r="H8744" s="362"/>
      <c r="I8744" s="362"/>
      <c r="J8744" s="362"/>
    </row>
    <row r="8745" spans="1:10" x14ac:dyDescent="0.25">
      <c r="A8745" s="532"/>
      <c r="B8745" s="532"/>
      <c r="C8745" s="532"/>
      <c r="D8745" s="564">
        <f>SUM(D8730:D8744)</f>
        <v>3544522679</v>
      </c>
      <c r="E8745" s="564">
        <f t="shared" ref="E8745:G8745" si="544">SUM(E8730:E8744)</f>
        <v>0</v>
      </c>
      <c r="F8745" s="564">
        <f t="shared" si="544"/>
        <v>0</v>
      </c>
      <c r="G8745" s="564">
        <f t="shared" si="544"/>
        <v>3544522679</v>
      </c>
      <c r="H8745" s="532"/>
      <c r="I8745" s="532"/>
      <c r="J8745" s="532"/>
    </row>
    <row r="8746" spans="1:10" x14ac:dyDescent="0.25">
      <c r="A8746" s="362"/>
      <c r="B8746" s="611">
        <v>44697</v>
      </c>
      <c r="C8746" s="362" t="s">
        <v>86</v>
      </c>
      <c r="D8746" s="562"/>
      <c r="E8746" s="562"/>
      <c r="F8746" s="562"/>
      <c r="G8746" s="562">
        <f t="shared" si="540"/>
        <v>0</v>
      </c>
      <c r="H8746" s="362"/>
      <c r="I8746" s="362"/>
      <c r="J8746" s="362"/>
    </row>
    <row r="8747" spans="1:10" x14ac:dyDescent="0.25">
      <c r="A8747" s="362"/>
      <c r="B8747" s="611">
        <v>44697</v>
      </c>
      <c r="C8747" s="362" t="s">
        <v>87</v>
      </c>
      <c r="D8747" s="562"/>
      <c r="E8747" s="562"/>
      <c r="F8747" s="562"/>
      <c r="G8747" s="562">
        <f t="shared" si="540"/>
        <v>0</v>
      </c>
      <c r="H8747" s="362"/>
      <c r="I8747" s="362"/>
      <c r="J8747" s="362"/>
    </row>
    <row r="8748" spans="1:10" x14ac:dyDescent="0.25">
      <c r="A8748" s="362"/>
      <c r="B8748" s="611">
        <v>44697</v>
      </c>
      <c r="C8748" s="362" t="s">
        <v>88</v>
      </c>
      <c r="D8748" s="562"/>
      <c r="E8748" s="562"/>
      <c r="F8748" s="562"/>
      <c r="G8748" s="562">
        <f t="shared" ref="G8748:G8760" si="545">D8748+E8748-F8748</f>
        <v>0</v>
      </c>
      <c r="H8748" s="362"/>
      <c r="I8748" s="362"/>
      <c r="J8748" s="362"/>
    </row>
    <row r="8749" spans="1:10" x14ac:dyDescent="0.25">
      <c r="A8749" s="362"/>
      <c r="B8749" s="611">
        <v>44697</v>
      </c>
      <c r="C8749" s="362" t="s">
        <v>82</v>
      </c>
      <c r="D8749" s="562"/>
      <c r="E8749" s="562"/>
      <c r="F8749" s="562"/>
      <c r="G8749" s="562">
        <f t="shared" si="545"/>
        <v>0</v>
      </c>
      <c r="H8749" s="362"/>
      <c r="I8749" s="362"/>
      <c r="J8749" s="362"/>
    </row>
    <row r="8750" spans="1:10" x14ac:dyDescent="0.25">
      <c r="A8750" s="362"/>
      <c r="B8750" s="611">
        <v>44697</v>
      </c>
      <c r="C8750" s="362" t="s">
        <v>80</v>
      </c>
      <c r="D8750" s="562"/>
      <c r="E8750" s="562"/>
      <c r="F8750" s="562"/>
      <c r="G8750" s="562">
        <f t="shared" si="545"/>
        <v>0</v>
      </c>
      <c r="H8750" s="362"/>
      <c r="I8750" s="362"/>
      <c r="J8750" s="362"/>
    </row>
    <row r="8751" spans="1:10" x14ac:dyDescent="0.25">
      <c r="A8751" s="362"/>
      <c r="B8751" s="611">
        <v>44697</v>
      </c>
      <c r="C8751" s="362" t="s">
        <v>83</v>
      </c>
      <c r="D8751" s="562"/>
      <c r="E8751" s="562"/>
      <c r="F8751" s="562"/>
      <c r="G8751" s="562">
        <f t="shared" si="545"/>
        <v>0</v>
      </c>
      <c r="H8751" s="362"/>
      <c r="I8751" s="362"/>
      <c r="J8751" s="362"/>
    </row>
    <row r="8752" spans="1:10" x14ac:dyDescent="0.25">
      <c r="A8752" s="362"/>
      <c r="B8752" s="611">
        <v>44697</v>
      </c>
      <c r="C8752" s="362" t="s">
        <v>78</v>
      </c>
      <c r="D8752" s="562"/>
      <c r="E8752" s="562"/>
      <c r="F8752" s="562"/>
      <c r="G8752" s="562">
        <f t="shared" si="545"/>
        <v>0</v>
      </c>
      <c r="H8752" s="362"/>
      <c r="I8752" s="362"/>
      <c r="J8752" s="362"/>
    </row>
    <row r="8753" spans="1:10" x14ac:dyDescent="0.25">
      <c r="A8753" s="362"/>
      <c r="B8753" s="611">
        <v>44697</v>
      </c>
      <c r="C8753" s="362" t="s">
        <v>141</v>
      </c>
      <c r="D8753" s="562"/>
      <c r="E8753" s="562"/>
      <c r="F8753" s="562"/>
      <c r="G8753" s="562">
        <f t="shared" si="545"/>
        <v>0</v>
      </c>
      <c r="H8753" s="362"/>
      <c r="I8753" s="362"/>
      <c r="J8753" s="362"/>
    </row>
    <row r="8754" spans="1:10" x14ac:dyDescent="0.25">
      <c r="A8754" s="362"/>
      <c r="B8754" s="611">
        <v>44697</v>
      </c>
      <c r="C8754" s="362" t="s">
        <v>89</v>
      </c>
      <c r="D8754" s="562"/>
      <c r="E8754" s="562"/>
      <c r="F8754" s="562"/>
      <c r="G8754" s="562">
        <f t="shared" si="545"/>
        <v>0</v>
      </c>
      <c r="H8754" s="362"/>
      <c r="I8754" s="362"/>
      <c r="J8754" s="362"/>
    </row>
    <row r="8755" spans="1:10" x14ac:dyDescent="0.25">
      <c r="A8755" s="362"/>
      <c r="B8755" s="611">
        <v>44697</v>
      </c>
      <c r="C8755" s="362" t="s">
        <v>81</v>
      </c>
      <c r="D8755" s="562"/>
      <c r="E8755" s="562"/>
      <c r="F8755" s="562"/>
      <c r="G8755" s="562">
        <f t="shared" si="545"/>
        <v>0</v>
      </c>
      <c r="H8755" s="362"/>
      <c r="I8755" s="362"/>
      <c r="J8755" s="362"/>
    </row>
    <row r="8756" spans="1:10" x14ac:dyDescent="0.25">
      <c r="A8756" s="362"/>
      <c r="B8756" s="611">
        <v>44697</v>
      </c>
      <c r="C8756" s="362" t="s">
        <v>84</v>
      </c>
      <c r="D8756" s="562"/>
      <c r="E8756" s="562"/>
      <c r="F8756" s="562"/>
      <c r="G8756" s="562">
        <f t="shared" si="545"/>
        <v>0</v>
      </c>
      <c r="H8756" s="362"/>
      <c r="I8756" s="362"/>
      <c r="J8756" s="362"/>
    </row>
    <row r="8757" spans="1:10" x14ac:dyDescent="0.25">
      <c r="A8757" s="362"/>
      <c r="B8757" s="611">
        <v>44697</v>
      </c>
      <c r="C8757" s="362" t="s">
        <v>4751</v>
      </c>
      <c r="D8757" s="562"/>
      <c r="E8757" s="562"/>
      <c r="F8757" s="562"/>
      <c r="G8757" s="562">
        <f t="shared" si="545"/>
        <v>0</v>
      </c>
      <c r="H8757" s="362"/>
      <c r="I8757" s="362"/>
      <c r="J8757" s="362"/>
    </row>
    <row r="8758" spans="1:10" x14ac:dyDescent="0.25">
      <c r="A8758" s="362"/>
      <c r="B8758" s="611">
        <v>44697</v>
      </c>
      <c r="C8758" s="362" t="s">
        <v>166</v>
      </c>
      <c r="D8758" s="562"/>
      <c r="E8758" s="562"/>
      <c r="F8758" s="562"/>
      <c r="G8758" s="562">
        <f t="shared" si="545"/>
        <v>0</v>
      </c>
      <c r="H8758" s="362"/>
      <c r="I8758" s="362"/>
      <c r="J8758" s="362"/>
    </row>
    <row r="8759" spans="1:10" x14ac:dyDescent="0.25">
      <c r="A8759" s="362"/>
      <c r="B8759" s="611">
        <v>44697</v>
      </c>
      <c r="C8759" s="362" t="s">
        <v>3435</v>
      </c>
      <c r="D8759" s="562"/>
      <c r="E8759" s="562"/>
      <c r="F8759" s="562"/>
      <c r="G8759" s="562">
        <f t="shared" si="545"/>
        <v>0</v>
      </c>
      <c r="H8759" s="362"/>
      <c r="I8759" s="362"/>
      <c r="J8759" s="362"/>
    </row>
    <row r="8760" spans="1:10" x14ac:dyDescent="0.25">
      <c r="A8760" s="362"/>
      <c r="B8760" s="611">
        <v>44697</v>
      </c>
      <c r="C8760" s="370" t="s">
        <v>85</v>
      </c>
      <c r="D8760" s="562"/>
      <c r="E8760" s="562"/>
      <c r="F8760" s="562"/>
      <c r="G8760" s="562">
        <f t="shared" si="545"/>
        <v>0</v>
      </c>
      <c r="H8760" s="362"/>
      <c r="I8760" s="362"/>
      <c r="J8760" s="362"/>
    </row>
    <row r="8761" spans="1:10" x14ac:dyDescent="0.25">
      <c r="A8761" s="532"/>
      <c r="B8761" s="532"/>
      <c r="C8761" s="532"/>
      <c r="D8761" s="564">
        <f>SUM(D8746:D8760)</f>
        <v>0</v>
      </c>
      <c r="E8761" s="564">
        <f t="shared" ref="E8761:G8761" si="546">SUM(E8746:E8760)</f>
        <v>0</v>
      </c>
      <c r="F8761" s="564">
        <f t="shared" si="546"/>
        <v>0</v>
      </c>
      <c r="G8761" s="564">
        <f t="shared" si="546"/>
        <v>0</v>
      </c>
      <c r="H8761" s="532"/>
      <c r="I8761" s="532"/>
      <c r="J8761" s="532"/>
    </row>
    <row r="8762" spans="1:10" x14ac:dyDescent="0.25">
      <c r="A8762" s="362"/>
      <c r="B8762" s="611">
        <v>44698</v>
      </c>
      <c r="C8762" s="362" t="s">
        <v>86</v>
      </c>
      <c r="D8762" s="562"/>
      <c r="E8762" s="562"/>
      <c r="F8762" s="562"/>
      <c r="G8762" s="562"/>
      <c r="H8762" s="362"/>
      <c r="I8762" s="362"/>
      <c r="J8762" s="362"/>
    </row>
    <row r="8763" spans="1:10" x14ac:dyDescent="0.25">
      <c r="A8763" s="362"/>
      <c r="B8763" s="611">
        <v>44698</v>
      </c>
      <c r="C8763" s="362" t="s">
        <v>87</v>
      </c>
      <c r="D8763" s="562">
        <v>160010065</v>
      </c>
      <c r="E8763" s="562"/>
      <c r="F8763" s="562"/>
      <c r="G8763" s="562"/>
      <c r="H8763" s="362"/>
      <c r="I8763" s="362"/>
      <c r="J8763" s="362"/>
    </row>
    <row r="8764" spans="1:10" x14ac:dyDescent="0.25">
      <c r="A8764" s="362"/>
      <c r="B8764" s="611">
        <v>44698</v>
      </c>
      <c r="C8764" s="362" t="s">
        <v>88</v>
      </c>
      <c r="D8764" s="562"/>
      <c r="E8764" s="562"/>
      <c r="F8764" s="562"/>
      <c r="G8764" s="562"/>
      <c r="H8764" s="362"/>
      <c r="I8764" s="362"/>
      <c r="J8764" s="362"/>
    </row>
    <row r="8765" spans="1:10" x14ac:dyDescent="0.25">
      <c r="A8765" s="362"/>
      <c r="B8765" s="611">
        <v>44698</v>
      </c>
      <c r="C8765" s="362" t="s">
        <v>82</v>
      </c>
      <c r="D8765" s="562"/>
      <c r="E8765" s="562"/>
      <c r="F8765" s="562"/>
      <c r="G8765" s="562"/>
      <c r="H8765" s="362"/>
      <c r="I8765" s="362"/>
      <c r="J8765" s="362"/>
    </row>
    <row r="8766" spans="1:10" x14ac:dyDescent="0.25">
      <c r="A8766" s="362"/>
      <c r="B8766" s="611">
        <v>44698</v>
      </c>
      <c r="C8766" s="362" t="s">
        <v>80</v>
      </c>
      <c r="D8766" s="562"/>
      <c r="E8766" s="562"/>
      <c r="F8766" s="562"/>
      <c r="G8766" s="562"/>
      <c r="H8766" s="362"/>
      <c r="I8766" s="362"/>
      <c r="J8766" s="362"/>
    </row>
    <row r="8767" spans="1:10" x14ac:dyDescent="0.25">
      <c r="A8767" s="362"/>
      <c r="B8767" s="611">
        <v>44698</v>
      </c>
      <c r="C8767" s="362" t="s">
        <v>83</v>
      </c>
      <c r="D8767" s="562"/>
      <c r="E8767" s="562"/>
      <c r="F8767" s="562"/>
      <c r="G8767" s="562"/>
      <c r="H8767" s="362"/>
      <c r="I8767" s="362"/>
      <c r="J8767" s="362"/>
    </row>
    <row r="8768" spans="1:10" x14ac:dyDescent="0.25">
      <c r="A8768" s="362"/>
      <c r="B8768" s="611">
        <v>44698</v>
      </c>
      <c r="C8768" s="362" t="s">
        <v>78</v>
      </c>
      <c r="D8768" s="562"/>
      <c r="E8768" s="562"/>
      <c r="F8768" s="562"/>
      <c r="G8768" s="562"/>
      <c r="H8768" s="362"/>
      <c r="I8768" s="362"/>
      <c r="J8768" s="362"/>
    </row>
    <row r="8769" spans="1:10" x14ac:dyDescent="0.25">
      <c r="A8769" s="362"/>
      <c r="B8769" s="611">
        <v>44698</v>
      </c>
      <c r="C8769" s="362" t="s">
        <v>141</v>
      </c>
      <c r="D8769" s="562"/>
      <c r="E8769" s="562"/>
      <c r="F8769" s="562"/>
      <c r="G8769" s="562"/>
      <c r="H8769" s="362"/>
      <c r="I8769" s="362"/>
      <c r="J8769" s="362"/>
    </row>
    <row r="8770" spans="1:10" x14ac:dyDescent="0.25">
      <c r="A8770" s="362"/>
      <c r="B8770" s="611">
        <v>44698</v>
      </c>
      <c r="C8770" s="362" t="s">
        <v>89</v>
      </c>
      <c r="D8770" s="562"/>
      <c r="E8770" s="562"/>
      <c r="F8770" s="562"/>
      <c r="G8770" s="562"/>
      <c r="H8770" s="362"/>
      <c r="I8770" s="362"/>
      <c r="J8770" s="362"/>
    </row>
    <row r="8771" spans="1:10" x14ac:dyDescent="0.25">
      <c r="A8771" s="362"/>
      <c r="B8771" s="611">
        <v>44698</v>
      </c>
      <c r="C8771" s="362" t="s">
        <v>81</v>
      </c>
      <c r="D8771" s="562"/>
      <c r="E8771" s="562"/>
      <c r="F8771" s="562"/>
      <c r="G8771" s="562"/>
      <c r="H8771" s="362"/>
      <c r="I8771" s="362"/>
      <c r="J8771" s="362"/>
    </row>
    <row r="8772" spans="1:10" x14ac:dyDescent="0.25">
      <c r="A8772" s="362"/>
      <c r="B8772" s="611">
        <v>44698</v>
      </c>
      <c r="C8772" s="362" t="s">
        <v>84</v>
      </c>
      <c r="D8772" s="562"/>
      <c r="E8772" s="562"/>
      <c r="F8772" s="562"/>
      <c r="G8772" s="562"/>
      <c r="H8772" s="362"/>
      <c r="I8772" s="362"/>
      <c r="J8772" s="362"/>
    </row>
    <row r="8773" spans="1:10" x14ac:dyDescent="0.25">
      <c r="A8773" s="362"/>
      <c r="B8773" s="611">
        <v>44698</v>
      </c>
      <c r="C8773" s="362" t="s">
        <v>4751</v>
      </c>
      <c r="D8773" s="562"/>
      <c r="E8773" s="562"/>
      <c r="F8773" s="562"/>
      <c r="G8773" s="562"/>
      <c r="H8773" s="362"/>
      <c r="I8773" s="362"/>
      <c r="J8773" s="362"/>
    </row>
    <row r="8774" spans="1:10" x14ac:dyDescent="0.25">
      <c r="A8774" s="362"/>
      <c r="B8774" s="611">
        <v>44698</v>
      </c>
      <c r="C8774" s="362" t="s">
        <v>166</v>
      </c>
      <c r="D8774" s="562"/>
      <c r="E8774" s="562"/>
      <c r="F8774" s="562"/>
      <c r="G8774" s="562"/>
      <c r="H8774" s="362"/>
      <c r="I8774" s="362"/>
      <c r="J8774" s="362"/>
    </row>
    <row r="8775" spans="1:10" x14ac:dyDescent="0.25">
      <c r="A8775" s="362"/>
      <c r="B8775" s="611">
        <v>44698</v>
      </c>
      <c r="C8775" s="362" t="s">
        <v>3435</v>
      </c>
      <c r="D8775" s="562"/>
      <c r="E8775" s="562"/>
      <c r="F8775" s="562"/>
      <c r="G8775" s="562"/>
      <c r="H8775" s="362"/>
      <c r="I8775" s="362"/>
      <c r="J8775" s="362"/>
    </row>
    <row r="8776" spans="1:10" x14ac:dyDescent="0.25">
      <c r="A8776" s="362"/>
      <c r="B8776" s="611">
        <v>44698</v>
      </c>
      <c r="C8776" s="370" t="s">
        <v>85</v>
      </c>
      <c r="D8776" s="562"/>
      <c r="E8776" s="562"/>
      <c r="F8776" s="562"/>
      <c r="G8776" s="562"/>
      <c r="H8776" s="362"/>
      <c r="I8776" s="362"/>
      <c r="J8776" s="362"/>
    </row>
    <row r="8777" spans="1:10" x14ac:dyDescent="0.25">
      <c r="A8777" s="532"/>
      <c r="B8777" s="532"/>
      <c r="C8777" s="532"/>
      <c r="D8777" s="564"/>
      <c r="E8777" s="564"/>
      <c r="F8777" s="564"/>
      <c r="G8777" s="564"/>
      <c r="H8777" s="532"/>
      <c r="I8777" s="532"/>
      <c r="J8777" s="532"/>
    </row>
    <row r="8778" spans="1:10" x14ac:dyDescent="0.25">
      <c r="A8778" s="362"/>
      <c r="B8778" s="611">
        <v>44699</v>
      </c>
      <c r="C8778" s="362" t="s">
        <v>86</v>
      </c>
      <c r="D8778" s="562">
        <v>208896182</v>
      </c>
      <c r="E8778" s="562"/>
      <c r="F8778" s="562"/>
      <c r="G8778" s="562">
        <f t="shared" ref="G8778:G8843" si="547">D8778+E8778-F8778</f>
        <v>208896182</v>
      </c>
      <c r="H8778" s="362"/>
      <c r="I8778" s="362"/>
      <c r="J8778" s="362"/>
    </row>
    <row r="8779" spans="1:10" x14ac:dyDescent="0.25">
      <c r="A8779" s="362"/>
      <c r="B8779" s="611">
        <v>44699</v>
      </c>
      <c r="C8779" s="362" t="s">
        <v>87</v>
      </c>
      <c r="D8779" s="562">
        <v>207575470</v>
      </c>
      <c r="E8779" s="562"/>
      <c r="F8779" s="562"/>
      <c r="G8779" s="562">
        <f t="shared" si="547"/>
        <v>207575470</v>
      </c>
      <c r="H8779" s="362"/>
      <c r="I8779" s="362"/>
      <c r="J8779" s="362"/>
    </row>
    <row r="8780" spans="1:10" x14ac:dyDescent="0.25">
      <c r="A8780" s="362"/>
      <c r="B8780" s="611">
        <v>44699</v>
      </c>
      <c r="C8780" s="362" t="s">
        <v>88</v>
      </c>
      <c r="D8780" s="562">
        <v>201417739</v>
      </c>
      <c r="E8780" s="562"/>
      <c r="F8780" s="562"/>
      <c r="G8780" s="562">
        <f t="shared" si="547"/>
        <v>201417739</v>
      </c>
      <c r="H8780" s="362"/>
      <c r="I8780" s="362"/>
      <c r="J8780" s="362"/>
    </row>
    <row r="8781" spans="1:10" x14ac:dyDescent="0.25">
      <c r="A8781" s="362"/>
      <c r="B8781" s="611">
        <v>44699</v>
      </c>
      <c r="C8781" s="362" t="s">
        <v>82</v>
      </c>
      <c r="D8781" s="562">
        <v>66795582</v>
      </c>
      <c r="E8781" s="562"/>
      <c r="F8781" s="562"/>
      <c r="G8781" s="562">
        <f t="shared" si="547"/>
        <v>66795582</v>
      </c>
      <c r="H8781" s="362"/>
      <c r="I8781" s="362"/>
      <c r="J8781" s="362"/>
    </row>
    <row r="8782" spans="1:10" x14ac:dyDescent="0.25">
      <c r="A8782" s="362"/>
      <c r="B8782" s="611">
        <v>44699</v>
      </c>
      <c r="C8782" s="362" t="s">
        <v>80</v>
      </c>
      <c r="D8782" s="562">
        <v>314089100</v>
      </c>
      <c r="E8782" s="562"/>
      <c r="F8782" s="562"/>
      <c r="G8782" s="562">
        <f t="shared" si="547"/>
        <v>314089100</v>
      </c>
      <c r="H8782" s="362"/>
      <c r="I8782" s="362"/>
      <c r="J8782" s="362"/>
    </row>
    <row r="8783" spans="1:10" x14ac:dyDescent="0.25">
      <c r="A8783" s="362"/>
      <c r="B8783" s="611">
        <v>44699</v>
      </c>
      <c r="C8783" s="362" t="s">
        <v>83</v>
      </c>
      <c r="D8783" s="562">
        <v>256855709</v>
      </c>
      <c r="E8783" s="562"/>
      <c r="F8783" s="562"/>
      <c r="G8783" s="562">
        <f t="shared" si="547"/>
        <v>256855709</v>
      </c>
      <c r="H8783" s="362"/>
      <c r="I8783" s="362"/>
      <c r="J8783" s="362"/>
    </row>
    <row r="8784" spans="1:10" x14ac:dyDescent="0.25">
      <c r="A8784" s="362"/>
      <c r="B8784" s="611">
        <v>44699</v>
      </c>
      <c r="C8784" s="362" t="s">
        <v>78</v>
      </c>
      <c r="D8784" s="562">
        <v>88964773</v>
      </c>
      <c r="E8784" s="562"/>
      <c r="F8784" s="562"/>
      <c r="G8784" s="562">
        <f t="shared" si="547"/>
        <v>88964773</v>
      </c>
      <c r="H8784" s="362"/>
      <c r="I8784" s="362"/>
      <c r="J8784" s="362"/>
    </row>
    <row r="8785" spans="1:10" x14ac:dyDescent="0.25">
      <c r="A8785" s="362"/>
      <c r="B8785" s="611">
        <v>44699</v>
      </c>
      <c r="C8785" s="362" t="s">
        <v>141</v>
      </c>
      <c r="D8785" s="562">
        <v>114466381</v>
      </c>
      <c r="E8785" s="562"/>
      <c r="F8785" s="562"/>
      <c r="G8785" s="562">
        <f t="shared" si="547"/>
        <v>114466381</v>
      </c>
      <c r="H8785" s="362"/>
      <c r="I8785" s="362"/>
      <c r="J8785" s="362"/>
    </row>
    <row r="8786" spans="1:10" x14ac:dyDescent="0.25">
      <c r="A8786" s="362"/>
      <c r="B8786" s="611">
        <v>44699</v>
      </c>
      <c r="C8786" s="362" t="s">
        <v>89</v>
      </c>
      <c r="D8786" s="562">
        <v>222808800</v>
      </c>
      <c r="E8786" s="562"/>
      <c r="F8786" s="562"/>
      <c r="G8786" s="562">
        <f t="shared" si="547"/>
        <v>222808800</v>
      </c>
      <c r="H8786" s="362"/>
      <c r="I8786" s="362"/>
      <c r="J8786" s="362"/>
    </row>
    <row r="8787" spans="1:10" x14ac:dyDescent="0.25">
      <c r="A8787" s="362"/>
      <c r="B8787" s="611">
        <v>44699</v>
      </c>
      <c r="C8787" s="362" t="s">
        <v>81</v>
      </c>
      <c r="D8787" s="562">
        <v>113204009</v>
      </c>
      <c r="E8787" s="562"/>
      <c r="F8787" s="562"/>
      <c r="G8787" s="562">
        <f t="shared" si="547"/>
        <v>113204009</v>
      </c>
      <c r="H8787" s="362"/>
      <c r="I8787" s="362"/>
      <c r="J8787" s="362"/>
    </row>
    <row r="8788" spans="1:10" x14ac:dyDescent="0.25">
      <c r="A8788" s="362"/>
      <c r="B8788" s="611">
        <v>44699</v>
      </c>
      <c r="C8788" s="362" t="s">
        <v>84</v>
      </c>
      <c r="D8788" s="562">
        <v>373607794</v>
      </c>
      <c r="E8788" s="562"/>
      <c r="F8788" s="562"/>
      <c r="G8788" s="562">
        <f t="shared" si="547"/>
        <v>373607794</v>
      </c>
      <c r="H8788" s="362"/>
      <c r="I8788" s="362"/>
      <c r="J8788" s="362"/>
    </row>
    <row r="8789" spans="1:10" x14ac:dyDescent="0.25">
      <c r="A8789" s="362"/>
      <c r="B8789" s="611">
        <v>44699</v>
      </c>
      <c r="C8789" s="362" t="s">
        <v>4751</v>
      </c>
      <c r="D8789" s="562">
        <v>232371900</v>
      </c>
      <c r="E8789" s="562"/>
      <c r="F8789" s="562"/>
      <c r="G8789" s="562">
        <f t="shared" si="547"/>
        <v>232371900</v>
      </c>
      <c r="H8789" s="362"/>
      <c r="I8789" s="362"/>
      <c r="J8789" s="362"/>
    </row>
    <row r="8790" spans="1:10" x14ac:dyDescent="0.25">
      <c r="A8790" s="362"/>
      <c r="B8790" s="611">
        <v>44699</v>
      </c>
      <c r="C8790" s="362" t="s">
        <v>166</v>
      </c>
      <c r="D8790" s="562">
        <v>146971516</v>
      </c>
      <c r="E8790" s="562"/>
      <c r="F8790" s="562"/>
      <c r="G8790" s="562">
        <f t="shared" si="547"/>
        <v>146971516</v>
      </c>
      <c r="H8790" s="362"/>
      <c r="I8790" s="362"/>
      <c r="J8790" s="362"/>
    </row>
    <row r="8791" spans="1:10" x14ac:dyDescent="0.25">
      <c r="A8791" s="362"/>
      <c r="B8791" s="611">
        <v>44699</v>
      </c>
      <c r="C8791" s="362" t="s">
        <v>3435</v>
      </c>
      <c r="D8791" s="562">
        <v>55796046</v>
      </c>
      <c r="E8791" s="562"/>
      <c r="F8791" s="562"/>
      <c r="G8791" s="562">
        <f t="shared" si="547"/>
        <v>55796046</v>
      </c>
      <c r="H8791" s="362"/>
      <c r="I8791" s="362"/>
      <c r="J8791" s="362"/>
    </row>
    <row r="8792" spans="1:10" x14ac:dyDescent="0.25">
      <c r="A8792" s="362"/>
      <c r="B8792" s="611">
        <v>44699</v>
      </c>
      <c r="C8792" s="370" t="s">
        <v>85</v>
      </c>
      <c r="D8792" s="562">
        <v>91155200</v>
      </c>
      <c r="E8792" s="562"/>
      <c r="F8792" s="562"/>
      <c r="G8792" s="562">
        <f t="shared" si="547"/>
        <v>91155200</v>
      </c>
      <c r="H8792" s="362"/>
      <c r="I8792" s="362"/>
      <c r="J8792" s="362"/>
    </row>
    <row r="8793" spans="1:10" x14ac:dyDescent="0.25">
      <c r="A8793" s="532"/>
      <c r="B8793" s="532"/>
      <c r="C8793" s="532"/>
      <c r="D8793" s="564">
        <f>SUM(D8778:D8792)</f>
        <v>2694976201</v>
      </c>
      <c r="E8793" s="564">
        <f t="shared" ref="E8793:G8793" si="548">SUM(E8778:E8792)</f>
        <v>0</v>
      </c>
      <c r="F8793" s="564">
        <f t="shared" si="548"/>
        <v>0</v>
      </c>
      <c r="G8793" s="564">
        <f t="shared" si="548"/>
        <v>2694976201</v>
      </c>
      <c r="H8793" s="532"/>
      <c r="I8793" s="532"/>
      <c r="J8793" s="532"/>
    </row>
    <row r="8794" spans="1:10" x14ac:dyDescent="0.25">
      <c r="A8794" s="362"/>
      <c r="B8794" s="611">
        <v>44700</v>
      </c>
      <c r="C8794" s="362" t="s">
        <v>86</v>
      </c>
      <c r="D8794" s="562">
        <v>58475051</v>
      </c>
      <c r="E8794" s="562"/>
      <c r="F8794" s="562"/>
      <c r="G8794" s="562">
        <f t="shared" si="547"/>
        <v>58475051</v>
      </c>
      <c r="H8794" s="362"/>
      <c r="I8794" s="362"/>
      <c r="J8794" s="362"/>
    </row>
    <row r="8795" spans="1:10" x14ac:dyDescent="0.25">
      <c r="A8795" s="362"/>
      <c r="B8795" s="611">
        <v>44700</v>
      </c>
      <c r="C8795" s="362" t="s">
        <v>87</v>
      </c>
      <c r="D8795" s="562">
        <v>150625261</v>
      </c>
      <c r="E8795" s="562"/>
      <c r="F8795" s="562"/>
      <c r="G8795" s="562">
        <f t="shared" si="547"/>
        <v>150625261</v>
      </c>
      <c r="H8795" s="362"/>
      <c r="I8795" s="362"/>
      <c r="J8795" s="362"/>
    </row>
    <row r="8796" spans="1:10" x14ac:dyDescent="0.25">
      <c r="A8796" s="362"/>
      <c r="B8796" s="611">
        <v>44700</v>
      </c>
      <c r="C8796" s="362" t="s">
        <v>88</v>
      </c>
      <c r="D8796" s="562">
        <v>142918673</v>
      </c>
      <c r="E8796" s="562"/>
      <c r="F8796" s="562"/>
      <c r="G8796" s="562">
        <f t="shared" si="547"/>
        <v>142918673</v>
      </c>
      <c r="H8796" s="362"/>
      <c r="I8796" s="362"/>
      <c r="J8796" s="362"/>
    </row>
    <row r="8797" spans="1:10" x14ac:dyDescent="0.25">
      <c r="A8797" s="362"/>
      <c r="B8797" s="611">
        <v>44700</v>
      </c>
      <c r="C8797" s="362" t="s">
        <v>82</v>
      </c>
      <c r="D8797" s="562">
        <v>87624734</v>
      </c>
      <c r="E8797" s="562"/>
      <c r="F8797" s="562"/>
      <c r="G8797" s="562">
        <f t="shared" si="547"/>
        <v>87624734</v>
      </c>
      <c r="H8797" s="362"/>
      <c r="I8797" s="362"/>
      <c r="J8797" s="362"/>
    </row>
    <row r="8798" spans="1:10" x14ac:dyDescent="0.25">
      <c r="A8798" s="362"/>
      <c r="B8798" s="611">
        <v>44700</v>
      </c>
      <c r="C8798" s="362" t="s">
        <v>80</v>
      </c>
      <c r="D8798" s="562">
        <v>545883600</v>
      </c>
      <c r="E8798" s="562"/>
      <c r="F8798" s="562"/>
      <c r="G8798" s="562">
        <f t="shared" si="547"/>
        <v>545883600</v>
      </c>
      <c r="H8798" s="362"/>
      <c r="I8798" s="362"/>
      <c r="J8798" s="362"/>
    </row>
    <row r="8799" spans="1:10" x14ac:dyDescent="0.25">
      <c r="A8799" s="362"/>
      <c r="B8799" s="611">
        <v>44700</v>
      </c>
      <c r="C8799" s="362" t="s">
        <v>83</v>
      </c>
      <c r="D8799" s="562">
        <v>230536868</v>
      </c>
      <c r="E8799" s="562"/>
      <c r="F8799" s="562"/>
      <c r="G8799" s="562">
        <f t="shared" si="547"/>
        <v>230536868</v>
      </c>
      <c r="H8799" s="362"/>
      <c r="I8799" s="362"/>
      <c r="J8799" s="362"/>
    </row>
    <row r="8800" spans="1:10" x14ac:dyDescent="0.25">
      <c r="A8800" s="362"/>
      <c r="B8800" s="611">
        <v>44700</v>
      </c>
      <c r="C8800" s="362" t="s">
        <v>78</v>
      </c>
      <c r="D8800" s="562">
        <v>176698100</v>
      </c>
      <c r="E8800" s="562"/>
      <c r="F8800" s="562"/>
      <c r="G8800" s="562">
        <f t="shared" si="547"/>
        <v>176698100</v>
      </c>
      <c r="H8800" s="362"/>
      <c r="I8800" s="362"/>
      <c r="J8800" s="362"/>
    </row>
    <row r="8801" spans="1:10" x14ac:dyDescent="0.25">
      <c r="A8801" s="362"/>
      <c r="B8801" s="611">
        <v>44700</v>
      </c>
      <c r="C8801" s="362" t="s">
        <v>141</v>
      </c>
      <c r="D8801" s="562">
        <v>86681739</v>
      </c>
      <c r="E8801" s="562"/>
      <c r="F8801" s="562"/>
      <c r="G8801" s="562">
        <f t="shared" si="547"/>
        <v>86681739</v>
      </c>
      <c r="H8801" s="362"/>
      <c r="I8801" s="362"/>
      <c r="J8801" s="362"/>
    </row>
    <row r="8802" spans="1:10" x14ac:dyDescent="0.25">
      <c r="A8802" s="362"/>
      <c r="B8802" s="611">
        <v>44700</v>
      </c>
      <c r="C8802" s="362" t="s">
        <v>89</v>
      </c>
      <c r="D8802" s="562">
        <v>363285500</v>
      </c>
      <c r="E8802" s="562"/>
      <c r="F8802" s="562"/>
      <c r="G8802" s="562">
        <f t="shared" si="547"/>
        <v>363285500</v>
      </c>
      <c r="H8802" s="362"/>
      <c r="I8802" s="362"/>
      <c r="J8802" s="362"/>
    </row>
    <row r="8803" spans="1:10" x14ac:dyDescent="0.25">
      <c r="A8803" s="362"/>
      <c r="B8803" s="611">
        <v>44700</v>
      </c>
      <c r="C8803" s="362" t="s">
        <v>81</v>
      </c>
      <c r="D8803" s="562">
        <v>81976305</v>
      </c>
      <c r="E8803" s="562"/>
      <c r="F8803" s="562"/>
      <c r="G8803" s="562">
        <f t="shared" si="547"/>
        <v>81976305</v>
      </c>
      <c r="H8803" s="362"/>
      <c r="I8803" s="362"/>
      <c r="J8803" s="362"/>
    </row>
    <row r="8804" spans="1:10" x14ac:dyDescent="0.25">
      <c r="A8804" s="362"/>
      <c r="B8804" s="611">
        <v>44700</v>
      </c>
      <c r="C8804" s="362" t="s">
        <v>84</v>
      </c>
      <c r="D8804" s="562">
        <v>539616945</v>
      </c>
      <c r="E8804" s="562"/>
      <c r="F8804" s="562"/>
      <c r="G8804" s="562">
        <f t="shared" si="547"/>
        <v>539616945</v>
      </c>
      <c r="H8804" s="362"/>
      <c r="I8804" s="362"/>
      <c r="J8804" s="362"/>
    </row>
    <row r="8805" spans="1:10" x14ac:dyDescent="0.25">
      <c r="A8805" s="362"/>
      <c r="B8805" s="611">
        <v>44700</v>
      </c>
      <c r="C8805" s="362" t="s">
        <v>4751</v>
      </c>
      <c r="D8805" s="562">
        <v>332878900</v>
      </c>
      <c r="E8805" s="562"/>
      <c r="F8805" s="562"/>
      <c r="G8805" s="562">
        <f t="shared" si="547"/>
        <v>332878900</v>
      </c>
      <c r="H8805" s="362"/>
      <c r="I8805" s="362"/>
      <c r="J8805" s="362"/>
    </row>
    <row r="8806" spans="1:10" x14ac:dyDescent="0.25">
      <c r="A8806" s="362"/>
      <c r="B8806" s="611">
        <v>44700</v>
      </c>
      <c r="C8806" s="362" t="s">
        <v>166</v>
      </c>
      <c r="D8806" s="562">
        <v>64319299</v>
      </c>
      <c r="E8806" s="562"/>
      <c r="F8806" s="562"/>
      <c r="G8806" s="562">
        <f t="shared" si="547"/>
        <v>64319299</v>
      </c>
      <c r="H8806" s="362"/>
      <c r="I8806" s="362"/>
      <c r="J8806" s="362"/>
    </row>
    <row r="8807" spans="1:10" x14ac:dyDescent="0.25">
      <c r="A8807" s="362"/>
      <c r="B8807" s="611">
        <v>44700</v>
      </c>
      <c r="C8807" s="362" t="s">
        <v>3435</v>
      </c>
      <c r="D8807" s="562">
        <v>148122586</v>
      </c>
      <c r="E8807" s="562"/>
      <c r="F8807" s="562"/>
      <c r="G8807" s="562">
        <f t="shared" si="547"/>
        <v>148122586</v>
      </c>
      <c r="H8807" s="362"/>
      <c r="I8807" s="362"/>
      <c r="J8807" s="362"/>
    </row>
    <row r="8808" spans="1:10" x14ac:dyDescent="0.25">
      <c r="A8808" s="362"/>
      <c r="B8808" s="611">
        <v>44700</v>
      </c>
      <c r="C8808" s="370" t="s">
        <v>85</v>
      </c>
      <c r="D8808" s="562">
        <v>58676900</v>
      </c>
      <c r="E8808" s="562"/>
      <c r="F8808" s="562"/>
      <c r="G8808" s="562">
        <f t="shared" si="547"/>
        <v>58676900</v>
      </c>
      <c r="H8808" s="362"/>
      <c r="I8808" s="362"/>
      <c r="J8808" s="362"/>
    </row>
    <row r="8809" spans="1:10" x14ac:dyDescent="0.25">
      <c r="A8809" s="532"/>
      <c r="B8809" s="532"/>
      <c r="C8809" s="532"/>
      <c r="D8809" s="564">
        <f>SUM(D8794:D8808)</f>
        <v>3068320461</v>
      </c>
      <c r="E8809" s="564">
        <f t="shared" ref="E8809:G8809" si="549">SUM(E8794:E8808)</f>
        <v>0</v>
      </c>
      <c r="F8809" s="564">
        <f t="shared" si="549"/>
        <v>0</v>
      </c>
      <c r="G8809" s="564">
        <f t="shared" si="549"/>
        <v>3068320461</v>
      </c>
      <c r="H8809" s="532"/>
      <c r="I8809" s="532"/>
      <c r="J8809" s="532"/>
    </row>
    <row r="8810" spans="1:10" x14ac:dyDescent="0.25">
      <c r="A8810" s="362"/>
      <c r="B8810" s="611">
        <v>44701</v>
      </c>
      <c r="C8810" s="362" t="s">
        <v>86</v>
      </c>
      <c r="D8810" s="562">
        <v>37669732</v>
      </c>
      <c r="E8810" s="562"/>
      <c r="F8810" s="562"/>
      <c r="G8810" s="562">
        <f t="shared" si="547"/>
        <v>37669732</v>
      </c>
      <c r="H8810" s="362"/>
      <c r="I8810" s="362"/>
      <c r="J8810" s="362"/>
    </row>
    <row r="8811" spans="1:10" x14ac:dyDescent="0.25">
      <c r="A8811" s="362"/>
      <c r="B8811" s="611">
        <v>44701</v>
      </c>
      <c r="C8811" s="362" t="s">
        <v>87</v>
      </c>
      <c r="D8811" s="562">
        <v>339940480</v>
      </c>
      <c r="E8811" s="562"/>
      <c r="F8811" s="562"/>
      <c r="G8811" s="562">
        <f t="shared" si="547"/>
        <v>339940480</v>
      </c>
      <c r="H8811" s="362"/>
      <c r="I8811" s="362"/>
      <c r="J8811" s="362"/>
    </row>
    <row r="8812" spans="1:10" x14ac:dyDescent="0.25">
      <c r="A8812" s="362"/>
      <c r="B8812" s="611">
        <v>44701</v>
      </c>
      <c r="C8812" s="362" t="s">
        <v>88</v>
      </c>
      <c r="D8812" s="562">
        <v>191013004</v>
      </c>
      <c r="E8812" s="562"/>
      <c r="F8812" s="562"/>
      <c r="G8812" s="562">
        <f t="shared" si="547"/>
        <v>191013004</v>
      </c>
      <c r="H8812" s="362"/>
      <c r="I8812" s="362"/>
      <c r="J8812" s="362"/>
    </row>
    <row r="8813" spans="1:10" x14ac:dyDescent="0.25">
      <c r="A8813" s="362"/>
      <c r="B8813" s="611">
        <v>44701</v>
      </c>
      <c r="C8813" s="362" t="s">
        <v>82</v>
      </c>
      <c r="D8813" s="562">
        <v>85441310</v>
      </c>
      <c r="E8813" s="562"/>
      <c r="F8813" s="562"/>
      <c r="G8813" s="562">
        <f t="shared" si="547"/>
        <v>85441310</v>
      </c>
      <c r="H8813" s="362"/>
      <c r="I8813" s="362"/>
      <c r="J8813" s="362"/>
    </row>
    <row r="8814" spans="1:10" x14ac:dyDescent="0.25">
      <c r="A8814" s="362"/>
      <c r="B8814" s="611">
        <v>44701</v>
      </c>
      <c r="C8814" s="362" t="s">
        <v>80</v>
      </c>
      <c r="D8814" s="562">
        <v>311368995</v>
      </c>
      <c r="E8814" s="562"/>
      <c r="F8814" s="562"/>
      <c r="G8814" s="562">
        <f t="shared" si="547"/>
        <v>311368995</v>
      </c>
      <c r="H8814" s="362"/>
      <c r="I8814" s="362"/>
      <c r="J8814" s="362"/>
    </row>
    <row r="8815" spans="1:10" x14ac:dyDescent="0.25">
      <c r="A8815" s="362"/>
      <c r="B8815" s="611">
        <v>44701</v>
      </c>
      <c r="C8815" s="362" t="s">
        <v>83</v>
      </c>
      <c r="D8815" s="562">
        <v>135830300</v>
      </c>
      <c r="E8815" s="562"/>
      <c r="F8815" s="562"/>
      <c r="G8815" s="562">
        <f t="shared" si="547"/>
        <v>135830300</v>
      </c>
      <c r="H8815" s="362"/>
      <c r="I8815" s="362"/>
      <c r="J8815" s="362"/>
    </row>
    <row r="8816" spans="1:10" x14ac:dyDescent="0.25">
      <c r="A8816" s="362"/>
      <c r="B8816" s="611">
        <v>44701</v>
      </c>
      <c r="C8816" s="362" t="s">
        <v>78</v>
      </c>
      <c r="D8816" s="562">
        <v>115079404</v>
      </c>
      <c r="E8816" s="562"/>
      <c r="F8816" s="562"/>
      <c r="G8816" s="562">
        <f t="shared" si="547"/>
        <v>115079404</v>
      </c>
      <c r="H8816" s="362"/>
      <c r="I8816" s="362"/>
      <c r="J8816" s="362"/>
    </row>
    <row r="8817" spans="1:10" x14ac:dyDescent="0.25">
      <c r="A8817" s="362"/>
      <c r="B8817" s="611">
        <v>44701</v>
      </c>
      <c r="C8817" s="362" t="s">
        <v>141</v>
      </c>
      <c r="D8817" s="562">
        <v>113590527</v>
      </c>
      <c r="E8817" s="562"/>
      <c r="F8817" s="562"/>
      <c r="G8817" s="562">
        <f t="shared" si="547"/>
        <v>113590527</v>
      </c>
      <c r="H8817" s="362"/>
      <c r="I8817" s="362"/>
      <c r="J8817" s="362"/>
    </row>
    <row r="8818" spans="1:10" x14ac:dyDescent="0.25">
      <c r="A8818" s="362"/>
      <c r="B8818" s="611">
        <v>44701</v>
      </c>
      <c r="C8818" s="362" t="s">
        <v>89</v>
      </c>
      <c r="D8818" s="562">
        <v>258937500</v>
      </c>
      <c r="E8818" s="562"/>
      <c r="F8818" s="562"/>
      <c r="G8818" s="562">
        <f t="shared" si="547"/>
        <v>258937500</v>
      </c>
      <c r="H8818" s="362"/>
      <c r="I8818" s="362"/>
      <c r="J8818" s="362"/>
    </row>
    <row r="8819" spans="1:10" x14ac:dyDescent="0.25">
      <c r="A8819" s="362"/>
      <c r="B8819" s="611">
        <v>44701</v>
      </c>
      <c r="C8819" s="362" t="s">
        <v>81</v>
      </c>
      <c r="D8819" s="562">
        <v>84390226</v>
      </c>
      <c r="E8819" s="562"/>
      <c r="F8819" s="562"/>
      <c r="G8819" s="562">
        <f t="shared" si="547"/>
        <v>84390226</v>
      </c>
      <c r="H8819" s="362"/>
      <c r="I8819" s="362"/>
      <c r="J8819" s="362"/>
    </row>
    <row r="8820" spans="1:10" x14ac:dyDescent="0.25">
      <c r="A8820" s="362"/>
      <c r="B8820" s="611">
        <v>44701</v>
      </c>
      <c r="C8820" s="362" t="s">
        <v>84</v>
      </c>
      <c r="D8820" s="562">
        <v>310741451</v>
      </c>
      <c r="E8820" s="562"/>
      <c r="F8820" s="562"/>
      <c r="G8820" s="562">
        <f t="shared" si="547"/>
        <v>310741451</v>
      </c>
      <c r="H8820" s="362"/>
      <c r="I8820" s="362"/>
      <c r="J8820" s="362"/>
    </row>
    <row r="8821" spans="1:10" x14ac:dyDescent="0.25">
      <c r="A8821" s="362"/>
      <c r="B8821" s="611">
        <v>44701</v>
      </c>
      <c r="C8821" s="362" t="s">
        <v>4751</v>
      </c>
      <c r="D8821" s="562">
        <v>281254500</v>
      </c>
      <c r="E8821" s="562"/>
      <c r="F8821" s="562"/>
      <c r="G8821" s="562">
        <f t="shared" si="547"/>
        <v>281254500</v>
      </c>
      <c r="H8821" s="362"/>
      <c r="I8821" s="362"/>
      <c r="J8821" s="362"/>
    </row>
    <row r="8822" spans="1:10" x14ac:dyDescent="0.25">
      <c r="A8822" s="362"/>
      <c r="B8822" s="611">
        <v>44701</v>
      </c>
      <c r="C8822" s="362" t="s">
        <v>166</v>
      </c>
      <c r="D8822" s="562">
        <v>56475037</v>
      </c>
      <c r="E8822" s="562"/>
      <c r="F8822" s="562"/>
      <c r="G8822" s="562">
        <f t="shared" si="547"/>
        <v>56475037</v>
      </c>
      <c r="H8822" s="362"/>
      <c r="I8822" s="362"/>
      <c r="J8822" s="362"/>
    </row>
    <row r="8823" spans="1:10" x14ac:dyDescent="0.25">
      <c r="A8823" s="362"/>
      <c r="B8823" s="611">
        <v>44701</v>
      </c>
      <c r="C8823" s="362" t="s">
        <v>3435</v>
      </c>
      <c r="D8823" s="562">
        <v>57476970</v>
      </c>
      <c r="E8823" s="562"/>
      <c r="F8823" s="562"/>
      <c r="G8823" s="562">
        <f t="shared" si="547"/>
        <v>57476970</v>
      </c>
      <c r="H8823" s="362"/>
      <c r="I8823" s="362"/>
      <c r="J8823" s="362"/>
    </row>
    <row r="8824" spans="1:10" x14ac:dyDescent="0.25">
      <c r="A8824" s="362"/>
      <c r="B8824" s="611">
        <v>44701</v>
      </c>
      <c r="C8824" s="370" t="s">
        <v>85</v>
      </c>
      <c r="D8824" s="562">
        <v>61192500</v>
      </c>
      <c r="E8824" s="562"/>
      <c r="F8824" s="562"/>
      <c r="G8824" s="562">
        <f t="shared" si="547"/>
        <v>61192500</v>
      </c>
      <c r="H8824" s="362"/>
      <c r="I8824" s="362"/>
      <c r="J8824" s="362"/>
    </row>
    <row r="8825" spans="1:10" x14ac:dyDescent="0.25">
      <c r="A8825" s="532"/>
      <c r="B8825" s="532"/>
      <c r="C8825" s="532"/>
      <c r="D8825" s="564">
        <f>SUM(D8810:D8824)</f>
        <v>2440401936</v>
      </c>
      <c r="E8825" s="564">
        <f t="shared" ref="E8825:G8825" si="550">SUM(E8810:E8824)</f>
        <v>0</v>
      </c>
      <c r="F8825" s="564">
        <f t="shared" si="550"/>
        <v>0</v>
      </c>
      <c r="G8825" s="564">
        <f t="shared" si="550"/>
        <v>2440401936</v>
      </c>
      <c r="H8825" s="532"/>
      <c r="I8825" s="532"/>
      <c r="J8825" s="532"/>
    </row>
    <row r="8826" spans="1:10" x14ac:dyDescent="0.25">
      <c r="A8826" s="362"/>
      <c r="B8826" s="611">
        <v>44702</v>
      </c>
      <c r="C8826" s="362" t="s">
        <v>86</v>
      </c>
      <c r="D8826" s="562">
        <v>114566981</v>
      </c>
      <c r="E8826" s="562"/>
      <c r="F8826" s="562"/>
      <c r="G8826" s="562">
        <f t="shared" si="547"/>
        <v>114566981</v>
      </c>
      <c r="H8826" s="362"/>
      <c r="I8826" s="362"/>
      <c r="J8826" s="362"/>
    </row>
    <row r="8827" spans="1:10" x14ac:dyDescent="0.25">
      <c r="A8827" s="362"/>
      <c r="B8827" s="611">
        <v>44702</v>
      </c>
      <c r="C8827" s="362" t="s">
        <v>87</v>
      </c>
      <c r="D8827" s="562">
        <v>253671103</v>
      </c>
      <c r="E8827" s="562"/>
      <c r="F8827" s="562"/>
      <c r="G8827" s="562">
        <f t="shared" si="547"/>
        <v>253671103</v>
      </c>
      <c r="H8827" s="362"/>
      <c r="I8827" s="362"/>
      <c r="J8827" s="362"/>
    </row>
    <row r="8828" spans="1:10" x14ac:dyDescent="0.25">
      <c r="A8828" s="362"/>
      <c r="B8828" s="611">
        <v>44702</v>
      </c>
      <c r="C8828" s="362" t="s">
        <v>88</v>
      </c>
      <c r="D8828" s="562">
        <v>196782793</v>
      </c>
      <c r="E8828" s="562"/>
      <c r="F8828" s="562"/>
      <c r="G8828" s="562">
        <f t="shared" si="547"/>
        <v>196782793</v>
      </c>
      <c r="H8828" s="362"/>
      <c r="I8828" s="362"/>
      <c r="J8828" s="362"/>
    </row>
    <row r="8829" spans="1:10" x14ac:dyDescent="0.25">
      <c r="A8829" s="362"/>
      <c r="B8829" s="611">
        <v>44702</v>
      </c>
      <c r="C8829" s="362" t="s">
        <v>82</v>
      </c>
      <c r="D8829" s="562">
        <v>53882238</v>
      </c>
      <c r="E8829" s="562"/>
      <c r="F8829" s="562"/>
      <c r="G8829" s="562">
        <f t="shared" si="547"/>
        <v>53882238</v>
      </c>
      <c r="H8829" s="362"/>
      <c r="I8829" s="362"/>
      <c r="J8829" s="362"/>
    </row>
    <row r="8830" spans="1:10" x14ac:dyDescent="0.25">
      <c r="A8830" s="362"/>
      <c r="B8830" s="611">
        <v>44702</v>
      </c>
      <c r="C8830" s="362" t="s">
        <v>80</v>
      </c>
      <c r="D8830" s="562">
        <v>293664869</v>
      </c>
      <c r="E8830" s="562"/>
      <c r="F8830" s="562"/>
      <c r="G8830" s="562">
        <f t="shared" si="547"/>
        <v>293664869</v>
      </c>
      <c r="H8830" s="362"/>
      <c r="I8830" s="362"/>
      <c r="J8830" s="362"/>
    </row>
    <row r="8831" spans="1:10" x14ac:dyDescent="0.25">
      <c r="A8831" s="362"/>
      <c r="B8831" s="611">
        <v>44702</v>
      </c>
      <c r="C8831" s="362" t="s">
        <v>83</v>
      </c>
      <c r="D8831" s="562">
        <v>117433501</v>
      </c>
      <c r="E8831" s="562"/>
      <c r="F8831" s="562"/>
      <c r="G8831" s="562">
        <f t="shared" si="547"/>
        <v>117433501</v>
      </c>
      <c r="H8831" s="362"/>
      <c r="I8831" s="362"/>
      <c r="J8831" s="362"/>
    </row>
    <row r="8832" spans="1:10" x14ac:dyDescent="0.25">
      <c r="A8832" s="362"/>
      <c r="B8832" s="611">
        <v>44702</v>
      </c>
      <c r="C8832" s="362" t="s">
        <v>78</v>
      </c>
      <c r="D8832" s="562">
        <v>193781674</v>
      </c>
      <c r="E8832" s="562"/>
      <c r="F8832" s="562"/>
      <c r="G8832" s="562">
        <f t="shared" si="547"/>
        <v>193781674</v>
      </c>
      <c r="H8832" s="362"/>
      <c r="I8832" s="362"/>
      <c r="J8832" s="362"/>
    </row>
    <row r="8833" spans="1:10" x14ac:dyDescent="0.25">
      <c r="A8833" s="362"/>
      <c r="B8833" s="611">
        <v>44702</v>
      </c>
      <c r="C8833" s="362" t="s">
        <v>141</v>
      </c>
      <c r="D8833" s="562">
        <v>61199548</v>
      </c>
      <c r="E8833" s="562"/>
      <c r="F8833" s="562"/>
      <c r="G8833" s="562">
        <f t="shared" si="547"/>
        <v>61199548</v>
      </c>
      <c r="H8833" s="362"/>
      <c r="I8833" s="362"/>
      <c r="J8833" s="362"/>
    </row>
    <row r="8834" spans="1:10" x14ac:dyDescent="0.25">
      <c r="A8834" s="362"/>
      <c r="B8834" s="611">
        <v>44702</v>
      </c>
      <c r="C8834" s="362" t="s">
        <v>89</v>
      </c>
      <c r="D8834" s="562">
        <v>182450700</v>
      </c>
      <c r="E8834" s="562"/>
      <c r="F8834" s="562"/>
      <c r="G8834" s="562">
        <f t="shared" si="547"/>
        <v>182450700</v>
      </c>
      <c r="H8834" s="362"/>
      <c r="I8834" s="362"/>
      <c r="J8834" s="362"/>
    </row>
    <row r="8835" spans="1:10" x14ac:dyDescent="0.25">
      <c r="A8835" s="362"/>
      <c r="B8835" s="611">
        <v>44702</v>
      </c>
      <c r="C8835" s="362" t="s">
        <v>81</v>
      </c>
      <c r="D8835" s="562">
        <v>163404006</v>
      </c>
      <c r="E8835" s="562"/>
      <c r="F8835" s="562"/>
      <c r="G8835" s="562">
        <f t="shared" si="547"/>
        <v>163404006</v>
      </c>
      <c r="H8835" s="362"/>
      <c r="I8835" s="362"/>
      <c r="J8835" s="362"/>
    </row>
    <row r="8836" spans="1:10" x14ac:dyDescent="0.25">
      <c r="A8836" s="362"/>
      <c r="B8836" s="611">
        <v>44702</v>
      </c>
      <c r="C8836" s="362" t="s">
        <v>84</v>
      </c>
      <c r="D8836" s="562">
        <v>257265334</v>
      </c>
      <c r="E8836" s="562"/>
      <c r="F8836" s="562"/>
      <c r="G8836" s="562">
        <f t="shared" si="547"/>
        <v>257265334</v>
      </c>
      <c r="H8836" s="362"/>
      <c r="I8836" s="362"/>
      <c r="J8836" s="362"/>
    </row>
    <row r="8837" spans="1:10" x14ac:dyDescent="0.25">
      <c r="A8837" s="362"/>
      <c r="B8837" s="611">
        <v>44702</v>
      </c>
      <c r="C8837" s="362" t="s">
        <v>4751</v>
      </c>
      <c r="D8837" s="562">
        <v>319931400</v>
      </c>
      <c r="E8837" s="562"/>
      <c r="F8837" s="562"/>
      <c r="G8837" s="562">
        <f t="shared" si="547"/>
        <v>319931400</v>
      </c>
      <c r="H8837" s="362"/>
      <c r="I8837" s="362"/>
      <c r="J8837" s="362"/>
    </row>
    <row r="8838" spans="1:10" x14ac:dyDescent="0.25">
      <c r="A8838" s="362"/>
      <c r="B8838" s="611">
        <v>44702</v>
      </c>
      <c r="C8838" s="362" t="s">
        <v>166</v>
      </c>
      <c r="D8838" s="562"/>
      <c r="E8838" s="562"/>
      <c r="F8838" s="562"/>
      <c r="G8838" s="562">
        <f t="shared" si="547"/>
        <v>0</v>
      </c>
      <c r="H8838" s="362"/>
      <c r="I8838" s="362"/>
      <c r="J8838" s="362"/>
    </row>
    <row r="8839" spans="1:10" x14ac:dyDescent="0.25">
      <c r="A8839" s="362"/>
      <c r="B8839" s="611">
        <v>44702</v>
      </c>
      <c r="C8839" s="362" t="s">
        <v>3435</v>
      </c>
      <c r="D8839" s="562"/>
      <c r="E8839" s="562"/>
      <c r="F8839" s="562"/>
      <c r="G8839" s="562">
        <f t="shared" si="547"/>
        <v>0</v>
      </c>
      <c r="H8839" s="362"/>
      <c r="I8839" s="362"/>
      <c r="J8839" s="362"/>
    </row>
    <row r="8840" spans="1:10" x14ac:dyDescent="0.25">
      <c r="A8840" s="362"/>
      <c r="B8840" s="611">
        <v>44702</v>
      </c>
      <c r="C8840" s="370" t="s">
        <v>85</v>
      </c>
      <c r="D8840" s="562">
        <v>44228900</v>
      </c>
      <c r="E8840" s="562"/>
      <c r="F8840" s="562"/>
      <c r="G8840" s="562">
        <f t="shared" si="547"/>
        <v>44228900</v>
      </c>
      <c r="H8840" s="362"/>
      <c r="I8840" s="362"/>
      <c r="J8840" s="362"/>
    </row>
    <row r="8841" spans="1:10" x14ac:dyDescent="0.25">
      <c r="A8841" s="532"/>
      <c r="B8841" s="532"/>
      <c r="C8841" s="532"/>
      <c r="D8841" s="564">
        <f>SUM(D8826:D8840)</f>
        <v>2252263047</v>
      </c>
      <c r="E8841" s="564">
        <f t="shared" ref="E8841:G8841" si="551">SUM(E8826:E8840)</f>
        <v>0</v>
      </c>
      <c r="F8841" s="564">
        <f t="shared" si="551"/>
        <v>0</v>
      </c>
      <c r="G8841" s="564">
        <f t="shared" si="551"/>
        <v>2252263047</v>
      </c>
      <c r="H8841" s="532"/>
      <c r="I8841" s="532"/>
      <c r="J8841" s="532"/>
    </row>
    <row r="8842" spans="1:10" x14ac:dyDescent="0.25">
      <c r="A8842" s="362"/>
      <c r="B8842" s="611">
        <v>44704</v>
      </c>
      <c r="C8842" s="362" t="s">
        <v>86</v>
      </c>
      <c r="D8842" s="562">
        <v>99651307</v>
      </c>
      <c r="E8842" s="562"/>
      <c r="F8842" s="562"/>
      <c r="G8842" s="562">
        <f t="shared" si="547"/>
        <v>99651307</v>
      </c>
      <c r="H8842" s="362"/>
      <c r="I8842" s="362"/>
      <c r="J8842" s="362"/>
    </row>
    <row r="8843" spans="1:10" x14ac:dyDescent="0.25">
      <c r="A8843" s="362"/>
      <c r="B8843" s="611">
        <v>44704</v>
      </c>
      <c r="C8843" s="362" t="s">
        <v>87</v>
      </c>
      <c r="D8843" s="562">
        <v>89516685</v>
      </c>
      <c r="E8843" s="562"/>
      <c r="F8843" s="562"/>
      <c r="G8843" s="562">
        <f t="shared" si="547"/>
        <v>89516685</v>
      </c>
      <c r="H8843" s="362"/>
      <c r="I8843" s="362"/>
      <c r="J8843" s="362"/>
    </row>
    <row r="8844" spans="1:10" x14ac:dyDescent="0.25">
      <c r="A8844" s="362"/>
      <c r="B8844" s="611">
        <v>44704</v>
      </c>
      <c r="C8844" s="362" t="s">
        <v>88</v>
      </c>
      <c r="D8844" s="562">
        <v>217887784</v>
      </c>
      <c r="E8844" s="562"/>
      <c r="F8844" s="562"/>
      <c r="G8844" s="562">
        <f t="shared" ref="G8844:G8907" si="552">D8844+E8844-F8844</f>
        <v>217887784</v>
      </c>
      <c r="H8844" s="362"/>
      <c r="I8844" s="362"/>
      <c r="J8844" s="362"/>
    </row>
    <row r="8845" spans="1:10" x14ac:dyDescent="0.25">
      <c r="A8845" s="362"/>
      <c r="B8845" s="611">
        <v>44704</v>
      </c>
      <c r="C8845" s="362" t="s">
        <v>82</v>
      </c>
      <c r="D8845" s="562">
        <v>58872654</v>
      </c>
      <c r="E8845" s="562"/>
      <c r="F8845" s="562"/>
      <c r="G8845" s="562">
        <f t="shared" si="552"/>
        <v>58872654</v>
      </c>
      <c r="H8845" s="362"/>
      <c r="I8845" s="362"/>
      <c r="J8845" s="362"/>
    </row>
    <row r="8846" spans="1:10" x14ac:dyDescent="0.25">
      <c r="A8846" s="362"/>
      <c r="B8846" s="611">
        <v>44704</v>
      </c>
      <c r="C8846" s="362" t="s">
        <v>80</v>
      </c>
      <c r="D8846" s="562">
        <v>257219186</v>
      </c>
      <c r="E8846" s="562"/>
      <c r="F8846" s="562"/>
      <c r="G8846" s="562">
        <f t="shared" si="552"/>
        <v>257219186</v>
      </c>
      <c r="H8846" s="362"/>
      <c r="I8846" s="362"/>
      <c r="J8846" s="362"/>
    </row>
    <row r="8847" spans="1:10" x14ac:dyDescent="0.25">
      <c r="A8847" s="362"/>
      <c r="B8847" s="611">
        <v>44704</v>
      </c>
      <c r="C8847" s="362" t="s">
        <v>83</v>
      </c>
      <c r="D8847" s="562">
        <v>192704459</v>
      </c>
      <c r="E8847" s="562"/>
      <c r="F8847" s="562"/>
      <c r="G8847" s="562">
        <f t="shared" si="552"/>
        <v>192704459</v>
      </c>
      <c r="H8847" s="362"/>
      <c r="I8847" s="362"/>
      <c r="J8847" s="362"/>
    </row>
    <row r="8848" spans="1:10" x14ac:dyDescent="0.25">
      <c r="A8848" s="362"/>
      <c r="B8848" s="611">
        <v>44704</v>
      </c>
      <c r="C8848" s="362" t="s">
        <v>78</v>
      </c>
      <c r="D8848" s="562">
        <v>126223789</v>
      </c>
      <c r="E8848" s="562"/>
      <c r="F8848" s="562"/>
      <c r="G8848" s="562">
        <f t="shared" si="552"/>
        <v>126223789</v>
      </c>
      <c r="H8848" s="362"/>
      <c r="I8848" s="362"/>
      <c r="J8848" s="362"/>
    </row>
    <row r="8849" spans="1:10" x14ac:dyDescent="0.25">
      <c r="A8849" s="362"/>
      <c r="B8849" s="611">
        <v>44704</v>
      </c>
      <c r="C8849" s="362" t="s">
        <v>141</v>
      </c>
      <c r="D8849" s="562">
        <v>136043913</v>
      </c>
      <c r="E8849" s="562"/>
      <c r="F8849" s="562"/>
      <c r="G8849" s="562">
        <f t="shared" si="552"/>
        <v>136043913</v>
      </c>
      <c r="H8849" s="362"/>
      <c r="I8849" s="362"/>
      <c r="J8849" s="362"/>
    </row>
    <row r="8850" spans="1:10" x14ac:dyDescent="0.25">
      <c r="A8850" s="362"/>
      <c r="B8850" s="611">
        <v>44704</v>
      </c>
      <c r="C8850" s="362" t="s">
        <v>89</v>
      </c>
      <c r="D8850" s="562">
        <v>163313300</v>
      </c>
      <c r="E8850" s="562"/>
      <c r="F8850" s="562"/>
      <c r="G8850" s="562">
        <f t="shared" si="552"/>
        <v>163313300</v>
      </c>
      <c r="H8850" s="362"/>
      <c r="I8850" s="362"/>
      <c r="J8850" s="362"/>
    </row>
    <row r="8851" spans="1:10" x14ac:dyDescent="0.25">
      <c r="A8851" s="362"/>
      <c r="B8851" s="611">
        <v>44704</v>
      </c>
      <c r="C8851" s="362" t="s">
        <v>81</v>
      </c>
      <c r="D8851" s="562">
        <v>179486287</v>
      </c>
      <c r="E8851" s="562"/>
      <c r="F8851" s="562"/>
      <c r="G8851" s="562">
        <f t="shared" si="552"/>
        <v>179486287</v>
      </c>
      <c r="H8851" s="362"/>
      <c r="I8851" s="362"/>
      <c r="J8851" s="362"/>
    </row>
    <row r="8852" spans="1:10" x14ac:dyDescent="0.25">
      <c r="A8852" s="362"/>
      <c r="B8852" s="611">
        <v>44704</v>
      </c>
      <c r="C8852" s="362" t="s">
        <v>84</v>
      </c>
      <c r="D8852" s="562">
        <v>274411847</v>
      </c>
      <c r="E8852" s="562"/>
      <c r="F8852" s="562"/>
      <c r="G8852" s="562">
        <f t="shared" si="552"/>
        <v>274411847</v>
      </c>
      <c r="H8852" s="362"/>
      <c r="I8852" s="362"/>
      <c r="J8852" s="362"/>
    </row>
    <row r="8853" spans="1:10" x14ac:dyDescent="0.25">
      <c r="A8853" s="362"/>
      <c r="B8853" s="611">
        <v>44704</v>
      </c>
      <c r="C8853" s="362" t="s">
        <v>4751</v>
      </c>
      <c r="D8853" s="562">
        <v>174611300</v>
      </c>
      <c r="E8853" s="562"/>
      <c r="F8853" s="562"/>
      <c r="G8853" s="562">
        <f t="shared" si="552"/>
        <v>174611300</v>
      </c>
      <c r="H8853" s="362"/>
      <c r="I8853" s="362"/>
      <c r="J8853" s="362"/>
    </row>
    <row r="8854" spans="1:10" x14ac:dyDescent="0.25">
      <c r="A8854" s="362"/>
      <c r="B8854" s="611">
        <v>44704</v>
      </c>
      <c r="C8854" s="362" t="s">
        <v>166</v>
      </c>
      <c r="D8854" s="562">
        <v>57691038</v>
      </c>
      <c r="E8854" s="562"/>
      <c r="F8854" s="562"/>
      <c r="G8854" s="562">
        <f t="shared" si="552"/>
        <v>57691038</v>
      </c>
      <c r="H8854" s="362"/>
      <c r="I8854" s="362"/>
      <c r="J8854" s="362"/>
    </row>
    <row r="8855" spans="1:10" x14ac:dyDescent="0.25">
      <c r="A8855" s="362"/>
      <c r="B8855" s="611">
        <v>44704</v>
      </c>
      <c r="C8855" s="362" t="s">
        <v>3435</v>
      </c>
      <c r="D8855" s="562">
        <v>27012634</v>
      </c>
      <c r="E8855" s="562"/>
      <c r="F8855" s="562"/>
      <c r="G8855" s="562">
        <f t="shared" si="552"/>
        <v>27012634</v>
      </c>
      <c r="H8855" s="362"/>
      <c r="I8855" s="362"/>
      <c r="J8855" s="362"/>
    </row>
    <row r="8856" spans="1:10" x14ac:dyDescent="0.25">
      <c r="A8856" s="362"/>
      <c r="B8856" s="611">
        <v>44704</v>
      </c>
      <c r="C8856" s="370" t="s">
        <v>85</v>
      </c>
      <c r="D8856" s="562">
        <v>66693900</v>
      </c>
      <c r="E8856" s="562"/>
      <c r="F8856" s="562"/>
      <c r="G8856" s="562">
        <f t="shared" si="552"/>
        <v>66693900</v>
      </c>
      <c r="H8856" s="362"/>
      <c r="I8856" s="362"/>
      <c r="J8856" s="362"/>
    </row>
    <row r="8857" spans="1:10" x14ac:dyDescent="0.25">
      <c r="A8857" s="532"/>
      <c r="B8857" s="532"/>
      <c r="C8857" s="532"/>
      <c r="D8857" s="564">
        <f>SUM(D8842:D8856)</f>
        <v>2121340083</v>
      </c>
      <c r="E8857" s="564">
        <f t="shared" ref="E8857:G8857" si="553">SUM(E8842:E8856)</f>
        <v>0</v>
      </c>
      <c r="F8857" s="564">
        <f t="shared" si="553"/>
        <v>0</v>
      </c>
      <c r="G8857" s="564">
        <f t="shared" si="553"/>
        <v>2121340083</v>
      </c>
      <c r="H8857" s="532"/>
      <c r="I8857" s="532"/>
      <c r="J8857" s="532"/>
    </row>
    <row r="8858" spans="1:10" x14ac:dyDescent="0.25">
      <c r="A8858" s="362"/>
      <c r="B8858" s="611">
        <v>44705</v>
      </c>
      <c r="C8858" s="362" t="s">
        <v>86</v>
      </c>
      <c r="D8858" s="562">
        <v>209511328</v>
      </c>
      <c r="E8858" s="562"/>
      <c r="F8858" s="562"/>
      <c r="G8858" s="562">
        <f t="shared" si="552"/>
        <v>209511328</v>
      </c>
      <c r="H8858" s="362"/>
      <c r="I8858" s="362"/>
      <c r="J8858" s="362"/>
    </row>
    <row r="8859" spans="1:10" x14ac:dyDescent="0.25">
      <c r="A8859" s="362"/>
      <c r="B8859" s="611">
        <v>44705</v>
      </c>
      <c r="C8859" s="362" t="s">
        <v>87</v>
      </c>
      <c r="D8859" s="562">
        <v>133332022</v>
      </c>
      <c r="E8859" s="562"/>
      <c r="F8859" s="562"/>
      <c r="G8859" s="562">
        <f t="shared" si="552"/>
        <v>133332022</v>
      </c>
      <c r="H8859" s="362"/>
      <c r="I8859" s="362"/>
      <c r="J8859" s="362"/>
    </row>
    <row r="8860" spans="1:10" x14ac:dyDescent="0.25">
      <c r="A8860" s="362"/>
      <c r="B8860" s="611">
        <v>44705</v>
      </c>
      <c r="C8860" s="362" t="s">
        <v>88</v>
      </c>
      <c r="D8860" s="562">
        <v>137081222</v>
      </c>
      <c r="E8860" s="562"/>
      <c r="F8860" s="562"/>
      <c r="G8860" s="562">
        <f t="shared" si="552"/>
        <v>137081222</v>
      </c>
      <c r="H8860" s="362"/>
      <c r="I8860" s="362"/>
      <c r="J8860" s="362"/>
    </row>
    <row r="8861" spans="1:10" x14ac:dyDescent="0.25">
      <c r="A8861" s="362"/>
      <c r="B8861" s="611">
        <v>44705</v>
      </c>
      <c r="C8861" s="362" t="s">
        <v>82</v>
      </c>
      <c r="D8861" s="562">
        <v>81373643</v>
      </c>
      <c r="E8861" s="562"/>
      <c r="F8861" s="562"/>
      <c r="G8861" s="562">
        <f t="shared" si="552"/>
        <v>81373643</v>
      </c>
      <c r="H8861" s="362"/>
      <c r="I8861" s="362"/>
      <c r="J8861" s="362"/>
    </row>
    <row r="8862" spans="1:10" x14ac:dyDescent="0.25">
      <c r="A8862" s="362"/>
      <c r="B8862" s="611">
        <v>44705</v>
      </c>
      <c r="C8862" s="362" t="s">
        <v>80</v>
      </c>
      <c r="D8862" s="562">
        <v>227743700</v>
      </c>
      <c r="E8862" s="562"/>
      <c r="F8862" s="562"/>
      <c r="G8862" s="562">
        <f t="shared" si="552"/>
        <v>227743700</v>
      </c>
      <c r="H8862" s="362"/>
      <c r="I8862" s="362"/>
      <c r="J8862" s="362"/>
    </row>
    <row r="8863" spans="1:10" x14ac:dyDescent="0.25">
      <c r="A8863" s="362"/>
      <c r="B8863" s="611">
        <v>44705</v>
      </c>
      <c r="C8863" s="362" t="s">
        <v>83</v>
      </c>
      <c r="D8863" s="562">
        <v>162330462</v>
      </c>
      <c r="E8863" s="562"/>
      <c r="F8863" s="562"/>
      <c r="G8863" s="562">
        <f t="shared" si="552"/>
        <v>162330462</v>
      </c>
      <c r="H8863" s="362"/>
      <c r="I8863" s="362"/>
      <c r="J8863" s="968"/>
    </row>
    <row r="8864" spans="1:10" x14ac:dyDescent="0.25">
      <c r="A8864" s="362"/>
      <c r="B8864" s="611">
        <v>44705</v>
      </c>
      <c r="C8864" s="362" t="s">
        <v>78</v>
      </c>
      <c r="D8864" s="562">
        <v>194814519</v>
      </c>
      <c r="E8864" s="562"/>
      <c r="F8864" s="562"/>
      <c r="G8864" s="562">
        <f t="shared" si="552"/>
        <v>194814519</v>
      </c>
      <c r="H8864" s="362"/>
      <c r="I8864" s="362"/>
      <c r="J8864" s="968"/>
    </row>
    <row r="8865" spans="1:10" x14ac:dyDescent="0.25">
      <c r="A8865" s="362"/>
      <c r="B8865" s="611">
        <v>44705</v>
      </c>
      <c r="C8865" s="362" t="s">
        <v>141</v>
      </c>
      <c r="D8865" s="562">
        <v>194436478</v>
      </c>
      <c r="E8865" s="562"/>
      <c r="F8865" s="562"/>
      <c r="G8865" s="562">
        <f t="shared" si="552"/>
        <v>194436478</v>
      </c>
      <c r="H8865" s="362"/>
      <c r="I8865" s="362"/>
      <c r="J8865" s="362"/>
    </row>
    <row r="8866" spans="1:10" x14ac:dyDescent="0.25">
      <c r="A8866" s="362"/>
      <c r="B8866" s="611">
        <v>44705</v>
      </c>
      <c r="C8866" s="362" t="s">
        <v>89</v>
      </c>
      <c r="D8866" s="562">
        <v>164227700</v>
      </c>
      <c r="E8866" s="562"/>
      <c r="F8866" s="562"/>
      <c r="G8866" s="562">
        <f t="shared" si="552"/>
        <v>164227700</v>
      </c>
      <c r="H8866" s="362"/>
      <c r="I8866" s="362"/>
      <c r="J8866" s="362"/>
    </row>
    <row r="8867" spans="1:10" x14ac:dyDescent="0.25">
      <c r="A8867" s="362"/>
      <c r="B8867" s="611">
        <v>44705</v>
      </c>
      <c r="C8867" s="362" t="s">
        <v>81</v>
      </c>
      <c r="D8867" s="562">
        <v>130739955</v>
      </c>
      <c r="E8867" s="562"/>
      <c r="F8867" s="562"/>
      <c r="G8867" s="562">
        <f t="shared" si="552"/>
        <v>130739955</v>
      </c>
      <c r="H8867" s="362"/>
      <c r="I8867" s="362"/>
      <c r="J8867" s="362"/>
    </row>
    <row r="8868" spans="1:10" x14ac:dyDescent="0.25">
      <c r="A8868" s="362"/>
      <c r="B8868" s="611">
        <v>44705</v>
      </c>
      <c r="C8868" s="362" t="s">
        <v>84</v>
      </c>
      <c r="D8868" s="562">
        <v>220345929</v>
      </c>
      <c r="E8868" s="562"/>
      <c r="F8868" s="562"/>
      <c r="G8868" s="562">
        <f t="shared" si="552"/>
        <v>220345929</v>
      </c>
      <c r="H8868" s="362"/>
      <c r="I8868" s="362"/>
      <c r="J8868" s="362"/>
    </row>
    <row r="8869" spans="1:10" x14ac:dyDescent="0.25">
      <c r="A8869" s="362"/>
      <c r="B8869" s="611">
        <v>44705</v>
      </c>
      <c r="C8869" s="362" t="s">
        <v>4751</v>
      </c>
      <c r="D8869" s="562">
        <v>207773000</v>
      </c>
      <c r="E8869" s="562"/>
      <c r="F8869" s="562"/>
      <c r="G8869" s="562">
        <f t="shared" si="552"/>
        <v>207773000</v>
      </c>
      <c r="H8869" s="362"/>
      <c r="I8869" s="362"/>
      <c r="J8869" s="362"/>
    </row>
    <row r="8870" spans="1:10" x14ac:dyDescent="0.25">
      <c r="A8870" s="362"/>
      <c r="B8870" s="611">
        <v>44705</v>
      </c>
      <c r="C8870" s="362" t="s">
        <v>166</v>
      </c>
      <c r="D8870" s="562">
        <v>80383858</v>
      </c>
      <c r="E8870" s="562"/>
      <c r="F8870" s="562"/>
      <c r="G8870" s="562">
        <f t="shared" si="552"/>
        <v>80383858</v>
      </c>
      <c r="H8870" s="362"/>
      <c r="I8870" s="362"/>
      <c r="J8870" s="362"/>
    </row>
    <row r="8871" spans="1:10" x14ac:dyDescent="0.25">
      <c r="A8871" s="362"/>
      <c r="B8871" s="611">
        <v>44705</v>
      </c>
      <c r="C8871" s="362" t="s">
        <v>3435</v>
      </c>
      <c r="D8871" s="562">
        <v>112501730</v>
      </c>
      <c r="E8871" s="562"/>
      <c r="F8871" s="562"/>
      <c r="G8871" s="562">
        <f t="shared" si="552"/>
        <v>112501730</v>
      </c>
      <c r="H8871" s="362"/>
      <c r="I8871" s="362"/>
      <c r="J8871" s="362"/>
    </row>
    <row r="8872" spans="1:10" x14ac:dyDescent="0.25">
      <c r="A8872" s="362"/>
      <c r="B8872" s="611">
        <v>44705</v>
      </c>
      <c r="C8872" s="370" t="s">
        <v>85</v>
      </c>
      <c r="D8872" s="562">
        <v>43944400</v>
      </c>
      <c r="E8872" s="562"/>
      <c r="F8872" s="562"/>
      <c r="G8872" s="562">
        <f t="shared" si="552"/>
        <v>43944400</v>
      </c>
      <c r="H8872" s="362"/>
      <c r="I8872" s="362"/>
      <c r="J8872" s="362"/>
    </row>
    <row r="8873" spans="1:10" x14ac:dyDescent="0.25">
      <c r="A8873" s="532"/>
      <c r="B8873" s="532"/>
      <c r="C8873" s="532"/>
      <c r="D8873" s="564">
        <f>SUM(D8858:D8872)</f>
        <v>2300539946</v>
      </c>
      <c r="E8873" s="564">
        <f t="shared" ref="E8873:G8873" si="554">SUM(E8858:E8872)</f>
        <v>0</v>
      </c>
      <c r="F8873" s="564">
        <f t="shared" si="554"/>
        <v>0</v>
      </c>
      <c r="G8873" s="564">
        <f t="shared" si="554"/>
        <v>2300539946</v>
      </c>
      <c r="H8873" s="532"/>
      <c r="I8873" s="532"/>
      <c r="J8873" s="362"/>
    </row>
    <row r="8874" spans="1:10" x14ac:dyDescent="0.25">
      <c r="A8874" s="362"/>
      <c r="B8874" s="611">
        <v>44706</v>
      </c>
      <c r="C8874" s="362" t="s">
        <v>86</v>
      </c>
      <c r="D8874" s="562">
        <v>328058220</v>
      </c>
      <c r="E8874" s="562"/>
      <c r="F8874" s="562">
        <v>328058500</v>
      </c>
      <c r="G8874" s="562">
        <f t="shared" si="552"/>
        <v>-280</v>
      </c>
      <c r="H8874" s="362"/>
      <c r="I8874" s="362"/>
      <c r="J8874" s="362"/>
    </row>
    <row r="8875" spans="1:10" x14ac:dyDescent="0.25">
      <c r="A8875" s="362"/>
      <c r="B8875" s="611">
        <v>44706</v>
      </c>
      <c r="C8875" s="362" t="s">
        <v>87</v>
      </c>
      <c r="D8875" s="562">
        <v>148600847</v>
      </c>
      <c r="E8875" s="562"/>
      <c r="F8875" s="562">
        <v>148600900</v>
      </c>
      <c r="G8875" s="562">
        <f t="shared" si="552"/>
        <v>-53</v>
      </c>
      <c r="H8875" s="362"/>
      <c r="I8875" s="362"/>
      <c r="J8875" s="362"/>
    </row>
    <row r="8876" spans="1:10" x14ac:dyDescent="0.25">
      <c r="A8876" s="362"/>
      <c r="B8876" s="611">
        <v>44706</v>
      </c>
      <c r="C8876" s="362" t="s">
        <v>88</v>
      </c>
      <c r="D8876" s="562">
        <v>318511869</v>
      </c>
      <c r="E8876" s="562"/>
      <c r="F8876" s="562">
        <v>318511900</v>
      </c>
      <c r="G8876" s="562">
        <f t="shared" si="552"/>
        <v>-31</v>
      </c>
      <c r="H8876" s="362"/>
      <c r="I8876" s="362"/>
      <c r="J8876" s="362"/>
    </row>
    <row r="8877" spans="1:10" x14ac:dyDescent="0.25">
      <c r="A8877" s="362"/>
      <c r="B8877" s="611">
        <v>44706</v>
      </c>
      <c r="C8877" s="362" t="s">
        <v>82</v>
      </c>
      <c r="D8877" s="562">
        <v>75937223</v>
      </c>
      <c r="E8877" s="562"/>
      <c r="F8877" s="562">
        <v>75937300</v>
      </c>
      <c r="G8877" s="562">
        <f t="shared" si="552"/>
        <v>-77</v>
      </c>
      <c r="H8877" s="362"/>
      <c r="I8877" s="362"/>
      <c r="J8877" s="362"/>
    </row>
    <row r="8878" spans="1:10" x14ac:dyDescent="0.25">
      <c r="A8878" s="362"/>
      <c r="B8878" s="611">
        <v>44706</v>
      </c>
      <c r="C8878" s="362" t="s">
        <v>80</v>
      </c>
      <c r="D8878" s="562">
        <v>451026000</v>
      </c>
      <c r="E8878" s="562"/>
      <c r="F8878" s="562">
        <v>451026000</v>
      </c>
      <c r="G8878" s="562">
        <f t="shared" si="552"/>
        <v>0</v>
      </c>
      <c r="H8878" s="362"/>
      <c r="I8878" s="362"/>
      <c r="J8878" s="362"/>
    </row>
    <row r="8879" spans="1:10" x14ac:dyDescent="0.25">
      <c r="A8879" s="362"/>
      <c r="B8879" s="611">
        <v>44706</v>
      </c>
      <c r="C8879" s="362" t="s">
        <v>83</v>
      </c>
      <c r="D8879" s="562">
        <v>183119000</v>
      </c>
      <c r="E8879" s="562"/>
      <c r="F8879" s="562">
        <v>183119000</v>
      </c>
      <c r="G8879" s="562">
        <f t="shared" si="552"/>
        <v>0</v>
      </c>
      <c r="H8879" s="362"/>
      <c r="I8879" s="362"/>
      <c r="J8879" s="362"/>
    </row>
    <row r="8880" spans="1:10" x14ac:dyDescent="0.25">
      <c r="A8880" s="362"/>
      <c r="B8880" s="611">
        <v>44706</v>
      </c>
      <c r="C8880" s="362" t="s">
        <v>78</v>
      </c>
      <c r="D8880" s="562">
        <v>132384702</v>
      </c>
      <c r="E8880" s="562"/>
      <c r="F8880" s="562">
        <v>132384800</v>
      </c>
      <c r="G8880" s="562">
        <f t="shared" si="552"/>
        <v>-98</v>
      </c>
      <c r="H8880" s="362"/>
      <c r="I8880" s="362"/>
      <c r="J8880" s="362"/>
    </row>
    <row r="8881" spans="1:10" x14ac:dyDescent="0.25">
      <c r="A8881" s="362"/>
      <c r="B8881" s="611">
        <v>44706</v>
      </c>
      <c r="C8881" s="362" t="s">
        <v>141</v>
      </c>
      <c r="D8881" s="562">
        <v>159826448</v>
      </c>
      <c r="E8881" s="562"/>
      <c r="F8881" s="562">
        <v>159826500</v>
      </c>
      <c r="G8881" s="562">
        <f t="shared" si="552"/>
        <v>-52</v>
      </c>
      <c r="H8881" s="362"/>
      <c r="I8881" s="362"/>
      <c r="J8881" s="362"/>
    </row>
    <row r="8882" spans="1:10" x14ac:dyDescent="0.25">
      <c r="A8882" s="362"/>
      <c r="B8882" s="611">
        <v>44706</v>
      </c>
      <c r="C8882" s="362" t="s">
        <v>89</v>
      </c>
      <c r="D8882" s="562">
        <v>210206500</v>
      </c>
      <c r="E8882" s="562"/>
      <c r="F8882" s="562">
        <v>210206600</v>
      </c>
      <c r="G8882" s="562">
        <f t="shared" si="552"/>
        <v>-100</v>
      </c>
      <c r="H8882" s="362"/>
      <c r="I8882" s="362"/>
      <c r="J8882" s="362"/>
    </row>
    <row r="8883" spans="1:10" x14ac:dyDescent="0.25">
      <c r="A8883" s="362"/>
      <c r="B8883" s="611">
        <v>44706</v>
      </c>
      <c r="C8883" s="362" t="s">
        <v>81</v>
      </c>
      <c r="D8883" s="562">
        <v>140231359</v>
      </c>
      <c r="E8883" s="562"/>
      <c r="F8883" s="562">
        <v>140231400</v>
      </c>
      <c r="G8883" s="562">
        <f t="shared" si="552"/>
        <v>-41</v>
      </c>
      <c r="H8883" s="362"/>
      <c r="I8883" s="362"/>
      <c r="J8883" s="362"/>
    </row>
    <row r="8884" spans="1:10" x14ac:dyDescent="0.25">
      <c r="A8884" s="362"/>
      <c r="B8884" s="611">
        <v>44706</v>
      </c>
      <c r="C8884" s="362" t="s">
        <v>84</v>
      </c>
      <c r="D8884" s="562">
        <v>365306881</v>
      </c>
      <c r="E8884" s="562"/>
      <c r="F8884" s="562">
        <v>365306900</v>
      </c>
      <c r="G8884" s="562">
        <f t="shared" si="552"/>
        <v>-19</v>
      </c>
      <c r="H8884" s="362"/>
      <c r="I8884" s="362"/>
      <c r="J8884" s="362"/>
    </row>
    <row r="8885" spans="1:10" x14ac:dyDescent="0.25">
      <c r="A8885" s="362"/>
      <c r="B8885" s="611">
        <v>44706</v>
      </c>
      <c r="C8885" s="362" t="s">
        <v>4751</v>
      </c>
      <c r="D8885" s="562">
        <v>207536300</v>
      </c>
      <c r="E8885" s="562"/>
      <c r="F8885" s="562">
        <v>207536300</v>
      </c>
      <c r="G8885" s="562">
        <f t="shared" si="552"/>
        <v>0</v>
      </c>
      <c r="H8885" s="362"/>
      <c r="I8885" s="362"/>
      <c r="J8885" s="362"/>
    </row>
    <row r="8886" spans="1:10" x14ac:dyDescent="0.25">
      <c r="A8886" s="362"/>
      <c r="B8886" s="611">
        <v>44706</v>
      </c>
      <c r="C8886" s="362" t="s">
        <v>166</v>
      </c>
      <c r="D8886" s="562">
        <v>140253943</v>
      </c>
      <c r="E8886" s="562"/>
      <c r="F8886" s="562">
        <v>140391300</v>
      </c>
      <c r="G8886" s="562">
        <f t="shared" si="552"/>
        <v>-137357</v>
      </c>
      <c r="H8886" s="362"/>
      <c r="I8886" s="362"/>
      <c r="J8886" s="362"/>
    </row>
    <row r="8887" spans="1:10" x14ac:dyDescent="0.25">
      <c r="A8887" s="362"/>
      <c r="B8887" s="611">
        <v>44706</v>
      </c>
      <c r="C8887" s="362" t="s">
        <v>3435</v>
      </c>
      <c r="D8887" s="562">
        <v>72863710</v>
      </c>
      <c r="E8887" s="562"/>
      <c r="F8887" s="562">
        <v>72863800</v>
      </c>
      <c r="G8887" s="562">
        <f t="shared" si="552"/>
        <v>-90</v>
      </c>
      <c r="H8887" s="362"/>
      <c r="I8887" s="362"/>
      <c r="J8887" s="362"/>
    </row>
    <row r="8888" spans="1:10" x14ac:dyDescent="0.25">
      <c r="A8888" s="362"/>
      <c r="B8888" s="611">
        <v>44706</v>
      </c>
      <c r="C8888" s="370" t="s">
        <v>85</v>
      </c>
      <c r="D8888" s="562">
        <v>64288600</v>
      </c>
      <c r="E8888" s="562"/>
      <c r="F8888" s="562">
        <v>64288600</v>
      </c>
      <c r="G8888" s="562">
        <f t="shared" si="552"/>
        <v>0</v>
      </c>
      <c r="H8888" s="362"/>
      <c r="I8888" s="362"/>
      <c r="J8888" s="362"/>
    </row>
    <row r="8889" spans="1:10" x14ac:dyDescent="0.25">
      <c r="A8889" s="532"/>
      <c r="B8889" s="532"/>
      <c r="C8889" s="532"/>
      <c r="D8889" s="564">
        <f>SUM(D8874:D8888)</f>
        <v>2998151602</v>
      </c>
      <c r="E8889" s="564">
        <f t="shared" ref="E8889:G8889" si="555">SUM(E8874:E8888)</f>
        <v>0</v>
      </c>
      <c r="F8889" s="564">
        <f t="shared" si="555"/>
        <v>2998289800</v>
      </c>
      <c r="G8889" s="564">
        <f t="shared" si="555"/>
        <v>-138198</v>
      </c>
      <c r="H8889" s="532"/>
      <c r="I8889" s="532"/>
      <c r="J8889" s="532"/>
    </row>
    <row r="8890" spans="1:10" x14ac:dyDescent="0.25">
      <c r="A8890" s="362"/>
      <c r="B8890" s="611">
        <v>44707</v>
      </c>
      <c r="C8890" s="362" t="s">
        <v>86</v>
      </c>
      <c r="D8890" s="562">
        <v>241107601</v>
      </c>
      <c r="E8890" s="562"/>
      <c r="F8890" s="562">
        <v>241107600</v>
      </c>
      <c r="G8890" s="562">
        <f t="shared" si="552"/>
        <v>1</v>
      </c>
      <c r="H8890" s="362"/>
      <c r="I8890" s="362"/>
      <c r="J8890" s="362"/>
    </row>
    <row r="8891" spans="1:10" x14ac:dyDescent="0.25">
      <c r="A8891" s="362"/>
      <c r="B8891" s="611">
        <v>44707</v>
      </c>
      <c r="C8891" s="362" t="s">
        <v>87</v>
      </c>
      <c r="D8891" s="562">
        <v>119234749</v>
      </c>
      <c r="E8891" s="562"/>
      <c r="F8891" s="562">
        <v>119234800</v>
      </c>
      <c r="G8891" s="562">
        <f t="shared" si="552"/>
        <v>-51</v>
      </c>
      <c r="H8891" s="362"/>
      <c r="I8891" s="362"/>
      <c r="J8891" s="362"/>
    </row>
    <row r="8892" spans="1:10" x14ac:dyDescent="0.25">
      <c r="A8892" s="362"/>
      <c r="B8892" s="611">
        <v>44707</v>
      </c>
      <c r="C8892" s="362" t="s">
        <v>88</v>
      </c>
      <c r="D8892" s="562">
        <v>342345095</v>
      </c>
      <c r="E8892" s="562"/>
      <c r="F8892" s="562">
        <v>342345100</v>
      </c>
      <c r="G8892" s="562">
        <f t="shared" si="552"/>
        <v>-5</v>
      </c>
      <c r="H8892" s="362"/>
      <c r="I8892" s="362"/>
      <c r="J8892" s="362"/>
    </row>
    <row r="8893" spans="1:10" x14ac:dyDescent="0.25">
      <c r="A8893" s="362"/>
      <c r="B8893" s="611">
        <v>44707</v>
      </c>
      <c r="C8893" s="362" t="s">
        <v>82</v>
      </c>
      <c r="D8893" s="562">
        <v>186622165</v>
      </c>
      <c r="E8893" s="562"/>
      <c r="F8893" s="562">
        <v>186622300</v>
      </c>
      <c r="G8893" s="562">
        <f t="shared" si="552"/>
        <v>-135</v>
      </c>
      <c r="H8893" s="362"/>
      <c r="I8893" s="362"/>
      <c r="J8893" s="362"/>
    </row>
    <row r="8894" spans="1:10" x14ac:dyDescent="0.25">
      <c r="A8894" s="362"/>
      <c r="B8894" s="611">
        <v>44707</v>
      </c>
      <c r="C8894" s="362" t="s">
        <v>80</v>
      </c>
      <c r="D8894" s="562">
        <v>356361100</v>
      </c>
      <c r="E8894" s="562"/>
      <c r="F8894" s="562">
        <v>356361100</v>
      </c>
      <c r="G8894" s="562">
        <f t="shared" si="552"/>
        <v>0</v>
      </c>
      <c r="H8894" s="362"/>
      <c r="I8894" s="362"/>
      <c r="J8894" s="362"/>
    </row>
    <row r="8895" spans="1:10" x14ac:dyDescent="0.25">
      <c r="A8895" s="362"/>
      <c r="B8895" s="611">
        <v>44707</v>
      </c>
      <c r="C8895" s="362" t="s">
        <v>83</v>
      </c>
      <c r="D8895" s="562">
        <v>188305798</v>
      </c>
      <c r="E8895" s="562"/>
      <c r="F8895" s="562">
        <v>188305800</v>
      </c>
      <c r="G8895" s="562">
        <f t="shared" si="552"/>
        <v>-2</v>
      </c>
      <c r="H8895" s="362"/>
      <c r="I8895" s="362"/>
      <c r="J8895" s="362"/>
    </row>
    <row r="8896" spans="1:10" x14ac:dyDescent="0.25">
      <c r="A8896" s="362"/>
      <c r="B8896" s="611">
        <v>44707</v>
      </c>
      <c r="C8896" s="362" t="s">
        <v>78</v>
      </c>
      <c r="D8896" s="562">
        <v>139672461</v>
      </c>
      <c r="E8896" s="562"/>
      <c r="F8896" s="562">
        <v>139672500</v>
      </c>
      <c r="G8896" s="562">
        <f t="shared" si="552"/>
        <v>-39</v>
      </c>
      <c r="H8896" s="362"/>
      <c r="I8896" s="362"/>
      <c r="J8896" s="362"/>
    </row>
    <row r="8897" spans="1:10" x14ac:dyDescent="0.25">
      <c r="A8897" s="362"/>
      <c r="B8897" s="611">
        <v>44707</v>
      </c>
      <c r="C8897" s="362" t="s">
        <v>141</v>
      </c>
      <c r="D8897" s="562">
        <v>97751416</v>
      </c>
      <c r="E8897" s="562"/>
      <c r="F8897" s="562">
        <v>97751500</v>
      </c>
      <c r="G8897" s="562">
        <f t="shared" si="552"/>
        <v>-84</v>
      </c>
      <c r="H8897" s="362"/>
      <c r="I8897" s="362"/>
      <c r="J8897" s="362"/>
    </row>
    <row r="8898" spans="1:10" x14ac:dyDescent="0.25">
      <c r="A8898" s="362"/>
      <c r="B8898" s="611">
        <v>44707</v>
      </c>
      <c r="C8898" s="362" t="s">
        <v>89</v>
      </c>
      <c r="D8898" s="562">
        <v>166135500</v>
      </c>
      <c r="E8898" s="562"/>
      <c r="F8898" s="562">
        <v>166135500</v>
      </c>
      <c r="G8898" s="562">
        <f t="shared" si="552"/>
        <v>0</v>
      </c>
      <c r="H8898" s="362"/>
      <c r="I8898" s="362"/>
      <c r="J8898" s="362"/>
    </row>
    <row r="8899" spans="1:10" x14ac:dyDescent="0.25">
      <c r="A8899" s="362"/>
      <c r="B8899" s="611">
        <v>44707</v>
      </c>
      <c r="C8899" s="362" t="s">
        <v>81</v>
      </c>
      <c r="D8899" s="562">
        <v>96238694</v>
      </c>
      <c r="E8899" s="562"/>
      <c r="F8899" s="562">
        <v>96238700</v>
      </c>
      <c r="G8899" s="562">
        <f t="shared" si="552"/>
        <v>-6</v>
      </c>
      <c r="H8899" s="362"/>
      <c r="I8899" s="362"/>
      <c r="J8899" s="362"/>
    </row>
    <row r="8900" spans="1:10" x14ac:dyDescent="0.25">
      <c r="A8900" s="362"/>
      <c r="B8900" s="611">
        <v>44707</v>
      </c>
      <c r="C8900" s="362" t="s">
        <v>84</v>
      </c>
      <c r="D8900" s="562">
        <v>285152164</v>
      </c>
      <c r="E8900" s="562"/>
      <c r="F8900" s="562">
        <v>285152100</v>
      </c>
      <c r="G8900" s="562">
        <f t="shared" si="552"/>
        <v>64</v>
      </c>
      <c r="H8900" s="362"/>
      <c r="I8900" s="362"/>
      <c r="J8900" s="362"/>
    </row>
    <row r="8901" spans="1:10" x14ac:dyDescent="0.25">
      <c r="A8901" s="362"/>
      <c r="B8901" s="611">
        <v>44707</v>
      </c>
      <c r="C8901" s="362" t="s">
        <v>4751</v>
      </c>
      <c r="D8901" s="562">
        <v>299101700</v>
      </c>
      <c r="E8901" s="562"/>
      <c r="F8901" s="562">
        <v>299101600</v>
      </c>
      <c r="G8901" s="562">
        <f t="shared" si="552"/>
        <v>100</v>
      </c>
      <c r="H8901" s="362"/>
      <c r="I8901" s="362"/>
      <c r="J8901" s="362"/>
    </row>
    <row r="8902" spans="1:10" x14ac:dyDescent="0.25">
      <c r="A8902" s="362"/>
      <c r="B8902" s="611">
        <v>44707</v>
      </c>
      <c r="C8902" s="362" t="s">
        <v>166</v>
      </c>
      <c r="D8902" s="562">
        <v>135544075</v>
      </c>
      <c r="E8902" s="562"/>
      <c r="F8902" s="562">
        <v>135544000</v>
      </c>
      <c r="G8902" s="562">
        <f t="shared" si="552"/>
        <v>75</v>
      </c>
      <c r="H8902" s="362"/>
      <c r="I8902" s="362"/>
      <c r="J8902" s="362"/>
    </row>
    <row r="8903" spans="1:10" x14ac:dyDescent="0.25">
      <c r="A8903" s="362"/>
      <c r="B8903" s="611">
        <v>44707</v>
      </c>
      <c r="C8903" s="362" t="s">
        <v>3435</v>
      </c>
      <c r="D8903" s="562">
        <v>121972418</v>
      </c>
      <c r="E8903" s="562"/>
      <c r="F8903" s="562">
        <v>121972500</v>
      </c>
      <c r="G8903" s="562">
        <f t="shared" si="552"/>
        <v>-82</v>
      </c>
      <c r="H8903" s="362"/>
      <c r="I8903" s="362"/>
      <c r="J8903" s="362"/>
    </row>
    <row r="8904" spans="1:10" x14ac:dyDescent="0.25">
      <c r="A8904" s="362"/>
      <c r="B8904" s="611">
        <v>44707</v>
      </c>
      <c r="C8904" s="370" t="s">
        <v>85</v>
      </c>
      <c r="D8904" s="562">
        <v>54354000</v>
      </c>
      <c r="E8904" s="562"/>
      <c r="F8904" s="562">
        <v>54354000</v>
      </c>
      <c r="G8904" s="562">
        <f t="shared" si="552"/>
        <v>0</v>
      </c>
      <c r="H8904" s="362"/>
      <c r="I8904" s="362"/>
      <c r="J8904" s="362"/>
    </row>
    <row r="8905" spans="1:10" x14ac:dyDescent="0.25">
      <c r="A8905" s="532"/>
      <c r="B8905" s="532"/>
      <c r="C8905" s="532"/>
      <c r="D8905" s="564">
        <f>SUM(D8890:D8904)</f>
        <v>2829898936</v>
      </c>
      <c r="E8905" s="564">
        <f t="shared" ref="E8905:G8905" si="556">SUM(E8890:E8904)</f>
        <v>0</v>
      </c>
      <c r="F8905" s="564">
        <f t="shared" si="556"/>
        <v>2829899100</v>
      </c>
      <c r="G8905" s="564">
        <f t="shared" si="556"/>
        <v>-164</v>
      </c>
      <c r="H8905" s="532"/>
      <c r="I8905" s="532"/>
      <c r="J8905" s="532"/>
    </row>
    <row r="8906" spans="1:10" x14ac:dyDescent="0.25">
      <c r="A8906" s="362"/>
      <c r="B8906" s="611">
        <v>44708</v>
      </c>
      <c r="C8906" s="362" t="s">
        <v>86</v>
      </c>
      <c r="D8906" s="562">
        <v>174219739</v>
      </c>
      <c r="E8906" s="562"/>
      <c r="F8906" s="562">
        <v>174219800</v>
      </c>
      <c r="G8906" s="562">
        <f t="shared" si="552"/>
        <v>-61</v>
      </c>
      <c r="H8906" s="362"/>
      <c r="I8906" s="362"/>
      <c r="J8906" s="362"/>
    </row>
    <row r="8907" spans="1:10" x14ac:dyDescent="0.25">
      <c r="A8907" s="362"/>
      <c r="B8907" s="611">
        <v>44708</v>
      </c>
      <c r="C8907" s="362" t="s">
        <v>87</v>
      </c>
      <c r="D8907" s="562">
        <v>301949865</v>
      </c>
      <c r="E8907" s="562"/>
      <c r="F8907" s="562">
        <v>301950000</v>
      </c>
      <c r="G8907" s="562">
        <f t="shared" si="552"/>
        <v>-135</v>
      </c>
      <c r="H8907" s="362"/>
      <c r="I8907" s="362"/>
      <c r="J8907" s="362"/>
    </row>
    <row r="8908" spans="1:10" x14ac:dyDescent="0.25">
      <c r="A8908" s="362"/>
      <c r="B8908" s="611">
        <v>44708</v>
      </c>
      <c r="C8908" s="362" t="s">
        <v>88</v>
      </c>
      <c r="D8908" s="562">
        <v>232371187</v>
      </c>
      <c r="E8908" s="562"/>
      <c r="F8908" s="562">
        <v>232371200</v>
      </c>
      <c r="G8908" s="562">
        <f t="shared" ref="G8908:G8971" si="557">D8908+E8908-F8908</f>
        <v>-13</v>
      </c>
      <c r="H8908" s="362"/>
      <c r="I8908" s="362"/>
      <c r="J8908" s="362"/>
    </row>
    <row r="8909" spans="1:10" x14ac:dyDescent="0.25">
      <c r="A8909" s="362"/>
      <c r="B8909" s="611">
        <v>44708</v>
      </c>
      <c r="C8909" s="362" t="s">
        <v>82</v>
      </c>
      <c r="D8909" s="562">
        <v>161013914</v>
      </c>
      <c r="E8909" s="562"/>
      <c r="F8909" s="562">
        <v>161014000</v>
      </c>
      <c r="G8909" s="562">
        <f t="shared" si="557"/>
        <v>-86</v>
      </c>
      <c r="H8909" s="362"/>
      <c r="I8909" s="362"/>
      <c r="J8909" s="362"/>
    </row>
    <row r="8910" spans="1:10" x14ac:dyDescent="0.25">
      <c r="A8910" s="362"/>
      <c r="B8910" s="611">
        <v>44708</v>
      </c>
      <c r="C8910" s="362" t="s">
        <v>80</v>
      </c>
      <c r="D8910" s="562">
        <v>474012400</v>
      </c>
      <c r="E8910" s="562"/>
      <c r="F8910" s="562">
        <v>474012400</v>
      </c>
      <c r="G8910" s="562">
        <f t="shared" si="557"/>
        <v>0</v>
      </c>
      <c r="H8910" s="362"/>
      <c r="I8910" s="362"/>
      <c r="J8910" s="362"/>
    </row>
    <row r="8911" spans="1:10" x14ac:dyDescent="0.25">
      <c r="A8911" s="362"/>
      <c r="B8911" s="611">
        <v>44708</v>
      </c>
      <c r="C8911" s="362" t="s">
        <v>83</v>
      </c>
      <c r="D8911" s="562">
        <v>480320679</v>
      </c>
      <c r="E8911" s="562"/>
      <c r="F8911" s="562">
        <v>480320900</v>
      </c>
      <c r="G8911" s="562">
        <f t="shared" si="557"/>
        <v>-221</v>
      </c>
      <c r="H8911" s="362"/>
      <c r="I8911" s="362"/>
      <c r="J8911" s="362"/>
    </row>
    <row r="8912" spans="1:10" x14ac:dyDescent="0.25">
      <c r="A8912" s="362"/>
      <c r="B8912" s="611">
        <v>44708</v>
      </c>
      <c r="C8912" s="362" t="s">
        <v>78</v>
      </c>
      <c r="D8912" s="562">
        <v>220005384</v>
      </c>
      <c r="E8912" s="562"/>
      <c r="F8912" s="562">
        <v>220005400</v>
      </c>
      <c r="G8912" s="562">
        <f t="shared" si="557"/>
        <v>-16</v>
      </c>
      <c r="H8912" s="362"/>
      <c r="I8912" s="362"/>
      <c r="J8912" s="362"/>
    </row>
    <row r="8913" spans="1:10" x14ac:dyDescent="0.25">
      <c r="A8913" s="362"/>
      <c r="B8913" s="611">
        <v>44708</v>
      </c>
      <c r="C8913" s="362" t="s">
        <v>141</v>
      </c>
      <c r="D8913" s="562">
        <v>118082043</v>
      </c>
      <c r="E8913" s="562"/>
      <c r="F8913" s="562">
        <v>118082100</v>
      </c>
      <c r="G8913" s="562">
        <f t="shared" si="557"/>
        <v>-57</v>
      </c>
      <c r="H8913" s="362"/>
      <c r="I8913" s="362"/>
      <c r="J8913" s="362"/>
    </row>
    <row r="8914" spans="1:10" x14ac:dyDescent="0.25">
      <c r="A8914" s="362"/>
      <c r="B8914" s="611">
        <v>44708</v>
      </c>
      <c r="C8914" s="362" t="s">
        <v>89</v>
      </c>
      <c r="D8914" s="562">
        <v>237079700</v>
      </c>
      <c r="E8914" s="562"/>
      <c r="F8914" s="562">
        <v>237079800</v>
      </c>
      <c r="G8914" s="562">
        <f t="shared" si="557"/>
        <v>-100</v>
      </c>
      <c r="H8914" s="362"/>
      <c r="I8914" s="362"/>
      <c r="J8914" s="362"/>
    </row>
    <row r="8915" spans="1:10" x14ac:dyDescent="0.25">
      <c r="A8915" s="362"/>
      <c r="B8915" s="611">
        <v>44708</v>
      </c>
      <c r="C8915" s="362" t="s">
        <v>81</v>
      </c>
      <c r="D8915" s="562">
        <v>106134620</v>
      </c>
      <c r="E8915" s="562"/>
      <c r="F8915" s="562">
        <v>106134700</v>
      </c>
      <c r="G8915" s="562">
        <f t="shared" si="557"/>
        <v>-80</v>
      </c>
      <c r="H8915" s="362"/>
      <c r="I8915" s="362"/>
      <c r="J8915" s="362"/>
    </row>
    <row r="8916" spans="1:10" x14ac:dyDescent="0.25">
      <c r="A8916" s="362"/>
      <c r="B8916" s="611">
        <v>44708</v>
      </c>
      <c r="C8916" s="362" t="s">
        <v>84</v>
      </c>
      <c r="D8916" s="562">
        <v>275646717</v>
      </c>
      <c r="E8916" s="562"/>
      <c r="F8916" s="562">
        <v>275646900</v>
      </c>
      <c r="G8916" s="562">
        <f t="shared" si="557"/>
        <v>-183</v>
      </c>
      <c r="H8916" s="362"/>
      <c r="I8916" s="362"/>
      <c r="J8916" s="362"/>
    </row>
    <row r="8917" spans="1:10" x14ac:dyDescent="0.25">
      <c r="A8917" s="362"/>
      <c r="B8917" s="611">
        <v>44708</v>
      </c>
      <c r="C8917" s="362" t="s">
        <v>4751</v>
      </c>
      <c r="D8917" s="562">
        <v>159582900</v>
      </c>
      <c r="E8917" s="562"/>
      <c r="F8917" s="562">
        <v>159582900</v>
      </c>
      <c r="G8917" s="562">
        <f t="shared" si="557"/>
        <v>0</v>
      </c>
      <c r="H8917" s="362"/>
      <c r="I8917" s="362"/>
      <c r="J8917" s="362"/>
    </row>
    <row r="8918" spans="1:10" x14ac:dyDescent="0.25">
      <c r="A8918" s="362"/>
      <c r="B8918" s="611">
        <v>44708</v>
      </c>
      <c r="C8918" s="362" t="s">
        <v>166</v>
      </c>
      <c r="D8918" s="562">
        <v>48459376</v>
      </c>
      <c r="E8918" s="562"/>
      <c r="F8918" s="562">
        <v>48459500</v>
      </c>
      <c r="G8918" s="562">
        <f t="shared" si="557"/>
        <v>-124</v>
      </c>
      <c r="H8918" s="362"/>
      <c r="I8918" s="362"/>
      <c r="J8918" s="362"/>
    </row>
    <row r="8919" spans="1:10" x14ac:dyDescent="0.25">
      <c r="A8919" s="362"/>
      <c r="B8919" s="611">
        <v>44708</v>
      </c>
      <c r="C8919" s="362" t="s">
        <v>3435</v>
      </c>
      <c r="D8919" s="562">
        <v>21291434</v>
      </c>
      <c r="E8919" s="562"/>
      <c r="F8919" s="562">
        <v>21291500</v>
      </c>
      <c r="G8919" s="562">
        <f t="shared" si="557"/>
        <v>-66</v>
      </c>
      <c r="H8919" s="362"/>
      <c r="I8919" s="362"/>
      <c r="J8919" s="362"/>
    </row>
    <row r="8920" spans="1:10" x14ac:dyDescent="0.25">
      <c r="A8920" s="362"/>
      <c r="B8920" s="611">
        <v>44708</v>
      </c>
      <c r="C8920" s="370" t="s">
        <v>85</v>
      </c>
      <c r="D8920" s="562">
        <v>33570900</v>
      </c>
      <c r="E8920" s="562"/>
      <c r="F8920" s="562">
        <v>33570900</v>
      </c>
      <c r="G8920" s="562">
        <f t="shared" si="557"/>
        <v>0</v>
      </c>
      <c r="H8920" s="362"/>
      <c r="I8920" s="362"/>
      <c r="J8920" s="362"/>
    </row>
    <row r="8921" spans="1:10" x14ac:dyDescent="0.25">
      <c r="A8921" s="532"/>
      <c r="B8921" s="532"/>
      <c r="C8921" s="532"/>
      <c r="D8921" s="564">
        <f>SUM(D8906:D8920)</f>
        <v>3043740858</v>
      </c>
      <c r="E8921" s="564">
        <f t="shared" ref="E8921:G8921" si="558">SUM(E8906:E8920)</f>
        <v>0</v>
      </c>
      <c r="F8921" s="564">
        <f t="shared" si="558"/>
        <v>3043742000</v>
      </c>
      <c r="G8921" s="564">
        <f t="shared" si="558"/>
        <v>-1142</v>
      </c>
      <c r="H8921" s="532"/>
      <c r="I8921" s="532"/>
      <c r="J8921" s="532"/>
    </row>
    <row r="8922" spans="1:10" x14ac:dyDescent="0.25">
      <c r="A8922" s="362"/>
      <c r="B8922" s="611">
        <v>44709</v>
      </c>
      <c r="C8922" s="362" t="s">
        <v>86</v>
      </c>
      <c r="D8922" s="562">
        <v>58507946</v>
      </c>
      <c r="E8922" s="562"/>
      <c r="F8922" s="562"/>
      <c r="G8922" s="562">
        <f t="shared" si="557"/>
        <v>58507946</v>
      </c>
      <c r="H8922" s="362"/>
      <c r="I8922" s="362"/>
      <c r="J8922" s="362"/>
    </row>
    <row r="8923" spans="1:10" x14ac:dyDescent="0.25">
      <c r="A8923" s="362"/>
      <c r="B8923" s="611">
        <v>44709</v>
      </c>
      <c r="C8923" s="362" t="s">
        <v>87</v>
      </c>
      <c r="D8923" s="562">
        <v>226370402</v>
      </c>
      <c r="E8923" s="562"/>
      <c r="F8923" s="562"/>
      <c r="G8923" s="562">
        <f t="shared" si="557"/>
        <v>226370402</v>
      </c>
      <c r="H8923" s="362"/>
      <c r="I8923" s="362"/>
      <c r="J8923" s="362"/>
    </row>
    <row r="8924" spans="1:10" x14ac:dyDescent="0.25">
      <c r="A8924" s="362"/>
      <c r="B8924" s="611">
        <v>44709</v>
      </c>
      <c r="C8924" s="362" t="s">
        <v>88</v>
      </c>
      <c r="D8924" s="562">
        <v>128359553</v>
      </c>
      <c r="E8924" s="562"/>
      <c r="F8924" s="562"/>
      <c r="G8924" s="562">
        <f t="shared" si="557"/>
        <v>128359553</v>
      </c>
      <c r="H8924" s="362"/>
      <c r="I8924" s="362"/>
      <c r="J8924" s="362"/>
    </row>
    <row r="8925" spans="1:10" x14ac:dyDescent="0.25">
      <c r="A8925" s="362"/>
      <c r="B8925" s="611">
        <v>44709</v>
      </c>
      <c r="C8925" s="362" t="s">
        <v>82</v>
      </c>
      <c r="D8925" s="562">
        <v>162717196</v>
      </c>
      <c r="E8925" s="562"/>
      <c r="F8925" s="562"/>
      <c r="G8925" s="562">
        <f t="shared" si="557"/>
        <v>162717196</v>
      </c>
      <c r="H8925" s="362"/>
      <c r="I8925" s="362"/>
      <c r="J8925" s="362"/>
    </row>
    <row r="8926" spans="1:10" x14ac:dyDescent="0.25">
      <c r="A8926" s="362"/>
      <c r="B8926" s="611">
        <v>44709</v>
      </c>
      <c r="C8926" s="362" t="s">
        <v>80</v>
      </c>
      <c r="D8926" s="562">
        <v>357354400</v>
      </c>
      <c r="E8926" s="562"/>
      <c r="F8926" s="562"/>
      <c r="G8926" s="562">
        <f t="shared" si="557"/>
        <v>357354400</v>
      </c>
      <c r="H8926" s="362"/>
      <c r="I8926" s="362"/>
      <c r="J8926" s="362"/>
    </row>
    <row r="8927" spans="1:10" x14ac:dyDescent="0.25">
      <c r="A8927" s="362"/>
      <c r="B8927" s="611">
        <v>44709</v>
      </c>
      <c r="C8927" s="362" t="s">
        <v>83</v>
      </c>
      <c r="D8927" s="562">
        <v>246738000</v>
      </c>
      <c r="E8927" s="562"/>
      <c r="F8927" s="562"/>
      <c r="G8927" s="562">
        <f t="shared" si="557"/>
        <v>246738000</v>
      </c>
      <c r="H8927" s="362"/>
      <c r="I8927" s="362"/>
      <c r="J8927" s="362"/>
    </row>
    <row r="8928" spans="1:10" x14ac:dyDescent="0.25">
      <c r="A8928" s="362"/>
      <c r="B8928" s="611">
        <v>44709</v>
      </c>
      <c r="C8928" s="362" t="s">
        <v>78</v>
      </c>
      <c r="D8928" s="562">
        <v>166738226</v>
      </c>
      <c r="E8928" s="562"/>
      <c r="F8928" s="562"/>
      <c r="G8928" s="562">
        <f t="shared" si="557"/>
        <v>166738226</v>
      </c>
      <c r="H8928" s="362"/>
      <c r="I8928" s="362"/>
      <c r="J8928" s="362"/>
    </row>
    <row r="8929" spans="1:10" x14ac:dyDescent="0.25">
      <c r="A8929" s="362"/>
      <c r="B8929" s="611">
        <v>44709</v>
      </c>
      <c r="C8929" s="362" t="s">
        <v>141</v>
      </c>
      <c r="D8929" s="562">
        <v>66052042</v>
      </c>
      <c r="E8929" s="562"/>
      <c r="F8929" s="562"/>
      <c r="G8929" s="562">
        <f t="shared" si="557"/>
        <v>66052042</v>
      </c>
      <c r="H8929" s="362"/>
      <c r="I8929" s="362"/>
      <c r="J8929" s="362"/>
    </row>
    <row r="8930" spans="1:10" x14ac:dyDescent="0.25">
      <c r="A8930" s="362"/>
      <c r="B8930" s="611">
        <v>44709</v>
      </c>
      <c r="C8930" s="362" t="s">
        <v>89</v>
      </c>
      <c r="D8930" s="562">
        <v>149726000</v>
      </c>
      <c r="E8930" s="562"/>
      <c r="F8930" s="562"/>
      <c r="G8930" s="562">
        <f t="shared" si="557"/>
        <v>149726000</v>
      </c>
      <c r="H8930" s="362"/>
      <c r="I8930" s="362"/>
      <c r="J8930" s="362"/>
    </row>
    <row r="8931" spans="1:10" x14ac:dyDescent="0.25">
      <c r="A8931" s="362"/>
      <c r="B8931" s="611">
        <v>44709</v>
      </c>
      <c r="C8931" s="362" t="s">
        <v>81</v>
      </c>
      <c r="D8931" s="562">
        <v>236592893</v>
      </c>
      <c r="E8931" s="562"/>
      <c r="F8931" s="562"/>
      <c r="G8931" s="562">
        <f t="shared" si="557"/>
        <v>236592893</v>
      </c>
      <c r="H8931" s="362"/>
      <c r="I8931" s="362"/>
      <c r="J8931" s="362"/>
    </row>
    <row r="8932" spans="1:10" x14ac:dyDescent="0.25">
      <c r="A8932" s="362"/>
      <c r="B8932" s="611">
        <v>44709</v>
      </c>
      <c r="C8932" s="362" t="s">
        <v>84</v>
      </c>
      <c r="D8932" s="562">
        <v>175885971</v>
      </c>
      <c r="E8932" s="562"/>
      <c r="F8932" s="562"/>
      <c r="G8932" s="562">
        <f t="shared" si="557"/>
        <v>175885971</v>
      </c>
      <c r="H8932" s="362"/>
      <c r="I8932" s="362"/>
      <c r="J8932" s="362"/>
    </row>
    <row r="8933" spans="1:10" x14ac:dyDescent="0.25">
      <c r="A8933" s="362"/>
      <c r="B8933" s="611">
        <v>44709</v>
      </c>
      <c r="C8933" s="362" t="s">
        <v>4751</v>
      </c>
      <c r="D8933" s="562">
        <v>201927800</v>
      </c>
      <c r="E8933" s="562"/>
      <c r="F8933" s="562"/>
      <c r="G8933" s="562">
        <f t="shared" si="557"/>
        <v>201927800</v>
      </c>
      <c r="H8933" s="362"/>
      <c r="I8933" s="362"/>
      <c r="J8933" s="362"/>
    </row>
    <row r="8934" spans="1:10" x14ac:dyDescent="0.25">
      <c r="A8934" s="362"/>
      <c r="B8934" s="611">
        <v>44709</v>
      </c>
      <c r="C8934" s="362" t="s">
        <v>166</v>
      </c>
      <c r="D8934" s="562"/>
      <c r="E8934" s="562"/>
      <c r="F8934" s="562"/>
      <c r="G8934" s="562">
        <f t="shared" si="557"/>
        <v>0</v>
      </c>
      <c r="H8934" s="362"/>
      <c r="I8934" s="362"/>
      <c r="J8934" s="362"/>
    </row>
    <row r="8935" spans="1:10" x14ac:dyDescent="0.25">
      <c r="A8935" s="362"/>
      <c r="B8935" s="611">
        <v>44709</v>
      </c>
      <c r="C8935" s="362" t="s">
        <v>3435</v>
      </c>
      <c r="D8935" s="562"/>
      <c r="E8935" s="562"/>
      <c r="F8935" s="562"/>
      <c r="G8935" s="562">
        <f t="shared" si="557"/>
        <v>0</v>
      </c>
      <c r="H8935" s="362"/>
      <c r="I8935" s="362"/>
      <c r="J8935" s="362"/>
    </row>
    <row r="8936" spans="1:10" x14ac:dyDescent="0.25">
      <c r="A8936" s="362"/>
      <c r="B8936" s="611">
        <v>44709</v>
      </c>
      <c r="C8936" s="370" t="s">
        <v>85</v>
      </c>
      <c r="D8936" s="362">
        <v>59771400</v>
      </c>
      <c r="E8936" s="362"/>
      <c r="F8936" s="362"/>
      <c r="G8936" s="562">
        <f t="shared" si="557"/>
        <v>59771400</v>
      </c>
      <c r="H8936" s="362"/>
      <c r="I8936" s="362"/>
      <c r="J8936" s="362"/>
    </row>
    <row r="8937" spans="1:10" x14ac:dyDescent="0.25">
      <c r="A8937" s="532"/>
      <c r="B8937" s="532"/>
      <c r="C8937" s="532"/>
      <c r="D8937" s="632">
        <f>SUM(D8922:D8936)</f>
        <v>2236741829</v>
      </c>
      <c r="E8937" s="632">
        <f t="shared" ref="E8937:G8937" si="559">SUM(E8922:E8936)</f>
        <v>0</v>
      </c>
      <c r="F8937" s="632">
        <f t="shared" si="559"/>
        <v>0</v>
      </c>
      <c r="G8937" s="632">
        <f t="shared" si="559"/>
        <v>2236741829</v>
      </c>
      <c r="H8937" s="532"/>
      <c r="I8937" s="532"/>
      <c r="J8937" s="532"/>
    </row>
    <row r="8938" spans="1:10" x14ac:dyDescent="0.25">
      <c r="A8938" s="362"/>
      <c r="B8938" s="611">
        <v>44711</v>
      </c>
      <c r="C8938" s="362" t="s">
        <v>86</v>
      </c>
      <c r="D8938" s="562">
        <v>129972514</v>
      </c>
      <c r="E8938" s="562"/>
      <c r="F8938" s="562"/>
      <c r="G8938" s="562">
        <f t="shared" si="557"/>
        <v>129972514</v>
      </c>
      <c r="H8938" s="362"/>
      <c r="I8938" s="362"/>
      <c r="J8938" s="362"/>
    </row>
    <row r="8939" spans="1:10" x14ac:dyDescent="0.25">
      <c r="A8939" s="362"/>
      <c r="B8939" s="611">
        <v>44711</v>
      </c>
      <c r="C8939" s="362" t="s">
        <v>87</v>
      </c>
      <c r="D8939" s="562">
        <v>390006732</v>
      </c>
      <c r="E8939" s="562"/>
      <c r="F8939" s="562"/>
      <c r="G8939" s="562">
        <f t="shared" si="557"/>
        <v>390006732</v>
      </c>
      <c r="H8939" s="362"/>
      <c r="I8939" s="362"/>
      <c r="J8939" s="362"/>
    </row>
    <row r="8940" spans="1:10" x14ac:dyDescent="0.25">
      <c r="A8940" s="362"/>
      <c r="B8940" s="611">
        <v>44711</v>
      </c>
      <c r="C8940" s="362" t="s">
        <v>88</v>
      </c>
      <c r="D8940" s="562">
        <v>272431612</v>
      </c>
      <c r="E8940" s="562"/>
      <c r="F8940" s="562"/>
      <c r="G8940" s="562">
        <f t="shared" si="557"/>
        <v>272431612</v>
      </c>
      <c r="H8940" s="362"/>
      <c r="I8940" s="362"/>
      <c r="J8940" s="362"/>
    </row>
    <row r="8941" spans="1:10" x14ac:dyDescent="0.25">
      <c r="A8941" s="362"/>
      <c r="B8941" s="611">
        <v>44711</v>
      </c>
      <c r="C8941" s="362" t="s">
        <v>82</v>
      </c>
      <c r="D8941" s="562">
        <v>86127870</v>
      </c>
      <c r="E8941" s="562"/>
      <c r="F8941" s="562"/>
      <c r="G8941" s="562">
        <f t="shared" si="557"/>
        <v>86127870</v>
      </c>
      <c r="H8941" s="362"/>
      <c r="I8941" s="362"/>
      <c r="J8941" s="362"/>
    </row>
    <row r="8942" spans="1:10" x14ac:dyDescent="0.25">
      <c r="A8942" s="362"/>
      <c r="B8942" s="611">
        <v>44711</v>
      </c>
      <c r="C8942" s="362" t="s">
        <v>80</v>
      </c>
      <c r="D8942" s="562">
        <v>310894400</v>
      </c>
      <c r="E8942" s="562"/>
      <c r="F8942" s="562"/>
      <c r="G8942" s="562">
        <f t="shared" si="557"/>
        <v>310894400</v>
      </c>
      <c r="H8942" s="362"/>
      <c r="I8942" s="362"/>
      <c r="J8942" s="362"/>
    </row>
    <row r="8943" spans="1:10" x14ac:dyDescent="0.25">
      <c r="A8943" s="362"/>
      <c r="B8943" s="611">
        <v>44711</v>
      </c>
      <c r="C8943" s="362" t="s">
        <v>83</v>
      </c>
      <c r="D8943" s="562">
        <v>320781780</v>
      </c>
      <c r="E8943" s="562"/>
      <c r="F8943" s="562"/>
      <c r="G8943" s="562">
        <f t="shared" si="557"/>
        <v>320781780</v>
      </c>
      <c r="H8943" s="362"/>
      <c r="I8943" s="362"/>
      <c r="J8943" s="362"/>
    </row>
    <row r="8944" spans="1:10" x14ac:dyDescent="0.25">
      <c r="A8944" s="362"/>
      <c r="B8944" s="611">
        <v>44711</v>
      </c>
      <c r="C8944" s="362" t="s">
        <v>78</v>
      </c>
      <c r="D8944" s="562">
        <v>103110021</v>
      </c>
      <c r="E8944" s="562"/>
      <c r="F8944" s="562"/>
      <c r="G8944" s="562">
        <f t="shared" si="557"/>
        <v>103110021</v>
      </c>
      <c r="H8944" s="362"/>
      <c r="I8944" s="362"/>
      <c r="J8944" s="362"/>
    </row>
    <row r="8945" spans="1:10" x14ac:dyDescent="0.25">
      <c r="A8945" s="362"/>
      <c r="B8945" s="611">
        <v>44711</v>
      </c>
      <c r="C8945" s="362" t="s">
        <v>141</v>
      </c>
      <c r="D8945" s="562">
        <v>90849549</v>
      </c>
      <c r="E8945" s="562"/>
      <c r="F8945" s="562"/>
      <c r="G8945" s="562">
        <f t="shared" si="557"/>
        <v>90849549</v>
      </c>
      <c r="H8945" s="362"/>
      <c r="I8945" s="362"/>
      <c r="J8945" s="362"/>
    </row>
    <row r="8946" spans="1:10" x14ac:dyDescent="0.25">
      <c r="A8946" s="362"/>
      <c r="B8946" s="611">
        <v>44711</v>
      </c>
      <c r="C8946" s="362" t="s">
        <v>89</v>
      </c>
      <c r="D8946" s="562">
        <v>201851900</v>
      </c>
      <c r="E8946" s="562"/>
      <c r="F8946" s="562"/>
      <c r="G8946" s="562">
        <f t="shared" si="557"/>
        <v>201851900</v>
      </c>
      <c r="H8946" s="362"/>
      <c r="I8946" s="362"/>
      <c r="J8946" s="362"/>
    </row>
    <row r="8947" spans="1:10" x14ac:dyDescent="0.25">
      <c r="A8947" s="362"/>
      <c r="B8947" s="611">
        <v>44711</v>
      </c>
      <c r="C8947" s="362" t="s">
        <v>81</v>
      </c>
      <c r="D8947" s="562">
        <v>147211537</v>
      </c>
      <c r="E8947" s="562"/>
      <c r="F8947" s="562"/>
      <c r="G8947" s="562">
        <f t="shared" si="557"/>
        <v>147211537</v>
      </c>
      <c r="H8947" s="362"/>
      <c r="I8947" s="362"/>
      <c r="J8947" s="362"/>
    </row>
    <row r="8948" spans="1:10" x14ac:dyDescent="0.25">
      <c r="A8948" s="362"/>
      <c r="B8948" s="611">
        <v>44711</v>
      </c>
      <c r="C8948" s="362" t="s">
        <v>84</v>
      </c>
      <c r="D8948" s="562">
        <v>541504871</v>
      </c>
      <c r="E8948" s="562"/>
      <c r="F8948" s="562"/>
      <c r="G8948" s="562">
        <f t="shared" si="557"/>
        <v>541504871</v>
      </c>
      <c r="H8948" s="362"/>
      <c r="I8948" s="362"/>
      <c r="J8948" s="362"/>
    </row>
    <row r="8949" spans="1:10" x14ac:dyDescent="0.25">
      <c r="A8949" s="362"/>
      <c r="B8949" s="611">
        <v>44711</v>
      </c>
      <c r="C8949" s="362" t="s">
        <v>4751</v>
      </c>
      <c r="D8949" s="562">
        <v>222713000</v>
      </c>
      <c r="E8949" s="562"/>
      <c r="F8949" s="562"/>
      <c r="G8949" s="562">
        <f t="shared" si="557"/>
        <v>222713000</v>
      </c>
      <c r="H8949" s="362"/>
      <c r="I8949" s="362"/>
      <c r="J8949" s="362"/>
    </row>
    <row r="8950" spans="1:10" x14ac:dyDescent="0.25">
      <c r="A8950" s="362"/>
      <c r="B8950" s="611">
        <v>44711</v>
      </c>
      <c r="C8950" s="362" t="s">
        <v>166</v>
      </c>
      <c r="D8950" s="562">
        <v>132829068</v>
      </c>
      <c r="E8950" s="562"/>
      <c r="F8950" s="562"/>
      <c r="G8950" s="562">
        <f t="shared" si="557"/>
        <v>132829068</v>
      </c>
      <c r="H8950" s="362"/>
      <c r="I8950" s="362"/>
      <c r="J8950" s="362"/>
    </row>
    <row r="8951" spans="1:10" x14ac:dyDescent="0.25">
      <c r="A8951" s="362"/>
      <c r="B8951" s="611">
        <v>44711</v>
      </c>
      <c r="C8951" s="362" t="s">
        <v>3435</v>
      </c>
      <c r="D8951" s="562">
        <v>50426774</v>
      </c>
      <c r="E8951" s="562"/>
      <c r="F8951" s="562"/>
      <c r="G8951" s="562">
        <f t="shared" si="557"/>
        <v>50426774</v>
      </c>
      <c r="H8951" s="362"/>
      <c r="I8951" s="362"/>
      <c r="J8951" s="362"/>
    </row>
    <row r="8952" spans="1:10" x14ac:dyDescent="0.25">
      <c r="A8952" s="362"/>
      <c r="B8952" s="611">
        <v>44711</v>
      </c>
      <c r="C8952" s="370" t="s">
        <v>85</v>
      </c>
      <c r="D8952" s="562">
        <v>85337000</v>
      </c>
      <c r="E8952" s="562"/>
      <c r="F8952" s="562"/>
      <c r="G8952" s="562">
        <f t="shared" si="557"/>
        <v>85337000</v>
      </c>
      <c r="H8952" s="362"/>
      <c r="I8952" s="362"/>
      <c r="J8952" s="362"/>
    </row>
    <row r="8953" spans="1:10" x14ac:dyDescent="0.25">
      <c r="A8953" s="532"/>
      <c r="B8953" s="532"/>
      <c r="C8953" s="532"/>
      <c r="D8953" s="564">
        <f>SUM(D8938:D8952)</f>
        <v>3086048628</v>
      </c>
      <c r="E8953" s="564">
        <f t="shared" ref="E8953:G8953" si="560">SUM(E8938:E8952)</f>
        <v>0</v>
      </c>
      <c r="F8953" s="564">
        <f t="shared" si="560"/>
        <v>0</v>
      </c>
      <c r="G8953" s="564">
        <f t="shared" si="560"/>
        <v>3086048628</v>
      </c>
      <c r="H8953" s="532"/>
      <c r="I8953" s="532"/>
      <c r="J8953" s="532"/>
    </row>
    <row r="8954" spans="1:10" s="1407" customFormat="1" x14ac:dyDescent="0.25">
      <c r="A8954" s="1406"/>
      <c r="B8954" s="1408">
        <v>44712</v>
      </c>
      <c r="C8954" s="362" t="s">
        <v>86</v>
      </c>
      <c r="D8954" s="577">
        <v>134579985</v>
      </c>
      <c r="E8954" s="577"/>
      <c r="F8954" s="577"/>
      <c r="G8954" s="562">
        <f t="shared" si="557"/>
        <v>134579985</v>
      </c>
      <c r="H8954" s="1406"/>
      <c r="I8954" s="1406"/>
      <c r="J8954" s="1406"/>
    </row>
    <row r="8955" spans="1:10" s="1407" customFormat="1" x14ac:dyDescent="0.25">
      <c r="A8955" s="1406"/>
      <c r="B8955" s="1408">
        <v>44712</v>
      </c>
      <c r="C8955" s="362" t="s">
        <v>87</v>
      </c>
      <c r="D8955" s="577">
        <v>214913502</v>
      </c>
      <c r="E8955" s="577"/>
      <c r="F8955" s="577"/>
      <c r="G8955" s="562">
        <f t="shared" si="557"/>
        <v>214913502</v>
      </c>
      <c r="H8955" s="1406"/>
      <c r="I8955" s="1406"/>
      <c r="J8955" s="1406"/>
    </row>
    <row r="8956" spans="1:10" s="1407" customFormat="1" x14ac:dyDescent="0.25">
      <c r="A8956" s="1406"/>
      <c r="B8956" s="1408">
        <v>44712</v>
      </c>
      <c r="C8956" s="362" t="s">
        <v>88</v>
      </c>
      <c r="D8956" s="577">
        <v>274157164</v>
      </c>
      <c r="E8956" s="577"/>
      <c r="F8956" s="577"/>
      <c r="G8956" s="562">
        <f t="shared" si="557"/>
        <v>274157164</v>
      </c>
      <c r="H8956" s="1406"/>
      <c r="I8956" s="1406"/>
      <c r="J8956" s="1406"/>
    </row>
    <row r="8957" spans="1:10" s="1407" customFormat="1" x14ac:dyDescent="0.25">
      <c r="A8957" s="1406"/>
      <c r="B8957" s="1408">
        <v>44712</v>
      </c>
      <c r="C8957" s="362" t="s">
        <v>82</v>
      </c>
      <c r="D8957" s="577">
        <v>52127212</v>
      </c>
      <c r="E8957" s="577"/>
      <c r="F8957" s="577"/>
      <c r="G8957" s="562">
        <f t="shared" si="557"/>
        <v>52127212</v>
      </c>
      <c r="H8957" s="1406"/>
      <c r="I8957" s="1406"/>
      <c r="J8957" s="1406"/>
    </row>
    <row r="8958" spans="1:10" s="1407" customFormat="1" x14ac:dyDescent="0.25">
      <c r="A8958" s="1406"/>
      <c r="B8958" s="1408">
        <v>44712</v>
      </c>
      <c r="C8958" s="362" t="s">
        <v>80</v>
      </c>
      <c r="D8958" s="577">
        <v>487578800</v>
      </c>
      <c r="E8958" s="577"/>
      <c r="F8958" s="577"/>
      <c r="G8958" s="562">
        <f t="shared" si="557"/>
        <v>487578800</v>
      </c>
      <c r="H8958" s="1406"/>
      <c r="I8958" s="1406"/>
      <c r="J8958" s="1406"/>
    </row>
    <row r="8959" spans="1:10" s="1407" customFormat="1" x14ac:dyDescent="0.25">
      <c r="A8959" s="1406"/>
      <c r="B8959" s="1408">
        <v>44712</v>
      </c>
      <c r="C8959" s="362" t="s">
        <v>83</v>
      </c>
      <c r="D8959" s="577">
        <v>268675500</v>
      </c>
      <c r="E8959" s="577"/>
      <c r="F8959" s="577"/>
      <c r="G8959" s="562">
        <f t="shared" si="557"/>
        <v>268675500</v>
      </c>
      <c r="H8959" s="1406"/>
      <c r="I8959" s="1406"/>
      <c r="J8959" s="1406"/>
    </row>
    <row r="8960" spans="1:10" s="1407" customFormat="1" x14ac:dyDescent="0.25">
      <c r="A8960" s="1406"/>
      <c r="B8960" s="1408">
        <v>44712</v>
      </c>
      <c r="C8960" s="362" t="s">
        <v>78</v>
      </c>
      <c r="D8960" s="577">
        <v>122244727</v>
      </c>
      <c r="E8960" s="577"/>
      <c r="F8960" s="577"/>
      <c r="G8960" s="562">
        <f t="shared" si="557"/>
        <v>122244727</v>
      </c>
      <c r="H8960" s="1406"/>
      <c r="I8960" s="1406"/>
      <c r="J8960" s="1406"/>
    </row>
    <row r="8961" spans="1:10" s="1407" customFormat="1" x14ac:dyDescent="0.25">
      <c r="A8961" s="1406"/>
      <c r="B8961" s="1408">
        <v>44712</v>
      </c>
      <c r="C8961" s="362" t="s">
        <v>141</v>
      </c>
      <c r="D8961" s="577">
        <v>115171444</v>
      </c>
      <c r="E8961" s="577"/>
      <c r="F8961" s="577"/>
      <c r="G8961" s="562">
        <f t="shared" si="557"/>
        <v>115171444</v>
      </c>
      <c r="H8961" s="1406"/>
      <c r="I8961" s="1406"/>
      <c r="J8961" s="1406"/>
    </row>
    <row r="8962" spans="1:10" s="1407" customFormat="1" x14ac:dyDescent="0.25">
      <c r="A8962" s="1406"/>
      <c r="B8962" s="1408">
        <v>44712</v>
      </c>
      <c r="C8962" s="362" t="s">
        <v>89</v>
      </c>
      <c r="D8962" s="577">
        <v>275268000</v>
      </c>
      <c r="E8962" s="577"/>
      <c r="F8962" s="577"/>
      <c r="G8962" s="562">
        <f t="shared" si="557"/>
        <v>275268000</v>
      </c>
      <c r="H8962" s="1406"/>
      <c r="I8962" s="1406"/>
      <c r="J8962" s="1406"/>
    </row>
    <row r="8963" spans="1:10" s="1407" customFormat="1" x14ac:dyDescent="0.25">
      <c r="A8963" s="1406"/>
      <c r="B8963" s="1408">
        <v>44712</v>
      </c>
      <c r="C8963" s="362" t="s">
        <v>81</v>
      </c>
      <c r="D8963" s="577">
        <v>133793409</v>
      </c>
      <c r="E8963" s="577"/>
      <c r="F8963" s="577"/>
      <c r="G8963" s="562">
        <f t="shared" si="557"/>
        <v>133793409</v>
      </c>
      <c r="H8963" s="1406"/>
      <c r="I8963" s="1406"/>
      <c r="J8963" s="1406"/>
    </row>
    <row r="8964" spans="1:10" s="1407" customFormat="1" x14ac:dyDescent="0.25">
      <c r="A8964" s="1406"/>
      <c r="B8964" s="1408">
        <v>44712</v>
      </c>
      <c r="C8964" s="362" t="s">
        <v>84</v>
      </c>
      <c r="D8964" s="577">
        <v>397916694</v>
      </c>
      <c r="E8964" s="577"/>
      <c r="F8964" s="577"/>
      <c r="G8964" s="562">
        <f t="shared" si="557"/>
        <v>397916694</v>
      </c>
      <c r="H8964" s="1406"/>
      <c r="I8964" s="1406"/>
      <c r="J8964" s="1406"/>
    </row>
    <row r="8965" spans="1:10" s="1407" customFormat="1" x14ac:dyDescent="0.25">
      <c r="A8965" s="1406"/>
      <c r="B8965" s="1408">
        <v>44712</v>
      </c>
      <c r="C8965" s="362" t="s">
        <v>4751</v>
      </c>
      <c r="D8965" s="577">
        <v>265485300</v>
      </c>
      <c r="E8965" s="577"/>
      <c r="F8965" s="577"/>
      <c r="G8965" s="562">
        <f t="shared" si="557"/>
        <v>265485300</v>
      </c>
      <c r="H8965" s="1406"/>
      <c r="I8965" s="1406"/>
      <c r="J8965" s="1406"/>
    </row>
    <row r="8966" spans="1:10" s="1407" customFormat="1" x14ac:dyDescent="0.25">
      <c r="A8966" s="1406"/>
      <c r="B8966" s="1408">
        <v>44712</v>
      </c>
      <c r="C8966" s="362" t="s">
        <v>166</v>
      </c>
      <c r="D8966" s="577">
        <v>148481446</v>
      </c>
      <c r="E8966" s="577"/>
      <c r="F8966" s="577"/>
      <c r="G8966" s="562">
        <f t="shared" si="557"/>
        <v>148481446</v>
      </c>
      <c r="H8966" s="1406"/>
      <c r="I8966" s="1406"/>
      <c r="J8966" s="1406"/>
    </row>
    <row r="8967" spans="1:10" s="1407" customFormat="1" x14ac:dyDescent="0.25">
      <c r="A8967" s="1406"/>
      <c r="B8967" s="1408">
        <v>44712</v>
      </c>
      <c r="C8967" s="362" t="s">
        <v>3435</v>
      </c>
      <c r="D8967" s="577">
        <v>142403719</v>
      </c>
      <c r="E8967" s="577"/>
      <c r="F8967" s="577"/>
      <c r="G8967" s="562">
        <f t="shared" si="557"/>
        <v>142403719</v>
      </c>
      <c r="H8967" s="1406"/>
      <c r="I8967" s="1406"/>
      <c r="J8967" s="1406"/>
    </row>
    <row r="8968" spans="1:10" s="1407" customFormat="1" x14ac:dyDescent="0.25">
      <c r="A8968" s="1406"/>
      <c r="B8968" s="1408">
        <v>44712</v>
      </c>
      <c r="C8968" s="370" t="s">
        <v>85</v>
      </c>
      <c r="D8968" s="577">
        <v>59553500</v>
      </c>
      <c r="E8968" s="577"/>
      <c r="F8968" s="577"/>
      <c r="G8968" s="562">
        <f t="shared" si="557"/>
        <v>59553500</v>
      </c>
      <c r="H8968" s="1406"/>
      <c r="I8968" s="1406"/>
      <c r="J8968" s="1406"/>
    </row>
    <row r="8969" spans="1:10" s="1407" customFormat="1" x14ac:dyDescent="0.25">
      <c r="A8969" s="898"/>
      <c r="B8969" s="898"/>
      <c r="C8969" s="898"/>
      <c r="D8969" s="899">
        <f>SUM(D8954:D8968)</f>
        <v>3092350402</v>
      </c>
      <c r="E8969" s="899">
        <f t="shared" ref="E8969:G8969" si="561">SUM(E8954:E8968)</f>
        <v>0</v>
      </c>
      <c r="F8969" s="899">
        <f t="shared" si="561"/>
        <v>0</v>
      </c>
      <c r="G8969" s="899">
        <f t="shared" si="561"/>
        <v>3092350402</v>
      </c>
      <c r="H8969" s="898"/>
      <c r="I8969" s="898"/>
      <c r="J8969" s="898"/>
    </row>
    <row r="8970" spans="1:10" x14ac:dyDescent="0.25">
      <c r="A8970" s="362"/>
      <c r="B8970" s="611">
        <v>44713</v>
      </c>
      <c r="C8970" s="362" t="s">
        <v>86</v>
      </c>
      <c r="D8970" s="562">
        <v>97990415</v>
      </c>
      <c r="E8970" s="562"/>
      <c r="F8970" s="562"/>
      <c r="G8970" s="562">
        <f t="shared" si="557"/>
        <v>97990415</v>
      </c>
      <c r="H8970" s="362"/>
      <c r="I8970" s="362"/>
      <c r="J8970" s="362"/>
    </row>
    <row r="8971" spans="1:10" x14ac:dyDescent="0.25">
      <c r="A8971" s="362"/>
      <c r="B8971" s="611">
        <v>44713</v>
      </c>
      <c r="C8971" s="362" t="s">
        <v>87</v>
      </c>
      <c r="D8971" s="562">
        <v>148583493</v>
      </c>
      <c r="E8971" s="562"/>
      <c r="F8971" s="562"/>
      <c r="G8971" s="562">
        <f t="shared" si="557"/>
        <v>148583493</v>
      </c>
      <c r="H8971" s="362"/>
      <c r="I8971" s="362"/>
      <c r="J8971" s="362"/>
    </row>
    <row r="8972" spans="1:10" x14ac:dyDescent="0.25">
      <c r="A8972" s="362"/>
      <c r="B8972" s="611">
        <v>44713</v>
      </c>
      <c r="C8972" s="362" t="s">
        <v>88</v>
      </c>
      <c r="D8972" s="562">
        <v>151377955</v>
      </c>
      <c r="E8972" s="562"/>
      <c r="F8972" s="562"/>
      <c r="G8972" s="562">
        <f t="shared" ref="G8972:G9000" si="562">D8972+E8972-F8972</f>
        <v>151377955</v>
      </c>
      <c r="H8972" s="362"/>
      <c r="I8972" s="362"/>
      <c r="J8972" s="362"/>
    </row>
    <row r="8973" spans="1:10" x14ac:dyDescent="0.25">
      <c r="A8973" s="362"/>
      <c r="B8973" s="611">
        <v>44713</v>
      </c>
      <c r="C8973" s="362" t="s">
        <v>82</v>
      </c>
      <c r="D8973" s="562">
        <v>63816961</v>
      </c>
      <c r="E8973" s="562"/>
      <c r="F8973" s="562"/>
      <c r="G8973" s="562">
        <f t="shared" si="562"/>
        <v>63816961</v>
      </c>
      <c r="H8973" s="362"/>
      <c r="I8973" s="362"/>
      <c r="J8973" s="362"/>
    </row>
    <row r="8974" spans="1:10" x14ac:dyDescent="0.25">
      <c r="A8974" s="362"/>
      <c r="B8974" s="611">
        <v>44713</v>
      </c>
      <c r="C8974" s="362" t="s">
        <v>80</v>
      </c>
      <c r="D8974" s="562">
        <v>294985700</v>
      </c>
      <c r="E8974" s="562"/>
      <c r="F8974" s="562"/>
      <c r="G8974" s="562">
        <f t="shared" si="562"/>
        <v>294985700</v>
      </c>
      <c r="H8974" s="362"/>
      <c r="I8974" s="362"/>
      <c r="J8974" s="362"/>
    </row>
    <row r="8975" spans="1:10" x14ac:dyDescent="0.25">
      <c r="A8975" s="362"/>
      <c r="B8975" s="611">
        <v>44713</v>
      </c>
      <c r="C8975" s="362" t="s">
        <v>83</v>
      </c>
      <c r="D8975" s="562">
        <v>192591906</v>
      </c>
      <c r="E8975" s="562"/>
      <c r="F8975" s="562"/>
      <c r="G8975" s="562">
        <f t="shared" si="562"/>
        <v>192591906</v>
      </c>
      <c r="H8975" s="362"/>
      <c r="I8975" s="362"/>
      <c r="J8975" s="362"/>
    </row>
    <row r="8976" spans="1:10" x14ac:dyDescent="0.25">
      <c r="A8976" s="362"/>
      <c r="B8976" s="611">
        <v>44713</v>
      </c>
      <c r="C8976" s="362" t="s">
        <v>78</v>
      </c>
      <c r="D8976" s="562">
        <v>173877037</v>
      </c>
      <c r="E8976" s="562"/>
      <c r="F8976" s="562"/>
      <c r="G8976" s="562">
        <f t="shared" si="562"/>
        <v>173877037</v>
      </c>
      <c r="H8976" s="362"/>
      <c r="I8976" s="362"/>
      <c r="J8976" s="362"/>
    </row>
    <row r="8977" spans="1:10" x14ac:dyDescent="0.25">
      <c r="A8977" s="362"/>
      <c r="B8977" s="611">
        <v>44713</v>
      </c>
      <c r="C8977" s="362" t="s">
        <v>141</v>
      </c>
      <c r="D8977" s="562">
        <v>171947158</v>
      </c>
      <c r="E8977" s="562"/>
      <c r="F8977" s="562"/>
      <c r="G8977" s="562">
        <f t="shared" si="562"/>
        <v>171947158</v>
      </c>
      <c r="H8977" s="362"/>
      <c r="I8977" s="362"/>
      <c r="J8977" s="362"/>
    </row>
    <row r="8978" spans="1:10" x14ac:dyDescent="0.25">
      <c r="A8978" s="362"/>
      <c r="B8978" s="611">
        <v>44713</v>
      </c>
      <c r="C8978" s="362" t="s">
        <v>89</v>
      </c>
      <c r="D8978" s="562">
        <v>230673400</v>
      </c>
      <c r="E8978" s="562"/>
      <c r="F8978" s="562"/>
      <c r="G8978" s="562">
        <f t="shared" si="562"/>
        <v>230673400</v>
      </c>
      <c r="H8978" s="362"/>
      <c r="I8978" s="362"/>
      <c r="J8978" s="362"/>
    </row>
    <row r="8979" spans="1:10" x14ac:dyDescent="0.25">
      <c r="A8979" s="362"/>
      <c r="B8979" s="611">
        <v>44713</v>
      </c>
      <c r="C8979" s="362" t="s">
        <v>81</v>
      </c>
      <c r="D8979" s="562">
        <v>72968826</v>
      </c>
      <c r="E8979" s="562"/>
      <c r="F8979" s="562"/>
      <c r="G8979" s="562">
        <f t="shared" si="562"/>
        <v>72968826</v>
      </c>
      <c r="H8979" s="362"/>
      <c r="I8979" s="362"/>
      <c r="J8979" s="362"/>
    </row>
    <row r="8980" spans="1:10" x14ac:dyDescent="0.25">
      <c r="A8980" s="362"/>
      <c r="B8980" s="611">
        <v>44713</v>
      </c>
      <c r="C8980" s="362" t="s">
        <v>84</v>
      </c>
      <c r="D8980" s="562">
        <v>434423152</v>
      </c>
      <c r="E8980" s="562"/>
      <c r="F8980" s="562"/>
      <c r="G8980" s="562">
        <f t="shared" si="562"/>
        <v>434423152</v>
      </c>
      <c r="H8980" s="362"/>
      <c r="I8980" s="362"/>
      <c r="J8980" s="362"/>
    </row>
    <row r="8981" spans="1:10" x14ac:dyDescent="0.25">
      <c r="A8981" s="362"/>
      <c r="B8981" s="611">
        <v>44713</v>
      </c>
      <c r="C8981" s="362" t="s">
        <v>4751</v>
      </c>
      <c r="D8981" s="562">
        <v>220834000</v>
      </c>
      <c r="E8981" s="562"/>
      <c r="F8981" s="562"/>
      <c r="G8981" s="562">
        <f t="shared" si="562"/>
        <v>220834000</v>
      </c>
      <c r="H8981" s="362"/>
      <c r="I8981" s="362"/>
      <c r="J8981" s="362"/>
    </row>
    <row r="8982" spans="1:10" x14ac:dyDescent="0.25">
      <c r="A8982" s="362"/>
      <c r="B8982" s="611">
        <v>44713</v>
      </c>
      <c r="C8982" s="362" t="s">
        <v>166</v>
      </c>
      <c r="D8982" s="562">
        <v>73189935</v>
      </c>
      <c r="E8982" s="562"/>
      <c r="F8982" s="562"/>
      <c r="G8982" s="562">
        <f t="shared" si="562"/>
        <v>73189935</v>
      </c>
      <c r="H8982" s="362"/>
      <c r="I8982" s="362"/>
      <c r="J8982" s="362"/>
    </row>
    <row r="8983" spans="1:10" x14ac:dyDescent="0.25">
      <c r="A8983" s="362"/>
      <c r="B8983" s="611">
        <v>44713</v>
      </c>
      <c r="C8983" s="362" t="s">
        <v>3435</v>
      </c>
      <c r="D8983" s="562">
        <v>39497140</v>
      </c>
      <c r="E8983" s="562"/>
      <c r="F8983" s="562"/>
      <c r="G8983" s="562">
        <f t="shared" si="562"/>
        <v>39497140</v>
      </c>
      <c r="H8983" s="362"/>
      <c r="I8983" s="362"/>
      <c r="J8983" s="362"/>
    </row>
    <row r="8984" spans="1:10" x14ac:dyDescent="0.25">
      <c r="A8984" s="362"/>
      <c r="B8984" s="611">
        <v>44713</v>
      </c>
      <c r="C8984" s="370" t="s">
        <v>85</v>
      </c>
      <c r="D8984" s="562">
        <v>76394000</v>
      </c>
      <c r="E8984" s="562"/>
      <c r="F8984" s="562"/>
      <c r="G8984" s="562">
        <f t="shared" si="562"/>
        <v>76394000</v>
      </c>
      <c r="H8984" s="362"/>
      <c r="I8984" s="362"/>
      <c r="J8984" s="362"/>
    </row>
    <row r="8985" spans="1:10" x14ac:dyDescent="0.25">
      <c r="A8985" s="532"/>
      <c r="B8985" s="532"/>
      <c r="C8985" s="532"/>
      <c r="D8985" s="564"/>
      <c r="E8985" s="564"/>
      <c r="F8985" s="564"/>
      <c r="G8985" s="564"/>
      <c r="H8985" s="532"/>
      <c r="I8985" s="532"/>
      <c r="J8985" s="532"/>
    </row>
    <row r="8986" spans="1:10" x14ac:dyDescent="0.25">
      <c r="A8986" s="362"/>
      <c r="B8986" s="611">
        <v>44714</v>
      </c>
      <c r="C8986" s="362" t="s">
        <v>86</v>
      </c>
      <c r="D8986" s="562">
        <v>134101812</v>
      </c>
      <c r="E8986" s="562"/>
      <c r="F8986" s="562"/>
      <c r="G8986" s="562">
        <f t="shared" si="562"/>
        <v>134101812</v>
      </c>
      <c r="H8986" s="362"/>
      <c r="I8986" s="362"/>
      <c r="J8986" s="362"/>
    </row>
    <row r="8987" spans="1:10" x14ac:dyDescent="0.25">
      <c r="A8987" s="362"/>
      <c r="B8987" s="611">
        <v>44714</v>
      </c>
      <c r="C8987" s="362" t="s">
        <v>87</v>
      </c>
      <c r="D8987" s="562"/>
      <c r="E8987" s="562"/>
      <c r="F8987" s="562"/>
      <c r="G8987" s="562">
        <f t="shared" si="562"/>
        <v>0</v>
      </c>
      <c r="H8987" s="362"/>
      <c r="I8987" s="362"/>
      <c r="J8987" s="362"/>
    </row>
    <row r="8988" spans="1:10" x14ac:dyDescent="0.25">
      <c r="A8988" s="362"/>
      <c r="B8988" s="611">
        <v>44714</v>
      </c>
      <c r="C8988" s="362" t="s">
        <v>88</v>
      </c>
      <c r="D8988" s="562">
        <v>209031991</v>
      </c>
      <c r="E8988" s="562"/>
      <c r="F8988" s="562"/>
      <c r="G8988" s="562">
        <f t="shared" si="562"/>
        <v>209031991</v>
      </c>
      <c r="H8988" s="362"/>
      <c r="I8988" s="362"/>
      <c r="J8988" s="362"/>
    </row>
    <row r="8989" spans="1:10" x14ac:dyDescent="0.25">
      <c r="A8989" s="362"/>
      <c r="B8989" s="611">
        <v>44714</v>
      </c>
      <c r="C8989" s="362" t="s">
        <v>82</v>
      </c>
      <c r="D8989" s="562"/>
      <c r="E8989" s="562"/>
      <c r="F8989" s="562"/>
      <c r="G8989" s="562">
        <f t="shared" si="562"/>
        <v>0</v>
      </c>
      <c r="H8989" s="362"/>
      <c r="I8989" s="362"/>
      <c r="J8989" s="362"/>
    </row>
    <row r="8990" spans="1:10" x14ac:dyDescent="0.25">
      <c r="A8990" s="362"/>
      <c r="B8990" s="611">
        <v>44714</v>
      </c>
      <c r="C8990" s="362" t="s">
        <v>80</v>
      </c>
      <c r="D8990" s="562">
        <v>382570881</v>
      </c>
      <c r="E8990" s="562"/>
      <c r="F8990" s="562"/>
      <c r="G8990" s="562">
        <f t="shared" si="562"/>
        <v>382570881</v>
      </c>
      <c r="H8990" s="362"/>
      <c r="I8990" s="362"/>
      <c r="J8990" s="362"/>
    </row>
    <row r="8991" spans="1:10" x14ac:dyDescent="0.25">
      <c r="A8991" s="362"/>
      <c r="B8991" s="611">
        <v>44714</v>
      </c>
      <c r="C8991" s="362" t="s">
        <v>83</v>
      </c>
      <c r="D8991" s="562">
        <v>156210092</v>
      </c>
      <c r="E8991" s="562"/>
      <c r="F8991" s="562"/>
      <c r="G8991" s="562">
        <f t="shared" si="562"/>
        <v>156210092</v>
      </c>
      <c r="H8991" s="362"/>
      <c r="I8991" s="362"/>
      <c r="J8991" s="362"/>
    </row>
    <row r="8992" spans="1:10" x14ac:dyDescent="0.25">
      <c r="A8992" s="362"/>
      <c r="B8992" s="611">
        <v>44714</v>
      </c>
      <c r="C8992" s="362" t="s">
        <v>78</v>
      </c>
      <c r="D8992" s="562"/>
      <c r="E8992" s="562"/>
      <c r="F8992" s="562"/>
      <c r="G8992" s="562">
        <f t="shared" si="562"/>
        <v>0</v>
      </c>
      <c r="H8992" s="362"/>
      <c r="I8992" s="362"/>
      <c r="J8992" s="362"/>
    </row>
    <row r="8993" spans="1:10" x14ac:dyDescent="0.25">
      <c r="A8993" s="362"/>
      <c r="B8993" s="611">
        <v>44714</v>
      </c>
      <c r="C8993" s="362" t="s">
        <v>141</v>
      </c>
      <c r="D8993" s="562"/>
      <c r="E8993" s="562"/>
      <c r="F8993" s="562"/>
      <c r="G8993" s="562">
        <f t="shared" si="562"/>
        <v>0</v>
      </c>
      <c r="H8993" s="362"/>
      <c r="I8993" s="362"/>
      <c r="J8993" s="362"/>
    </row>
    <row r="8994" spans="1:10" x14ac:dyDescent="0.25">
      <c r="A8994" s="362"/>
      <c r="B8994" s="611">
        <v>44714</v>
      </c>
      <c r="C8994" s="362" t="s">
        <v>89</v>
      </c>
      <c r="D8994" s="562">
        <v>183176500</v>
      </c>
      <c r="E8994" s="562"/>
      <c r="F8994" s="562"/>
      <c r="G8994" s="562">
        <f t="shared" si="562"/>
        <v>183176500</v>
      </c>
      <c r="H8994" s="362"/>
      <c r="I8994" s="362"/>
      <c r="J8994" s="362"/>
    </row>
    <row r="8995" spans="1:10" x14ac:dyDescent="0.25">
      <c r="A8995" s="362"/>
      <c r="B8995" s="611">
        <v>44714</v>
      </c>
      <c r="C8995" s="362" t="s">
        <v>81</v>
      </c>
      <c r="D8995" s="562">
        <v>187534631</v>
      </c>
      <c r="E8995" s="562"/>
      <c r="F8995" s="562"/>
      <c r="G8995" s="562">
        <f t="shared" si="562"/>
        <v>187534631</v>
      </c>
      <c r="H8995" s="362"/>
      <c r="I8995" s="362"/>
      <c r="J8995" s="362"/>
    </row>
    <row r="8996" spans="1:10" x14ac:dyDescent="0.25">
      <c r="A8996" s="362"/>
      <c r="B8996" s="611">
        <v>44714</v>
      </c>
      <c r="C8996" s="362" t="s">
        <v>84</v>
      </c>
      <c r="D8996" s="562">
        <v>326271181</v>
      </c>
      <c r="E8996" s="562"/>
      <c r="F8996" s="562"/>
      <c r="G8996" s="562">
        <f t="shared" si="562"/>
        <v>326271181</v>
      </c>
      <c r="H8996" s="362"/>
      <c r="I8996" s="362"/>
      <c r="J8996" s="362"/>
    </row>
    <row r="8997" spans="1:10" x14ac:dyDescent="0.25">
      <c r="A8997" s="362"/>
      <c r="B8997" s="611">
        <v>44714</v>
      </c>
      <c r="C8997" s="362" t="s">
        <v>4751</v>
      </c>
      <c r="D8997" s="562">
        <v>309921200</v>
      </c>
      <c r="E8997" s="562"/>
      <c r="F8997" s="562"/>
      <c r="G8997" s="562">
        <f t="shared" si="562"/>
        <v>309921200</v>
      </c>
      <c r="H8997" s="362"/>
      <c r="I8997" s="362"/>
      <c r="J8997" s="362"/>
    </row>
    <row r="8998" spans="1:10" x14ac:dyDescent="0.25">
      <c r="A8998" s="362"/>
      <c r="B8998" s="611">
        <v>44714</v>
      </c>
      <c r="C8998" s="362" t="s">
        <v>166</v>
      </c>
      <c r="D8998" s="562">
        <v>160467821</v>
      </c>
      <c r="E8998" s="562"/>
      <c r="F8998" s="562"/>
      <c r="G8998" s="562">
        <f t="shared" si="562"/>
        <v>160467821</v>
      </c>
      <c r="H8998" s="362"/>
      <c r="I8998" s="362"/>
      <c r="J8998" s="362"/>
    </row>
    <row r="8999" spans="1:10" x14ac:dyDescent="0.25">
      <c r="A8999" s="362"/>
      <c r="B8999" s="611">
        <v>44714</v>
      </c>
      <c r="C8999" s="362" t="s">
        <v>3435</v>
      </c>
      <c r="D8999" s="562">
        <v>83087992</v>
      </c>
      <c r="E8999" s="562"/>
      <c r="F8999" s="562"/>
      <c r="G8999" s="562">
        <f t="shared" si="562"/>
        <v>83087992</v>
      </c>
      <c r="H8999" s="362"/>
      <c r="I8999" s="362"/>
      <c r="J8999" s="362"/>
    </row>
    <row r="9000" spans="1:10" x14ac:dyDescent="0.25">
      <c r="A9000" s="362"/>
      <c r="B9000" s="611">
        <v>44714</v>
      </c>
      <c r="C9000" s="370" t="s">
        <v>85</v>
      </c>
      <c r="D9000" s="562">
        <v>48974200</v>
      </c>
      <c r="E9000" s="562"/>
      <c r="F9000" s="562"/>
      <c r="G9000" s="562">
        <f t="shared" si="562"/>
        <v>48974200</v>
      </c>
      <c r="H9000" s="362"/>
      <c r="I9000" s="362"/>
      <c r="J9000" s="362"/>
    </row>
    <row r="9001" spans="1:10" x14ac:dyDescent="0.25">
      <c r="A9001" s="532"/>
      <c r="B9001" s="532"/>
      <c r="C9001" s="532"/>
      <c r="D9001" s="564">
        <f>SUM(D8986:D9000)</f>
        <v>2181348301</v>
      </c>
      <c r="E9001" s="564">
        <f t="shared" ref="E9001:G9001" si="563">SUM(E8986:E9000)</f>
        <v>0</v>
      </c>
      <c r="F9001" s="564">
        <f t="shared" si="563"/>
        <v>0</v>
      </c>
      <c r="G9001" s="564">
        <f t="shared" si="563"/>
        <v>2181348301</v>
      </c>
      <c r="H9001" s="532"/>
      <c r="I9001" s="532"/>
      <c r="J9001" s="532"/>
    </row>
    <row r="9002" spans="1:10" x14ac:dyDescent="0.25">
      <c r="A9002" s="362"/>
      <c r="B9002" s="362"/>
      <c r="C9002" s="362"/>
      <c r="D9002" s="562"/>
      <c r="E9002" s="562"/>
      <c r="F9002" s="562"/>
      <c r="G9002" s="562"/>
      <c r="H9002" s="362"/>
      <c r="I9002" s="362"/>
      <c r="J9002" s="362"/>
    </row>
    <row r="9003" spans="1:10" x14ac:dyDescent="0.25">
      <c r="A9003" s="362"/>
      <c r="B9003" s="362"/>
      <c r="C9003" s="362"/>
      <c r="D9003" s="562"/>
      <c r="E9003" s="562"/>
      <c r="F9003" s="562"/>
      <c r="G9003" s="562"/>
      <c r="H9003" s="362"/>
      <c r="I9003" s="362"/>
      <c r="J9003" s="362"/>
    </row>
    <row r="9004" spans="1:10" x14ac:dyDescent="0.25">
      <c r="A9004" s="362"/>
      <c r="B9004" s="362"/>
      <c r="C9004" s="362"/>
      <c r="D9004" s="562"/>
      <c r="E9004" s="562"/>
      <c r="F9004" s="562"/>
      <c r="G9004" s="562"/>
      <c r="H9004" s="362"/>
      <c r="I9004" s="362"/>
      <c r="J9004" s="362"/>
    </row>
    <row r="9005" spans="1:10" x14ac:dyDescent="0.25">
      <c r="A9005" s="362"/>
      <c r="B9005" s="362"/>
      <c r="C9005" s="362"/>
      <c r="D9005" s="562"/>
      <c r="E9005" s="562"/>
      <c r="F9005" s="562"/>
      <c r="G9005" s="562"/>
      <c r="H9005" s="362"/>
      <c r="I9005" s="362"/>
      <c r="J9005" s="362"/>
    </row>
    <row r="9006" spans="1:10" x14ac:dyDescent="0.25">
      <c r="A9006" s="362"/>
      <c r="B9006" s="362"/>
      <c r="C9006" s="362"/>
      <c r="D9006" s="562"/>
      <c r="E9006" s="562"/>
      <c r="F9006" s="562"/>
      <c r="G9006" s="562"/>
      <c r="H9006" s="362"/>
      <c r="I9006" s="362"/>
      <c r="J9006" s="362"/>
    </row>
    <row r="9007" spans="1:10" x14ac:dyDescent="0.25">
      <c r="A9007" s="362"/>
      <c r="B9007" s="362"/>
      <c r="C9007" s="362"/>
      <c r="D9007" s="562"/>
      <c r="E9007" s="562"/>
      <c r="F9007" s="562"/>
      <c r="G9007" s="562"/>
      <c r="H9007" s="362"/>
      <c r="I9007" s="362"/>
      <c r="J9007" s="362"/>
    </row>
    <row r="9008" spans="1:10" x14ac:dyDescent="0.25">
      <c r="A9008" s="362"/>
      <c r="B9008" s="362"/>
      <c r="C9008" s="362"/>
      <c r="D9008" s="562"/>
      <c r="E9008" s="562"/>
      <c r="F9008" s="562"/>
      <c r="G9008" s="562"/>
      <c r="H9008" s="362"/>
      <c r="I9008" s="362"/>
      <c r="J9008" s="362"/>
    </row>
    <row r="9009" spans="1:10" x14ac:dyDescent="0.25">
      <c r="A9009" s="362"/>
      <c r="B9009" s="362"/>
      <c r="C9009" s="362"/>
      <c r="D9009" s="562"/>
      <c r="E9009" s="562"/>
      <c r="F9009" s="562"/>
      <c r="G9009" s="562"/>
      <c r="H9009" s="362"/>
      <c r="I9009" s="362"/>
      <c r="J9009" s="362"/>
    </row>
    <row r="9010" spans="1:10" x14ac:dyDescent="0.25">
      <c r="A9010" s="362"/>
      <c r="B9010" s="362"/>
      <c r="C9010" s="362"/>
      <c r="D9010" s="562"/>
      <c r="E9010" s="562"/>
      <c r="F9010" s="562"/>
      <c r="G9010" s="562"/>
      <c r="H9010" s="362"/>
      <c r="I9010" s="362"/>
      <c r="J9010" s="362"/>
    </row>
    <row r="9011" spans="1:10" x14ac:dyDescent="0.25">
      <c r="A9011" s="362"/>
      <c r="B9011" s="362"/>
      <c r="C9011" s="362"/>
      <c r="D9011" s="562"/>
      <c r="E9011" s="562"/>
      <c r="F9011" s="562"/>
      <c r="G9011" s="562"/>
      <c r="H9011" s="362"/>
      <c r="I9011" s="362"/>
      <c r="J9011" s="362"/>
    </row>
    <row r="9012" spans="1:10" x14ac:dyDescent="0.25">
      <c r="A9012" s="362"/>
      <c r="B9012" s="362"/>
      <c r="C9012" s="362"/>
      <c r="D9012" s="562"/>
      <c r="E9012" s="562"/>
      <c r="F9012" s="562"/>
      <c r="G9012" s="562"/>
      <c r="H9012" s="362"/>
      <c r="I9012" s="362"/>
      <c r="J9012" s="362"/>
    </row>
    <row r="9013" spans="1:10" x14ac:dyDescent="0.25">
      <c r="A9013" s="362"/>
      <c r="B9013" s="362"/>
      <c r="C9013" s="362"/>
      <c r="D9013" s="562"/>
      <c r="E9013" s="562"/>
      <c r="F9013" s="562"/>
      <c r="G9013" s="562"/>
      <c r="H9013" s="362"/>
      <c r="I9013" s="362"/>
      <c r="J9013" s="362"/>
    </row>
    <row r="9014" spans="1:10" x14ac:dyDescent="0.25">
      <c r="A9014" s="362"/>
      <c r="B9014" s="362"/>
      <c r="C9014" s="362"/>
      <c r="D9014" s="562"/>
      <c r="E9014" s="562"/>
      <c r="F9014" s="562"/>
      <c r="G9014" s="562"/>
      <c r="H9014" s="362"/>
      <c r="I9014" s="362"/>
      <c r="J9014" s="362"/>
    </row>
    <row r="9015" spans="1:10" x14ac:dyDescent="0.25">
      <c r="A9015" s="362"/>
      <c r="B9015" s="362"/>
      <c r="C9015" s="362"/>
      <c r="D9015" s="562"/>
      <c r="E9015" s="562"/>
      <c r="F9015" s="562"/>
      <c r="G9015" s="562"/>
      <c r="H9015" s="362"/>
      <c r="I9015" s="362"/>
      <c r="J9015" s="362"/>
    </row>
    <row r="9016" spans="1:10" x14ac:dyDescent="0.25">
      <c r="A9016" s="362"/>
      <c r="B9016" s="362"/>
      <c r="C9016" s="362"/>
      <c r="D9016" s="562"/>
      <c r="E9016" s="562"/>
      <c r="F9016" s="562"/>
      <c r="G9016" s="562"/>
      <c r="H9016" s="362"/>
      <c r="I9016" s="362"/>
      <c r="J9016" s="362"/>
    </row>
    <row r="9017" spans="1:10" x14ac:dyDescent="0.25">
      <c r="A9017" s="362"/>
      <c r="B9017" s="362"/>
      <c r="C9017" s="362"/>
      <c r="D9017" s="562"/>
      <c r="E9017" s="562"/>
      <c r="F9017" s="562"/>
      <c r="G9017" s="562"/>
      <c r="H9017" s="362"/>
      <c r="I9017" s="362"/>
      <c r="J9017" s="362"/>
    </row>
    <row r="9018" spans="1:10" x14ac:dyDescent="0.25">
      <c r="A9018" s="362"/>
      <c r="B9018" s="362"/>
      <c r="C9018" s="362"/>
      <c r="D9018" s="562"/>
      <c r="E9018" s="562"/>
      <c r="F9018" s="562"/>
      <c r="G9018" s="562"/>
      <c r="H9018" s="362"/>
      <c r="I9018" s="362"/>
      <c r="J9018" s="362"/>
    </row>
    <row r="9019" spans="1:10" x14ac:dyDescent="0.25">
      <c r="A9019" s="362"/>
      <c r="B9019" s="362"/>
      <c r="C9019" s="362"/>
      <c r="D9019" s="562"/>
      <c r="E9019" s="562"/>
      <c r="F9019" s="562"/>
      <c r="G9019" s="562"/>
      <c r="H9019" s="362"/>
      <c r="I9019" s="362"/>
      <c r="J9019" s="362"/>
    </row>
    <row r="9020" spans="1:10" x14ac:dyDescent="0.25">
      <c r="A9020" s="362"/>
      <c r="B9020" s="362"/>
      <c r="C9020" s="362"/>
      <c r="D9020" s="562"/>
      <c r="E9020" s="562"/>
      <c r="F9020" s="562"/>
      <c r="G9020" s="562"/>
      <c r="H9020" s="362"/>
      <c r="I9020" s="362"/>
      <c r="J9020" s="362"/>
    </row>
    <row r="9021" spans="1:10" x14ac:dyDescent="0.25">
      <c r="A9021" s="362"/>
      <c r="B9021" s="362"/>
      <c r="C9021" s="362"/>
      <c r="D9021" s="562"/>
      <c r="E9021" s="562"/>
      <c r="F9021" s="562"/>
      <c r="G9021" s="562"/>
      <c r="H9021" s="362"/>
      <c r="I9021" s="362"/>
      <c r="J9021" s="362"/>
    </row>
    <row r="9022" spans="1:10" x14ac:dyDescent="0.25">
      <c r="A9022" s="362"/>
      <c r="B9022" s="362"/>
      <c r="C9022" s="362"/>
      <c r="D9022" s="562"/>
      <c r="E9022" s="562"/>
      <c r="F9022" s="562"/>
      <c r="G9022" s="562"/>
      <c r="H9022" s="362"/>
      <c r="I9022" s="362"/>
      <c r="J9022" s="362"/>
    </row>
    <row r="9023" spans="1:10" x14ac:dyDescent="0.25">
      <c r="A9023" s="362"/>
      <c r="B9023" s="362"/>
      <c r="C9023" s="362"/>
      <c r="D9023" s="562"/>
      <c r="E9023" s="562"/>
      <c r="F9023" s="562"/>
      <c r="G9023" s="562"/>
      <c r="H9023" s="362"/>
      <c r="I9023" s="362"/>
      <c r="J9023" s="362"/>
    </row>
    <row r="9024" spans="1:10" x14ac:dyDescent="0.25">
      <c r="D9024" s="465"/>
      <c r="E9024" s="465"/>
      <c r="F9024" s="465"/>
      <c r="G9024" s="465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Q54"/>
  <sheetViews>
    <sheetView topLeftCell="BU1" zoomScale="80" zoomScaleNormal="80" workbookViewId="0">
      <selection activeCell="BU1" sqref="A1:XFD1048576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1" width="18.5703125" style="254" customWidth="1"/>
    <col min="42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8" width="9.140625" style="254"/>
    <col min="49" max="49" width="18.5703125" style="254" customWidth="1"/>
    <col min="50" max="55" width="9.140625" style="254"/>
    <col min="56" max="56" width="12.5703125" style="254" customWidth="1"/>
    <col min="57" max="57" width="13" style="254" bestFit="1" customWidth="1"/>
    <col min="58" max="59" width="9.140625" style="254"/>
    <col min="60" max="60" width="9.5703125" style="254" bestFit="1" customWidth="1"/>
    <col min="61" max="61" width="9.140625" style="254"/>
    <col min="62" max="62" width="9.5703125" style="254" bestFit="1" customWidth="1"/>
    <col min="63" max="63" width="9.140625" style="254"/>
    <col min="64" max="64" width="11.5703125" style="254" bestFit="1" customWidth="1"/>
    <col min="65" max="65" width="13" style="254" bestFit="1" customWidth="1"/>
    <col min="66" max="66" width="9.140625" style="254"/>
    <col min="67" max="67" width="14.42578125" style="254" bestFit="1" customWidth="1"/>
    <col min="68" max="68" width="9.5703125" style="254" bestFit="1" customWidth="1"/>
    <col min="69" max="69" width="9.140625" style="254"/>
    <col min="70" max="70" width="9.5703125" style="254" bestFit="1" customWidth="1"/>
    <col min="71" max="71" width="9.140625" style="254"/>
    <col min="72" max="72" width="11.5703125" style="254" bestFit="1" customWidth="1"/>
    <col min="73" max="73" width="13" style="254" bestFit="1" customWidth="1"/>
    <col min="74" max="75" width="9.140625" style="254"/>
    <col min="76" max="76" width="9.5703125" style="254" bestFit="1" customWidth="1"/>
    <col min="77" max="77" width="9.140625" style="254"/>
    <col min="78" max="78" width="9.5703125" style="254" bestFit="1" customWidth="1"/>
    <col min="79" max="79" width="9.140625" style="254"/>
    <col min="80" max="80" width="11.5703125" style="254" bestFit="1" customWidth="1"/>
    <col min="81" max="81" width="20" style="254" customWidth="1"/>
    <col min="82" max="83" width="9.140625" style="254"/>
    <col min="84" max="84" width="11.7109375" style="254" customWidth="1"/>
    <col min="85" max="85" width="9.140625" style="254"/>
    <col min="86" max="86" width="13.85546875" style="254" customWidth="1"/>
    <col min="87" max="87" width="9.140625" style="254"/>
    <col min="88" max="88" width="11.5703125" style="254" bestFit="1" customWidth="1"/>
    <col min="89" max="16384" width="9.140625" style="254"/>
  </cols>
  <sheetData>
    <row r="1" spans="1:95" x14ac:dyDescent="0.25">
      <c r="A1" s="304" t="s">
        <v>5339</v>
      </c>
    </row>
    <row r="4" spans="1:95" ht="17.25" customHeight="1" x14ac:dyDescent="0.25">
      <c r="A4" s="1620" t="s">
        <v>80</v>
      </c>
      <c r="B4" s="1620"/>
      <c r="C4" s="1620"/>
      <c r="D4" s="1620"/>
      <c r="E4" s="1620"/>
      <c r="F4" s="1620"/>
      <c r="G4" s="1620"/>
      <c r="H4" s="1419"/>
      <c r="I4" s="1629" t="s">
        <v>82</v>
      </c>
      <c r="J4" s="1630"/>
      <c r="K4" s="1630"/>
      <c r="L4" s="1630"/>
      <c r="M4" s="1630"/>
      <c r="N4" s="1630"/>
      <c r="O4" s="1630"/>
      <c r="P4" s="1631"/>
      <c r="Q4" s="1624" t="s">
        <v>83</v>
      </c>
      <c r="R4" s="1624"/>
      <c r="S4" s="1624"/>
      <c r="T4" s="1624"/>
      <c r="U4" s="1624"/>
      <c r="V4" s="1624"/>
      <c r="W4" s="1624"/>
      <c r="X4" s="1418"/>
      <c r="Y4" s="1620" t="s">
        <v>88</v>
      </c>
      <c r="Z4" s="1620"/>
      <c r="AA4" s="1620"/>
      <c r="AB4" s="1620"/>
      <c r="AC4" s="1620"/>
      <c r="AD4" s="1620"/>
      <c r="AE4" s="1620"/>
      <c r="AF4" s="1419"/>
      <c r="AG4" s="1624" t="s">
        <v>87</v>
      </c>
      <c r="AH4" s="1624"/>
      <c r="AI4" s="1624"/>
      <c r="AJ4" s="1624"/>
      <c r="AK4" s="1624"/>
      <c r="AL4" s="1624"/>
      <c r="AM4" s="1624"/>
      <c r="AN4" s="1418"/>
      <c r="AO4" s="1620" t="s">
        <v>150</v>
      </c>
      <c r="AP4" s="1620"/>
      <c r="AQ4" s="1620"/>
      <c r="AR4" s="1620"/>
      <c r="AS4" s="1620"/>
      <c r="AT4" s="1620"/>
      <c r="AU4" s="1620"/>
      <c r="AV4" s="1419"/>
      <c r="AW4" s="1624" t="s">
        <v>89</v>
      </c>
      <c r="AX4" s="1624"/>
      <c r="AY4" s="1624"/>
      <c r="AZ4" s="1624"/>
      <c r="BA4" s="1624"/>
      <c r="BB4" s="1624"/>
      <c r="BC4" s="1624"/>
      <c r="BD4" s="1418"/>
      <c r="BE4" s="1620" t="s">
        <v>84</v>
      </c>
      <c r="BF4" s="1620"/>
      <c r="BG4" s="1620"/>
      <c r="BH4" s="1620"/>
      <c r="BI4" s="1620"/>
      <c r="BJ4" s="1620"/>
      <c r="BK4" s="1620"/>
      <c r="BL4" s="1620"/>
      <c r="BM4" s="1629" t="s">
        <v>81</v>
      </c>
      <c r="BN4" s="1630"/>
      <c r="BO4" s="1630"/>
      <c r="BP4" s="1630"/>
      <c r="BQ4" s="1630"/>
      <c r="BR4" s="1630"/>
      <c r="BS4" s="1630"/>
      <c r="BT4" s="1631"/>
      <c r="BU4" s="1632" t="s">
        <v>78</v>
      </c>
      <c r="BV4" s="1633"/>
      <c r="BW4" s="1633"/>
      <c r="BX4" s="1633"/>
      <c r="BY4" s="1633"/>
      <c r="BZ4" s="1633"/>
      <c r="CA4" s="1633"/>
      <c r="CB4" s="1634"/>
      <c r="CC4" s="1624" t="s">
        <v>86</v>
      </c>
      <c r="CD4" s="1624"/>
      <c r="CE4" s="1624"/>
      <c r="CF4" s="1624"/>
      <c r="CG4" s="1624"/>
      <c r="CH4" s="1624"/>
      <c r="CI4" s="1624"/>
      <c r="CJ4" s="1418"/>
      <c r="CK4" s="1620" t="s">
        <v>85</v>
      </c>
      <c r="CL4" s="1620"/>
      <c r="CM4" s="1620"/>
      <c r="CN4" s="1620"/>
      <c r="CO4" s="1620"/>
      <c r="CP4" s="1620"/>
      <c r="CQ4" s="1620"/>
    </row>
    <row r="5" spans="1:95" ht="30" customHeight="1" x14ac:dyDescent="0.25">
      <c r="A5" s="1625" t="s">
        <v>5340</v>
      </c>
      <c r="B5" s="1625" t="s">
        <v>5341</v>
      </c>
      <c r="C5" s="1623" t="s">
        <v>139</v>
      </c>
      <c r="D5" s="1623" t="s">
        <v>5342</v>
      </c>
      <c r="E5" s="1623"/>
      <c r="F5" s="1623"/>
      <c r="G5" s="1623" t="s">
        <v>5343</v>
      </c>
      <c r="H5" s="1637" t="s">
        <v>5344</v>
      </c>
      <c r="I5" s="1626" t="s">
        <v>5340</v>
      </c>
      <c r="J5" s="1626" t="s">
        <v>5341</v>
      </c>
      <c r="K5" s="1621" t="s">
        <v>139</v>
      </c>
      <c r="L5" s="1621" t="s">
        <v>5342</v>
      </c>
      <c r="M5" s="1621"/>
      <c r="N5" s="1621"/>
      <c r="O5" s="1621" t="s">
        <v>5343</v>
      </c>
      <c r="P5" s="1635" t="s">
        <v>5345</v>
      </c>
      <c r="Q5" s="1626" t="s">
        <v>5340</v>
      </c>
      <c r="R5" s="1626" t="s">
        <v>5341</v>
      </c>
      <c r="S5" s="1621" t="s">
        <v>139</v>
      </c>
      <c r="T5" s="1621" t="s">
        <v>5342</v>
      </c>
      <c r="U5" s="1621"/>
      <c r="V5" s="1621"/>
      <c r="W5" s="1621" t="s">
        <v>5343</v>
      </c>
      <c r="X5" s="1635" t="s">
        <v>5346</v>
      </c>
      <c r="Y5" s="1625" t="s">
        <v>5340</v>
      </c>
      <c r="Z5" s="1625" t="s">
        <v>5341</v>
      </c>
      <c r="AA5" s="1623" t="s">
        <v>139</v>
      </c>
      <c r="AB5" s="1623" t="s">
        <v>5342</v>
      </c>
      <c r="AC5" s="1623"/>
      <c r="AD5" s="1623"/>
      <c r="AE5" s="1623" t="s">
        <v>5343</v>
      </c>
      <c r="AF5" s="1637" t="s">
        <v>5346</v>
      </c>
      <c r="AG5" s="1626" t="s">
        <v>5340</v>
      </c>
      <c r="AH5" s="1626" t="s">
        <v>5341</v>
      </c>
      <c r="AI5" s="1621" t="s">
        <v>139</v>
      </c>
      <c r="AJ5" s="1621" t="s">
        <v>5342</v>
      </c>
      <c r="AK5" s="1621"/>
      <c r="AL5" s="1621"/>
      <c r="AM5" s="1621" t="s">
        <v>5343</v>
      </c>
      <c r="AN5" s="1627" t="s">
        <v>5345</v>
      </c>
      <c r="AO5" s="1625" t="s">
        <v>5340</v>
      </c>
      <c r="AP5" s="1625" t="s">
        <v>5341</v>
      </c>
      <c r="AQ5" s="1623" t="s">
        <v>139</v>
      </c>
      <c r="AR5" s="1623" t="s">
        <v>5342</v>
      </c>
      <c r="AS5" s="1623"/>
      <c r="AT5" s="1623"/>
      <c r="AU5" s="1623" t="s">
        <v>5343</v>
      </c>
      <c r="AV5" s="1637" t="s">
        <v>5345</v>
      </c>
      <c r="AW5" s="1626" t="s">
        <v>5340</v>
      </c>
      <c r="AX5" s="1626" t="s">
        <v>5341</v>
      </c>
      <c r="AY5" s="1621" t="s">
        <v>139</v>
      </c>
      <c r="AZ5" s="1621" t="s">
        <v>5342</v>
      </c>
      <c r="BA5" s="1621"/>
      <c r="BB5" s="1621"/>
      <c r="BC5" s="1621" t="s">
        <v>5343</v>
      </c>
      <c r="BD5" s="1635" t="s">
        <v>6049</v>
      </c>
      <c r="BE5" s="1639" t="s">
        <v>5340</v>
      </c>
      <c r="BF5" s="1639" t="s">
        <v>5341</v>
      </c>
      <c r="BG5" s="1622" t="s">
        <v>139</v>
      </c>
      <c r="BH5" s="1622" t="s">
        <v>5342</v>
      </c>
      <c r="BI5" s="1622"/>
      <c r="BJ5" s="1622"/>
      <c r="BK5" s="1622" t="s">
        <v>5343</v>
      </c>
      <c r="BL5" s="1638" t="s">
        <v>5862</v>
      </c>
      <c r="BM5" s="1626" t="s">
        <v>5340</v>
      </c>
      <c r="BN5" s="1626" t="s">
        <v>5341</v>
      </c>
      <c r="BO5" s="1621" t="s">
        <v>139</v>
      </c>
      <c r="BP5" s="1621" t="s">
        <v>5342</v>
      </c>
      <c r="BQ5" s="1621"/>
      <c r="BR5" s="1621"/>
      <c r="BS5" s="1621" t="s">
        <v>5343</v>
      </c>
      <c r="BT5" s="1635" t="s">
        <v>5345</v>
      </c>
      <c r="BU5" s="1625" t="s">
        <v>5340</v>
      </c>
      <c r="BV5" s="1625" t="s">
        <v>5341</v>
      </c>
      <c r="BW5" s="1623" t="s">
        <v>139</v>
      </c>
      <c r="BX5" s="1623" t="s">
        <v>5342</v>
      </c>
      <c r="BY5" s="1623"/>
      <c r="BZ5" s="1623"/>
      <c r="CA5" s="1623" t="s">
        <v>5343</v>
      </c>
      <c r="CB5" s="1637" t="s">
        <v>5345</v>
      </c>
      <c r="CC5" s="1626" t="s">
        <v>5340</v>
      </c>
      <c r="CD5" s="1626" t="s">
        <v>5341</v>
      </c>
      <c r="CE5" s="1621" t="s">
        <v>139</v>
      </c>
      <c r="CF5" s="1621" t="s">
        <v>5342</v>
      </c>
      <c r="CG5" s="1621"/>
      <c r="CH5" s="1621"/>
      <c r="CI5" s="1621" t="s">
        <v>5343</v>
      </c>
      <c r="CJ5" s="1627" t="s">
        <v>5345</v>
      </c>
      <c r="CK5" s="1625" t="s">
        <v>5340</v>
      </c>
      <c r="CL5" s="1625" t="s">
        <v>5341</v>
      </c>
      <c r="CM5" s="1623" t="s">
        <v>139</v>
      </c>
      <c r="CN5" s="1623" t="s">
        <v>5342</v>
      </c>
      <c r="CO5" s="1623"/>
      <c r="CP5" s="1623"/>
      <c r="CQ5" s="1623" t="s">
        <v>5343</v>
      </c>
    </row>
    <row r="6" spans="1:95" x14ac:dyDescent="0.25">
      <c r="A6" s="1625"/>
      <c r="B6" s="1625"/>
      <c r="C6" s="1623"/>
      <c r="D6" s="1416" t="s">
        <v>5347</v>
      </c>
      <c r="E6" s="1416" t="s">
        <v>215</v>
      </c>
      <c r="F6" s="1416" t="s">
        <v>24</v>
      </c>
      <c r="G6" s="1623"/>
      <c r="H6" s="1622"/>
      <c r="I6" s="1626"/>
      <c r="J6" s="1626"/>
      <c r="K6" s="1621"/>
      <c r="L6" s="1417" t="s">
        <v>5347</v>
      </c>
      <c r="M6" s="1417" t="s">
        <v>215</v>
      </c>
      <c r="N6" s="1417" t="s">
        <v>24</v>
      </c>
      <c r="O6" s="1621"/>
      <c r="P6" s="1636"/>
      <c r="Q6" s="1626"/>
      <c r="R6" s="1626"/>
      <c r="S6" s="1621"/>
      <c r="T6" s="1417" t="s">
        <v>5347</v>
      </c>
      <c r="U6" s="1417" t="s">
        <v>215</v>
      </c>
      <c r="V6" s="1417" t="s">
        <v>24</v>
      </c>
      <c r="W6" s="1621"/>
      <c r="X6" s="1636"/>
      <c r="Y6" s="1625"/>
      <c r="Z6" s="1625"/>
      <c r="AA6" s="1623"/>
      <c r="AB6" s="1416" t="s">
        <v>5347</v>
      </c>
      <c r="AC6" s="1416" t="s">
        <v>215</v>
      </c>
      <c r="AD6" s="1416" t="s">
        <v>24</v>
      </c>
      <c r="AE6" s="1623"/>
      <c r="AF6" s="1622"/>
      <c r="AG6" s="1626"/>
      <c r="AH6" s="1626"/>
      <c r="AI6" s="1621"/>
      <c r="AJ6" s="1417" t="s">
        <v>5347</v>
      </c>
      <c r="AK6" s="1417" t="s">
        <v>215</v>
      </c>
      <c r="AL6" s="1417" t="s">
        <v>24</v>
      </c>
      <c r="AM6" s="1621"/>
      <c r="AN6" s="1628"/>
      <c r="AO6" s="1625"/>
      <c r="AP6" s="1625"/>
      <c r="AQ6" s="1623"/>
      <c r="AR6" s="1416" t="s">
        <v>5347</v>
      </c>
      <c r="AS6" s="1416" t="s">
        <v>215</v>
      </c>
      <c r="AT6" s="1416" t="s">
        <v>24</v>
      </c>
      <c r="AU6" s="1623"/>
      <c r="AV6" s="1622"/>
      <c r="AW6" s="1626"/>
      <c r="AX6" s="1626"/>
      <c r="AY6" s="1621"/>
      <c r="AZ6" s="1417" t="s">
        <v>5347</v>
      </c>
      <c r="BA6" s="1417" t="s">
        <v>215</v>
      </c>
      <c r="BB6" s="1417" t="s">
        <v>24</v>
      </c>
      <c r="BC6" s="1621"/>
      <c r="BD6" s="1636"/>
      <c r="BE6" s="1625"/>
      <c r="BF6" s="1625"/>
      <c r="BG6" s="1623"/>
      <c r="BH6" s="1416" t="s">
        <v>5347</v>
      </c>
      <c r="BI6" s="1416" t="s">
        <v>215</v>
      </c>
      <c r="BJ6" s="1416" t="s">
        <v>24</v>
      </c>
      <c r="BK6" s="1623"/>
      <c r="BL6" s="1639"/>
      <c r="BM6" s="1626"/>
      <c r="BN6" s="1626"/>
      <c r="BO6" s="1621"/>
      <c r="BP6" s="1417" t="s">
        <v>5347</v>
      </c>
      <c r="BQ6" s="1417" t="s">
        <v>215</v>
      </c>
      <c r="BR6" s="1417" t="s">
        <v>24</v>
      </c>
      <c r="BS6" s="1621"/>
      <c r="BT6" s="1636"/>
      <c r="BU6" s="1625"/>
      <c r="BV6" s="1625"/>
      <c r="BW6" s="1623"/>
      <c r="BX6" s="1416" t="s">
        <v>5347</v>
      </c>
      <c r="BY6" s="1416" t="s">
        <v>215</v>
      </c>
      <c r="BZ6" s="1416" t="s">
        <v>24</v>
      </c>
      <c r="CA6" s="1623"/>
      <c r="CB6" s="1622"/>
      <c r="CC6" s="1626"/>
      <c r="CD6" s="1626"/>
      <c r="CE6" s="1621"/>
      <c r="CF6" s="1417" t="s">
        <v>5347</v>
      </c>
      <c r="CG6" s="1417" t="s">
        <v>215</v>
      </c>
      <c r="CH6" s="1417" t="s">
        <v>24</v>
      </c>
      <c r="CI6" s="1621"/>
      <c r="CJ6" s="1628"/>
      <c r="CK6" s="1625"/>
      <c r="CL6" s="1625"/>
      <c r="CM6" s="1623"/>
      <c r="CN6" s="1416" t="s">
        <v>5347</v>
      </c>
      <c r="CO6" s="1416" t="s">
        <v>215</v>
      </c>
      <c r="CP6" s="1416" t="s">
        <v>24</v>
      </c>
      <c r="CQ6" s="1623"/>
    </row>
    <row r="7" spans="1:95" x14ac:dyDescent="0.25">
      <c r="A7" s="855">
        <v>19.617672020000001</v>
      </c>
      <c r="B7" s="614">
        <v>43678</v>
      </c>
      <c r="C7" s="362" t="s">
        <v>80</v>
      </c>
      <c r="D7" s="612">
        <v>500000</v>
      </c>
      <c r="E7" s="612">
        <v>49999</v>
      </c>
      <c r="F7" s="612">
        <f t="shared" ref="F7:F38" si="0">D7+E7</f>
        <v>549999</v>
      </c>
      <c r="G7" s="362" t="s">
        <v>5931</v>
      </c>
      <c r="H7" s="364">
        <v>44085</v>
      </c>
      <c r="I7" s="616" t="s">
        <v>5350</v>
      </c>
      <c r="J7" s="614">
        <v>43647</v>
      </c>
      <c r="K7" s="362" t="s">
        <v>82</v>
      </c>
      <c r="L7" s="612">
        <v>318182</v>
      </c>
      <c r="M7" s="612">
        <v>31818</v>
      </c>
      <c r="N7" s="612">
        <f t="shared" ref="N7:N37" si="1">L7+M7</f>
        <v>350000</v>
      </c>
      <c r="O7" s="362" t="s">
        <v>5348</v>
      </c>
      <c r="P7" s="364"/>
      <c r="Q7" s="362">
        <v>20.08817896</v>
      </c>
      <c r="R7" s="614">
        <v>43800</v>
      </c>
      <c r="S7" s="362" t="s">
        <v>83</v>
      </c>
      <c r="T7" s="612">
        <v>350000</v>
      </c>
      <c r="U7" s="612">
        <v>35000</v>
      </c>
      <c r="V7" s="612">
        <f t="shared" ref="V7:V35" si="2">T7+U7</f>
        <v>385000</v>
      </c>
      <c r="W7" s="362" t="s">
        <v>5349</v>
      </c>
      <c r="X7" s="364">
        <v>44118</v>
      </c>
      <c r="Y7" s="362">
        <v>20.756964960000001</v>
      </c>
      <c r="Z7" s="614">
        <v>43891</v>
      </c>
      <c r="AA7" s="362" t="s">
        <v>88</v>
      </c>
      <c r="AB7" s="612">
        <v>318182</v>
      </c>
      <c r="AC7" s="612">
        <v>31818</v>
      </c>
      <c r="AD7" s="612">
        <f t="shared" ref="AD7:AD29" si="3">AB7+AC7</f>
        <v>350000</v>
      </c>
      <c r="AE7" s="362" t="s">
        <v>5348</v>
      </c>
      <c r="AF7" s="364">
        <v>44085</v>
      </c>
      <c r="AG7" s="362">
        <v>21.207768819999998</v>
      </c>
      <c r="AH7" s="614">
        <v>44228</v>
      </c>
      <c r="AI7" s="362" t="s">
        <v>87</v>
      </c>
      <c r="AJ7" s="562">
        <v>175000</v>
      </c>
      <c r="AK7" s="562">
        <v>17500</v>
      </c>
      <c r="AL7" s="562">
        <f>AJ7+AK7</f>
        <v>192500</v>
      </c>
      <c r="AM7" s="362" t="s">
        <v>5348</v>
      </c>
      <c r="AN7" s="364">
        <v>44452</v>
      </c>
      <c r="AO7" s="362">
        <v>19.021532650000001</v>
      </c>
      <c r="AP7" s="614">
        <v>43617</v>
      </c>
      <c r="AQ7" s="362" t="s">
        <v>150</v>
      </c>
      <c r="AR7" s="612">
        <v>454545</v>
      </c>
      <c r="AS7" s="612">
        <v>45454</v>
      </c>
      <c r="AT7" s="612">
        <f t="shared" ref="AT7:AT21" si="4">AR7+AS7</f>
        <v>499999</v>
      </c>
      <c r="AU7" s="362" t="s">
        <v>5348</v>
      </c>
      <c r="AV7" s="362" t="s">
        <v>6289</v>
      </c>
      <c r="AW7" s="370">
        <v>21.207499009999999</v>
      </c>
      <c r="AX7" s="850">
        <v>44197</v>
      </c>
      <c r="AY7" s="370" t="s">
        <v>144</v>
      </c>
      <c r="AZ7" s="565">
        <v>163636</v>
      </c>
      <c r="BA7" s="565">
        <v>16363</v>
      </c>
      <c r="BB7" s="565">
        <f>AZ7+BA7</f>
        <v>179999</v>
      </c>
      <c r="BC7" s="370" t="s">
        <v>5348</v>
      </c>
      <c r="BD7" s="364">
        <v>44260</v>
      </c>
      <c r="BE7" s="720">
        <v>19.617549889999999</v>
      </c>
      <c r="BF7" s="721">
        <v>43647</v>
      </c>
      <c r="BG7" s="722" t="s">
        <v>84</v>
      </c>
      <c r="BH7" s="723">
        <v>318182</v>
      </c>
      <c r="BI7" s="723">
        <v>31818</v>
      </c>
      <c r="BJ7" s="724">
        <v>0</v>
      </c>
      <c r="BK7" s="722" t="s">
        <v>5348</v>
      </c>
      <c r="BL7" s="979">
        <v>44021</v>
      </c>
      <c r="BM7" s="362">
        <v>20.70740198</v>
      </c>
      <c r="BN7" s="614">
        <v>43831</v>
      </c>
      <c r="BO7" s="362" t="s">
        <v>81</v>
      </c>
      <c r="BP7" s="612">
        <v>334848</v>
      </c>
      <c r="BQ7" s="612">
        <v>33484</v>
      </c>
      <c r="BR7" s="612">
        <f t="shared" ref="BR7:BR34" si="5">BP7+BQ7</f>
        <v>368332</v>
      </c>
      <c r="BS7" s="362" t="s">
        <v>5348</v>
      </c>
      <c r="BT7" s="364">
        <v>43979</v>
      </c>
      <c r="BU7" s="362">
        <v>19.02150481</v>
      </c>
      <c r="BV7" s="614">
        <v>43617</v>
      </c>
      <c r="BW7" s="362" t="s">
        <v>78</v>
      </c>
      <c r="BX7" s="612">
        <v>318182</v>
      </c>
      <c r="BY7" s="612">
        <v>31818</v>
      </c>
      <c r="BZ7" s="612">
        <f t="shared" ref="BZ7:BZ37" si="6">BY7+BX7</f>
        <v>350000</v>
      </c>
      <c r="CA7" s="362" t="s">
        <v>5348</v>
      </c>
      <c r="CB7" s="364"/>
      <c r="CC7" s="969">
        <v>21.121278650000001</v>
      </c>
      <c r="CD7" s="614">
        <v>44317</v>
      </c>
      <c r="CE7" s="362" t="s">
        <v>86</v>
      </c>
      <c r="CF7" s="612">
        <v>318182</v>
      </c>
      <c r="CG7" s="612">
        <v>31818</v>
      </c>
      <c r="CH7" s="615">
        <f>CF7+CG7</f>
        <v>350000</v>
      </c>
      <c r="CI7" s="362" t="s">
        <v>5348</v>
      </c>
      <c r="CJ7" s="364">
        <v>44456</v>
      </c>
      <c r="CK7" s="362"/>
      <c r="CL7" s="362"/>
      <c r="CM7" s="362"/>
      <c r="CN7" s="362"/>
      <c r="CO7" s="362"/>
      <c r="CP7" s="362"/>
      <c r="CQ7" s="362"/>
    </row>
    <row r="8" spans="1:95" x14ac:dyDescent="0.25">
      <c r="A8" s="855">
        <v>19.61779889</v>
      </c>
      <c r="B8" s="614">
        <v>43709</v>
      </c>
      <c r="C8" s="362" t="s">
        <v>80</v>
      </c>
      <c r="D8" s="612">
        <v>500000</v>
      </c>
      <c r="E8" s="612">
        <v>49999</v>
      </c>
      <c r="F8" s="612">
        <f t="shared" si="0"/>
        <v>549999</v>
      </c>
      <c r="G8" s="362" t="s">
        <v>5931</v>
      </c>
      <c r="H8" s="364">
        <v>44085</v>
      </c>
      <c r="I8" s="613">
        <v>20.088178970000001</v>
      </c>
      <c r="J8" s="614">
        <v>43770</v>
      </c>
      <c r="K8" s="362" t="s">
        <v>82</v>
      </c>
      <c r="L8" s="612">
        <v>318182</v>
      </c>
      <c r="M8" s="612">
        <v>31818</v>
      </c>
      <c r="N8" s="612">
        <f t="shared" si="1"/>
        <v>350000</v>
      </c>
      <c r="O8" s="362" t="s">
        <v>5348</v>
      </c>
      <c r="P8" s="364">
        <v>44118</v>
      </c>
      <c r="Q8" s="362">
        <v>20.707465549999998</v>
      </c>
      <c r="R8" s="614">
        <v>43831</v>
      </c>
      <c r="S8" s="370" t="s">
        <v>83</v>
      </c>
      <c r="T8" s="851">
        <v>350000</v>
      </c>
      <c r="U8" s="851">
        <v>35000</v>
      </c>
      <c r="V8" s="851">
        <f t="shared" si="2"/>
        <v>385000</v>
      </c>
      <c r="W8" s="370" t="s">
        <v>5348</v>
      </c>
      <c r="X8" s="568">
        <v>44062</v>
      </c>
      <c r="Y8" s="362">
        <v>20.75710059</v>
      </c>
      <c r="Z8" s="614">
        <v>43922</v>
      </c>
      <c r="AA8" s="362" t="s">
        <v>88</v>
      </c>
      <c r="AB8" s="612">
        <v>318182</v>
      </c>
      <c r="AC8" s="612">
        <v>31818</v>
      </c>
      <c r="AD8" s="612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4">
        <v>44256</v>
      </c>
      <c r="AI8" s="362" t="s">
        <v>87</v>
      </c>
      <c r="AJ8" s="562">
        <v>350000</v>
      </c>
      <c r="AK8" s="562">
        <v>35000</v>
      </c>
      <c r="AL8" s="562">
        <f t="shared" ref="AL8:AL22" si="7">AJ8+AK8</f>
        <v>385000</v>
      </c>
      <c r="AM8" s="362" t="s">
        <v>5348</v>
      </c>
      <c r="AN8" s="364">
        <v>44452</v>
      </c>
      <c r="AO8" s="362">
        <v>22.244365569999999</v>
      </c>
      <c r="AP8" s="614">
        <v>44621</v>
      </c>
      <c r="AQ8" s="362" t="s">
        <v>150</v>
      </c>
      <c r="AR8" s="612">
        <v>300000</v>
      </c>
      <c r="AS8" s="612">
        <v>33000</v>
      </c>
      <c r="AT8" s="612">
        <f t="shared" si="4"/>
        <v>333000</v>
      </c>
      <c r="AU8" s="362" t="s">
        <v>5348</v>
      </c>
      <c r="AV8" s="362" t="s">
        <v>6154</v>
      </c>
      <c r="AW8" s="370">
        <v>21.207635740000001</v>
      </c>
      <c r="AX8" s="850">
        <v>44228</v>
      </c>
      <c r="AY8" s="370" t="s">
        <v>144</v>
      </c>
      <c r="AZ8" s="565">
        <v>327273</v>
      </c>
      <c r="BA8" s="565">
        <v>32727</v>
      </c>
      <c r="BB8" s="565">
        <f>AZ8+BA8</f>
        <v>360000</v>
      </c>
      <c r="BC8" s="370" t="s">
        <v>5348</v>
      </c>
      <c r="BD8" s="364">
        <v>44286</v>
      </c>
      <c r="BE8" s="722">
        <v>20.757013730000001</v>
      </c>
      <c r="BF8" s="721">
        <v>43678</v>
      </c>
      <c r="BG8" s="722" t="s">
        <v>84</v>
      </c>
      <c r="BH8" s="723">
        <v>159091</v>
      </c>
      <c r="BI8" s="723">
        <v>15909</v>
      </c>
      <c r="BJ8" s="724">
        <f t="shared" ref="BJ8:BJ32" si="8">BH8+BI8</f>
        <v>175000</v>
      </c>
      <c r="BK8" s="722" t="s">
        <v>5348</v>
      </c>
      <c r="BL8" s="979">
        <v>44021</v>
      </c>
      <c r="BM8" s="362">
        <v>20.70758622</v>
      </c>
      <c r="BN8" s="614">
        <v>43862</v>
      </c>
      <c r="BO8" s="362" t="s">
        <v>81</v>
      </c>
      <c r="BP8" s="612">
        <v>334848</v>
      </c>
      <c r="BQ8" s="612">
        <v>33484</v>
      </c>
      <c r="BR8" s="612">
        <f t="shared" si="5"/>
        <v>368332</v>
      </c>
      <c r="BS8" s="362" t="s">
        <v>5348</v>
      </c>
      <c r="BT8" s="364">
        <v>43979</v>
      </c>
      <c r="BU8" s="362">
        <v>19.617470189999999</v>
      </c>
      <c r="BV8" s="614">
        <v>43647</v>
      </c>
      <c r="BW8" s="362" t="s">
        <v>78</v>
      </c>
      <c r="BX8" s="612">
        <v>318182</v>
      </c>
      <c r="BY8" s="612">
        <v>31818</v>
      </c>
      <c r="BZ8" s="612">
        <f t="shared" si="6"/>
        <v>350000</v>
      </c>
      <c r="CA8" s="362" t="s">
        <v>5348</v>
      </c>
      <c r="CB8" s="364"/>
      <c r="CC8" s="969">
        <v>21.121500619999999</v>
      </c>
      <c r="CD8" s="614">
        <v>44348</v>
      </c>
      <c r="CE8" s="362" t="s">
        <v>86</v>
      </c>
      <c r="CF8" s="612">
        <v>318182</v>
      </c>
      <c r="CG8" s="612">
        <v>31818</v>
      </c>
      <c r="CH8" s="615">
        <f t="shared" ref="CH8:CH19" si="9">CF8+CG8</f>
        <v>350000</v>
      </c>
      <c r="CI8" s="362" t="s">
        <v>5348</v>
      </c>
      <c r="CJ8" s="364">
        <v>44456</v>
      </c>
      <c r="CK8" s="362"/>
      <c r="CL8" s="362"/>
      <c r="CM8" s="362"/>
      <c r="CN8" s="362"/>
      <c r="CO8" s="362"/>
      <c r="CP8" s="362"/>
      <c r="CQ8" s="362"/>
    </row>
    <row r="9" spans="1:95" x14ac:dyDescent="0.25">
      <c r="A9" s="855">
        <v>20.088178939999999</v>
      </c>
      <c r="B9" s="614">
        <v>43770</v>
      </c>
      <c r="C9" s="362" t="s">
        <v>80</v>
      </c>
      <c r="D9" s="612">
        <v>500000</v>
      </c>
      <c r="E9" s="612">
        <v>49999</v>
      </c>
      <c r="F9" s="612">
        <f t="shared" si="0"/>
        <v>549999</v>
      </c>
      <c r="G9" s="362" t="s">
        <v>5348</v>
      </c>
      <c r="H9" s="364">
        <v>44118</v>
      </c>
      <c r="I9" s="362">
        <v>20.088178979999999</v>
      </c>
      <c r="J9" s="614">
        <v>43800</v>
      </c>
      <c r="K9" s="362" t="s">
        <v>82</v>
      </c>
      <c r="L9" s="612">
        <v>318182</v>
      </c>
      <c r="M9" s="612">
        <v>31818</v>
      </c>
      <c r="N9" s="612">
        <f t="shared" si="1"/>
        <v>350000</v>
      </c>
      <c r="O9" s="362" t="s">
        <v>5348</v>
      </c>
      <c r="P9" s="364">
        <v>44118</v>
      </c>
      <c r="Q9" s="362">
        <v>20.707589349999999</v>
      </c>
      <c r="R9" s="614">
        <v>43862</v>
      </c>
      <c r="S9" s="370" t="s">
        <v>83</v>
      </c>
      <c r="T9" s="851">
        <v>350000</v>
      </c>
      <c r="U9" s="851">
        <v>35000</v>
      </c>
      <c r="V9" s="851">
        <f t="shared" si="2"/>
        <v>385000</v>
      </c>
      <c r="W9" s="370" t="s">
        <v>5348</v>
      </c>
      <c r="X9" s="568">
        <v>44062</v>
      </c>
      <c r="Y9" s="362">
        <v>20.75731974</v>
      </c>
      <c r="Z9" s="614">
        <v>43983</v>
      </c>
      <c r="AA9" s="362" t="s">
        <v>88</v>
      </c>
      <c r="AB9" s="612">
        <v>318182</v>
      </c>
      <c r="AC9" s="612">
        <v>31818</v>
      </c>
      <c r="AD9" s="612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4">
        <v>44287</v>
      </c>
      <c r="AI9" s="362" t="s">
        <v>87</v>
      </c>
      <c r="AJ9" s="562">
        <v>350000</v>
      </c>
      <c r="AK9" s="562">
        <v>35000</v>
      </c>
      <c r="AL9" s="562">
        <f t="shared" si="7"/>
        <v>385000</v>
      </c>
      <c r="AM9" s="362" t="s">
        <v>5348</v>
      </c>
      <c r="AN9" s="364">
        <v>44452</v>
      </c>
      <c r="AO9" s="362">
        <v>22.244472649999999</v>
      </c>
      <c r="AP9" s="614">
        <v>44652</v>
      </c>
      <c r="AQ9" s="362" t="s">
        <v>150</v>
      </c>
      <c r="AR9" s="612">
        <v>600000</v>
      </c>
      <c r="AS9" s="612">
        <v>66000</v>
      </c>
      <c r="AT9" s="612">
        <f t="shared" si="4"/>
        <v>666000</v>
      </c>
      <c r="AU9" s="362" t="s">
        <v>5348</v>
      </c>
      <c r="AV9" s="362" t="s">
        <v>6154</v>
      </c>
      <c r="AW9" s="370">
        <v>21.208052049999999</v>
      </c>
      <c r="AX9" s="850">
        <v>44287</v>
      </c>
      <c r="AY9" s="370" t="s">
        <v>144</v>
      </c>
      <c r="AZ9" s="565">
        <v>327273</v>
      </c>
      <c r="BA9" s="565">
        <v>32727</v>
      </c>
      <c r="BB9" s="565">
        <f>AZ9+BA9</f>
        <v>360000</v>
      </c>
      <c r="BC9" s="370" t="s">
        <v>5348</v>
      </c>
      <c r="BD9" s="364">
        <v>44351</v>
      </c>
      <c r="BE9" s="722">
        <v>20.757013740000001</v>
      </c>
      <c r="BF9" s="721">
        <v>43709</v>
      </c>
      <c r="BG9" s="722" t="s">
        <v>84</v>
      </c>
      <c r="BH9" s="723">
        <v>159091</v>
      </c>
      <c r="BI9" s="723">
        <v>15909</v>
      </c>
      <c r="BJ9" s="724">
        <f t="shared" si="8"/>
        <v>175000</v>
      </c>
      <c r="BK9" s="722" t="s">
        <v>5348</v>
      </c>
      <c r="BL9" s="979">
        <v>44021</v>
      </c>
      <c r="BM9" s="362">
        <v>20.756898209999999</v>
      </c>
      <c r="BN9" s="614">
        <v>43891</v>
      </c>
      <c r="BO9" s="362" t="s">
        <v>81</v>
      </c>
      <c r="BP9" s="612">
        <v>334848</v>
      </c>
      <c r="BQ9" s="612">
        <v>33484</v>
      </c>
      <c r="BR9" s="612">
        <f t="shared" si="5"/>
        <v>368332</v>
      </c>
      <c r="BS9" s="362" t="s">
        <v>5348</v>
      </c>
      <c r="BT9" s="364">
        <v>43979</v>
      </c>
      <c r="BU9" s="362">
        <v>19.61759644</v>
      </c>
      <c r="BV9" s="614">
        <v>43678</v>
      </c>
      <c r="BW9" s="362" t="s">
        <v>78</v>
      </c>
      <c r="BX9" s="612">
        <v>318182</v>
      </c>
      <c r="BY9" s="612">
        <v>31818</v>
      </c>
      <c r="BZ9" s="612">
        <f t="shared" si="6"/>
        <v>350000</v>
      </c>
      <c r="CA9" s="362" t="s">
        <v>5348</v>
      </c>
      <c r="CB9" s="364"/>
      <c r="CC9" s="969">
        <v>21.554416660000001</v>
      </c>
      <c r="CD9" s="614">
        <v>44378</v>
      </c>
      <c r="CE9" s="362" t="s">
        <v>86</v>
      </c>
      <c r="CF9" s="612">
        <v>318182</v>
      </c>
      <c r="CG9" s="612">
        <v>31818</v>
      </c>
      <c r="CH9" s="615">
        <f t="shared" si="9"/>
        <v>350000</v>
      </c>
      <c r="CI9" s="362" t="s">
        <v>5348</v>
      </c>
      <c r="CJ9" s="364">
        <v>44456</v>
      </c>
      <c r="CK9" s="362"/>
      <c r="CL9" s="362"/>
      <c r="CM9" s="362"/>
      <c r="CN9" s="362"/>
      <c r="CO9" s="362"/>
      <c r="CP9" s="362"/>
      <c r="CQ9" s="362"/>
    </row>
    <row r="10" spans="1:95" x14ac:dyDescent="0.25">
      <c r="A10" s="855">
        <v>20.08817895</v>
      </c>
      <c r="B10" s="614">
        <v>43800</v>
      </c>
      <c r="C10" s="362" t="s">
        <v>80</v>
      </c>
      <c r="D10" s="612">
        <v>500000</v>
      </c>
      <c r="E10" s="612">
        <v>50000</v>
      </c>
      <c r="F10" s="612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4">
        <v>43831</v>
      </c>
      <c r="K10" s="362" t="s">
        <v>82</v>
      </c>
      <c r="L10" s="612">
        <v>318182</v>
      </c>
      <c r="M10" s="612">
        <v>31818</v>
      </c>
      <c r="N10" s="612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4">
        <v>43891</v>
      </c>
      <c r="S10" s="370" t="s">
        <v>83</v>
      </c>
      <c r="T10" s="851">
        <v>350000</v>
      </c>
      <c r="U10" s="851">
        <v>35000</v>
      </c>
      <c r="V10" s="851">
        <f t="shared" si="2"/>
        <v>385000</v>
      </c>
      <c r="W10" s="370" t="s">
        <v>5348</v>
      </c>
      <c r="X10" s="568">
        <v>44062</v>
      </c>
      <c r="Y10" s="362">
        <v>20.088038990000001</v>
      </c>
      <c r="Z10" s="614">
        <v>44013</v>
      </c>
      <c r="AA10" s="362" t="s">
        <v>88</v>
      </c>
      <c r="AB10" s="612">
        <v>318182</v>
      </c>
      <c r="AC10" s="612">
        <v>31818</v>
      </c>
      <c r="AD10" s="612">
        <f t="shared" si="3"/>
        <v>350000</v>
      </c>
      <c r="AE10" s="362" t="s">
        <v>5348</v>
      </c>
      <c r="AF10" s="364">
        <v>44085</v>
      </c>
      <c r="AG10" s="362">
        <v>21.12127868</v>
      </c>
      <c r="AH10" s="614">
        <v>44317</v>
      </c>
      <c r="AI10" s="362" t="s">
        <v>87</v>
      </c>
      <c r="AJ10" s="562">
        <v>350000</v>
      </c>
      <c r="AK10" s="562">
        <v>35000</v>
      </c>
      <c r="AL10" s="562">
        <f t="shared" si="7"/>
        <v>385000</v>
      </c>
      <c r="AM10" s="362" t="s">
        <v>5348</v>
      </c>
      <c r="AN10" s="364">
        <v>44452</v>
      </c>
      <c r="AO10" s="362">
        <v>22.37327135</v>
      </c>
      <c r="AP10" s="614">
        <v>44682</v>
      </c>
      <c r="AQ10" s="362" t="s">
        <v>150</v>
      </c>
      <c r="AR10" s="612">
        <v>600000</v>
      </c>
      <c r="AS10" s="612">
        <v>66000</v>
      </c>
      <c r="AT10" s="612">
        <f t="shared" si="4"/>
        <v>666000</v>
      </c>
      <c r="AU10" s="362" t="s">
        <v>5348</v>
      </c>
      <c r="AV10" s="362" t="s">
        <v>6154</v>
      </c>
      <c r="AW10" s="362">
        <v>21.121145309999999</v>
      </c>
      <c r="AX10" s="614">
        <v>44317</v>
      </c>
      <c r="AY10" s="370" t="s">
        <v>144</v>
      </c>
      <c r="AZ10" s="562">
        <v>327273</v>
      </c>
      <c r="BA10" s="562">
        <v>32727</v>
      </c>
      <c r="BB10" s="565">
        <f t="shared" ref="BB10:BB22" si="10">AZ10+BA10</f>
        <v>360000</v>
      </c>
      <c r="BC10" s="370" t="s">
        <v>5348</v>
      </c>
      <c r="BD10" s="364">
        <v>44452</v>
      </c>
      <c r="BE10" s="720">
        <v>19.617932540000002</v>
      </c>
      <c r="BF10" s="721">
        <v>43739</v>
      </c>
      <c r="BG10" s="722" t="s">
        <v>84</v>
      </c>
      <c r="BH10" s="723">
        <v>318182</v>
      </c>
      <c r="BI10" s="723">
        <v>31818</v>
      </c>
      <c r="BJ10" s="724">
        <f t="shared" si="8"/>
        <v>350000</v>
      </c>
      <c r="BK10" s="722" t="s">
        <v>5348</v>
      </c>
      <c r="BL10" s="979">
        <v>44021</v>
      </c>
      <c r="BM10" s="362">
        <v>20.757154109999998</v>
      </c>
      <c r="BN10" s="614">
        <v>43952</v>
      </c>
      <c r="BO10" s="362" t="s">
        <v>81</v>
      </c>
      <c r="BP10" s="612">
        <v>334848</v>
      </c>
      <c r="BQ10" s="612">
        <v>33484</v>
      </c>
      <c r="BR10" s="612">
        <f t="shared" si="5"/>
        <v>368332</v>
      </c>
      <c r="BS10" s="362" t="s">
        <v>5348</v>
      </c>
      <c r="BT10" s="364">
        <v>44014</v>
      </c>
      <c r="BU10" s="362">
        <v>20.707390440000001</v>
      </c>
      <c r="BV10" s="614">
        <v>43831</v>
      </c>
      <c r="BW10" s="362" t="s">
        <v>78</v>
      </c>
      <c r="BX10" s="612">
        <v>334848</v>
      </c>
      <c r="BY10" s="612">
        <v>33484</v>
      </c>
      <c r="BZ10" s="612">
        <f t="shared" si="6"/>
        <v>368332</v>
      </c>
      <c r="CA10" s="362" t="s">
        <v>5348</v>
      </c>
      <c r="CB10" s="364">
        <v>43979</v>
      </c>
      <c r="CC10" s="969">
        <v>21.554628829999999</v>
      </c>
      <c r="CD10" s="614">
        <v>44409</v>
      </c>
      <c r="CE10" s="362" t="s">
        <v>86</v>
      </c>
      <c r="CF10" s="562">
        <v>318182</v>
      </c>
      <c r="CG10" s="562">
        <v>31818</v>
      </c>
      <c r="CH10" s="615">
        <f t="shared" si="9"/>
        <v>350000</v>
      </c>
      <c r="CI10" s="362" t="s">
        <v>5348</v>
      </c>
      <c r="CJ10" s="364">
        <v>44484</v>
      </c>
      <c r="CK10" s="362"/>
      <c r="CL10" s="362"/>
      <c r="CM10" s="362"/>
      <c r="CN10" s="362"/>
      <c r="CO10" s="362"/>
      <c r="CP10" s="362"/>
      <c r="CQ10" s="362"/>
    </row>
    <row r="11" spans="1:95" x14ac:dyDescent="0.25">
      <c r="A11" s="855">
        <v>20.707465540000001</v>
      </c>
      <c r="B11" s="614">
        <v>43831</v>
      </c>
      <c r="C11" s="362" t="s">
        <v>80</v>
      </c>
      <c r="D11" s="612">
        <v>500000</v>
      </c>
      <c r="E11" s="612">
        <v>50000</v>
      </c>
      <c r="F11" s="612">
        <f t="shared" si="0"/>
        <v>550000</v>
      </c>
      <c r="G11" s="362" t="s">
        <v>5348</v>
      </c>
      <c r="H11" s="364">
        <v>43979</v>
      </c>
      <c r="I11" s="362">
        <v>20.70758936</v>
      </c>
      <c r="J11" s="614">
        <v>43862</v>
      </c>
      <c r="K11" s="362" t="s">
        <v>82</v>
      </c>
      <c r="L11" s="612">
        <v>318182</v>
      </c>
      <c r="M11" s="612">
        <v>31818</v>
      </c>
      <c r="N11" s="612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4">
        <v>43922</v>
      </c>
      <c r="S11" s="370" t="s">
        <v>83</v>
      </c>
      <c r="T11" s="851">
        <v>350000</v>
      </c>
      <c r="U11" s="851">
        <v>35000</v>
      </c>
      <c r="V11" s="851">
        <f t="shared" si="2"/>
        <v>385000</v>
      </c>
      <c r="W11" s="370" t="s">
        <v>5348</v>
      </c>
      <c r="X11" s="568">
        <v>44062</v>
      </c>
      <c r="Y11" s="362">
        <v>20.088152950000001</v>
      </c>
      <c r="Z11" s="614">
        <v>44044</v>
      </c>
      <c r="AA11" s="362" t="s">
        <v>88</v>
      </c>
      <c r="AB11" s="612">
        <v>318182</v>
      </c>
      <c r="AC11" s="612">
        <v>31818</v>
      </c>
      <c r="AD11" s="612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4">
        <v>44348</v>
      </c>
      <c r="AI11" s="362" t="s">
        <v>87</v>
      </c>
      <c r="AJ11" s="562">
        <v>350000</v>
      </c>
      <c r="AK11" s="562">
        <v>35000</v>
      </c>
      <c r="AL11" s="562">
        <f t="shared" si="7"/>
        <v>385000</v>
      </c>
      <c r="AM11" s="362" t="s">
        <v>5348</v>
      </c>
      <c r="AN11" s="364">
        <v>44452</v>
      </c>
      <c r="AO11" s="362">
        <v>22.37349399</v>
      </c>
      <c r="AP11" s="614">
        <v>44713</v>
      </c>
      <c r="AQ11" s="362" t="s">
        <v>150</v>
      </c>
      <c r="AR11" s="612">
        <v>600000</v>
      </c>
      <c r="AS11" s="612">
        <v>66000</v>
      </c>
      <c r="AT11" s="612">
        <f t="shared" si="4"/>
        <v>666000</v>
      </c>
      <c r="AU11" s="362" t="s">
        <v>5348</v>
      </c>
      <c r="AV11" s="362" t="s">
        <v>6154</v>
      </c>
      <c r="AW11" s="362">
        <v>21.121370219999999</v>
      </c>
      <c r="AX11" s="614">
        <v>44348</v>
      </c>
      <c r="AY11" s="370" t="s">
        <v>144</v>
      </c>
      <c r="AZ11" s="562">
        <v>327273</v>
      </c>
      <c r="BA11" s="562">
        <v>32727</v>
      </c>
      <c r="BB11" s="565">
        <f t="shared" si="10"/>
        <v>360000</v>
      </c>
      <c r="BC11" s="370" t="s">
        <v>5348</v>
      </c>
      <c r="BD11" s="364">
        <v>44452</v>
      </c>
      <c r="BE11" s="362">
        <v>20.08813151</v>
      </c>
      <c r="BF11" s="614">
        <v>44044</v>
      </c>
      <c r="BG11" s="362" t="s">
        <v>84</v>
      </c>
      <c r="BH11" s="562">
        <v>159091</v>
      </c>
      <c r="BI11" s="562">
        <v>15909</v>
      </c>
      <c r="BJ11" s="562">
        <f t="shared" si="8"/>
        <v>175000</v>
      </c>
      <c r="BK11" s="362" t="s">
        <v>5348</v>
      </c>
      <c r="BL11" s="364">
        <v>44153</v>
      </c>
      <c r="BM11" s="362">
        <v>20.75731803</v>
      </c>
      <c r="BN11" s="614">
        <v>43983</v>
      </c>
      <c r="BO11" s="362" t="s">
        <v>81</v>
      </c>
      <c r="BP11" s="612">
        <v>334848</v>
      </c>
      <c r="BQ11" s="612">
        <v>33484</v>
      </c>
      <c r="BR11" s="612">
        <f t="shared" si="5"/>
        <v>368332</v>
      </c>
      <c r="BS11" s="362" t="s">
        <v>5931</v>
      </c>
      <c r="BT11" s="364">
        <v>44036</v>
      </c>
      <c r="BU11" s="362">
        <v>20.70751138</v>
      </c>
      <c r="BV11" s="614">
        <v>43862</v>
      </c>
      <c r="BW11" s="362" t="s">
        <v>78</v>
      </c>
      <c r="BX11" s="612">
        <v>334848</v>
      </c>
      <c r="BY11" s="612">
        <v>33484</v>
      </c>
      <c r="BZ11" s="612">
        <f t="shared" si="6"/>
        <v>368332</v>
      </c>
      <c r="CA11" s="362" t="s">
        <v>5348</v>
      </c>
      <c r="CB11" s="364">
        <v>43979</v>
      </c>
      <c r="CC11" s="370">
        <v>21.55484852</v>
      </c>
      <c r="CD11" s="614">
        <v>44440</v>
      </c>
      <c r="CE11" s="362" t="s">
        <v>86</v>
      </c>
      <c r="CF11" s="562">
        <v>318182</v>
      </c>
      <c r="CG11" s="562">
        <v>31818</v>
      </c>
      <c r="CH11" s="615">
        <f t="shared" si="9"/>
        <v>350000</v>
      </c>
      <c r="CI11" s="362" t="s">
        <v>5348</v>
      </c>
      <c r="CJ11" s="364">
        <v>44565</v>
      </c>
      <c r="CK11" s="362"/>
      <c r="CL11" s="362"/>
      <c r="CM11" s="362"/>
      <c r="CN11" s="362"/>
      <c r="CO11" s="362"/>
      <c r="CP11" s="362"/>
      <c r="CQ11" s="362"/>
    </row>
    <row r="12" spans="1:95" x14ac:dyDescent="0.25">
      <c r="A12" s="855">
        <v>20.707589339999998</v>
      </c>
      <c r="B12" s="614">
        <v>43862</v>
      </c>
      <c r="C12" s="362" t="s">
        <v>80</v>
      </c>
      <c r="D12" s="612">
        <v>500000</v>
      </c>
      <c r="E12" s="612">
        <v>50000</v>
      </c>
      <c r="F12" s="612">
        <f t="shared" si="0"/>
        <v>550000</v>
      </c>
      <c r="G12" s="362" t="s">
        <v>5348</v>
      </c>
      <c r="H12" s="364">
        <v>43979</v>
      </c>
      <c r="I12" s="362">
        <v>20.75696499</v>
      </c>
      <c r="J12" s="614">
        <v>43891</v>
      </c>
      <c r="K12" s="362" t="s">
        <v>82</v>
      </c>
      <c r="L12" s="612">
        <v>159091</v>
      </c>
      <c r="M12" s="612">
        <v>15909</v>
      </c>
      <c r="N12" s="612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4">
        <v>43983</v>
      </c>
      <c r="S12" s="370" t="s">
        <v>83</v>
      </c>
      <c r="T12" s="851">
        <v>350000</v>
      </c>
      <c r="U12" s="851">
        <v>35000</v>
      </c>
      <c r="V12" s="851">
        <f t="shared" si="2"/>
        <v>385000</v>
      </c>
      <c r="W12" s="370" t="s">
        <v>5348</v>
      </c>
      <c r="X12" s="568">
        <v>44062</v>
      </c>
      <c r="Y12" s="362">
        <v>20.088152950000001</v>
      </c>
      <c r="Z12" s="614">
        <v>44044</v>
      </c>
      <c r="AA12" s="362" t="s">
        <v>88</v>
      </c>
      <c r="AB12" s="612">
        <v>318182</v>
      </c>
      <c r="AC12" s="612">
        <v>31818</v>
      </c>
      <c r="AD12" s="612">
        <f t="shared" si="3"/>
        <v>350000</v>
      </c>
      <c r="AE12" s="362" t="s">
        <v>5348</v>
      </c>
      <c r="AF12" s="364">
        <v>44118</v>
      </c>
      <c r="AG12" s="362">
        <v>21.55441669</v>
      </c>
      <c r="AH12" s="614">
        <v>44378</v>
      </c>
      <c r="AI12" s="362" t="s">
        <v>87</v>
      </c>
      <c r="AJ12" s="562">
        <v>350000</v>
      </c>
      <c r="AK12" s="562">
        <v>35000</v>
      </c>
      <c r="AL12" s="562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2"/>
      <c r="AS12" s="612"/>
      <c r="AT12" s="612">
        <f t="shared" si="4"/>
        <v>0</v>
      </c>
      <c r="AU12" s="362"/>
      <c r="AV12" s="362"/>
      <c r="AW12" s="362">
        <v>21.121594080000001</v>
      </c>
      <c r="AX12" s="614">
        <v>44378</v>
      </c>
      <c r="AY12" s="370" t="s">
        <v>144</v>
      </c>
      <c r="AZ12" s="562">
        <v>327273</v>
      </c>
      <c r="BA12" s="562">
        <v>32727</v>
      </c>
      <c r="BB12" s="565">
        <f t="shared" si="10"/>
        <v>360000</v>
      </c>
      <c r="BC12" s="370" t="s">
        <v>5348</v>
      </c>
      <c r="BD12" s="364">
        <v>44452</v>
      </c>
      <c r="BE12" s="362">
        <v>20.088342300000001</v>
      </c>
      <c r="BF12" s="614">
        <v>44075</v>
      </c>
      <c r="BG12" s="362" t="s">
        <v>84</v>
      </c>
      <c r="BH12" s="362">
        <v>318182</v>
      </c>
      <c r="BI12" s="362">
        <v>31818</v>
      </c>
      <c r="BJ12" s="562">
        <f t="shared" si="8"/>
        <v>350000</v>
      </c>
      <c r="BK12" s="362" t="s">
        <v>5348</v>
      </c>
      <c r="BL12" s="364">
        <v>44175</v>
      </c>
      <c r="BM12" s="362">
        <v>20.087969359999999</v>
      </c>
      <c r="BN12" s="614">
        <v>44013</v>
      </c>
      <c r="BO12" s="362" t="s">
        <v>81</v>
      </c>
      <c r="BP12" s="612">
        <v>334848</v>
      </c>
      <c r="BQ12" s="612">
        <v>33484</v>
      </c>
      <c r="BR12" s="612">
        <f t="shared" si="5"/>
        <v>368332</v>
      </c>
      <c r="BS12" s="362" t="s">
        <v>5931</v>
      </c>
      <c r="BT12" s="364">
        <v>44071</v>
      </c>
      <c r="BU12" s="616" t="s">
        <v>5351</v>
      </c>
      <c r="BV12" s="614">
        <v>43891</v>
      </c>
      <c r="BW12" s="362" t="s">
        <v>78</v>
      </c>
      <c r="BX12" s="612">
        <v>334848</v>
      </c>
      <c r="BY12" s="612">
        <v>33484</v>
      </c>
      <c r="BZ12" s="612">
        <f t="shared" si="6"/>
        <v>368332</v>
      </c>
      <c r="CA12" s="362" t="s">
        <v>5349</v>
      </c>
      <c r="CB12" s="364"/>
      <c r="CC12" s="362">
        <v>21.555064590000001</v>
      </c>
      <c r="CD12" s="614">
        <v>44470</v>
      </c>
      <c r="CE12" s="362" t="s">
        <v>86</v>
      </c>
      <c r="CF12" s="562">
        <v>318182</v>
      </c>
      <c r="CG12" s="562">
        <v>31818</v>
      </c>
      <c r="CH12" s="562">
        <f t="shared" si="9"/>
        <v>350000</v>
      </c>
      <c r="CI12" s="362" t="s">
        <v>5348</v>
      </c>
      <c r="CJ12" s="364">
        <v>44610</v>
      </c>
      <c r="CK12" s="362"/>
      <c r="CL12" s="362"/>
      <c r="CM12" s="362"/>
      <c r="CN12" s="362"/>
      <c r="CO12" s="362"/>
      <c r="CP12" s="362"/>
      <c r="CQ12" s="362"/>
    </row>
    <row r="13" spans="1:95" x14ac:dyDescent="0.25">
      <c r="A13" s="855">
        <v>20.756964969999999</v>
      </c>
      <c r="B13" s="614">
        <v>43891</v>
      </c>
      <c r="C13" s="362" t="s">
        <v>80</v>
      </c>
      <c r="D13" s="612">
        <v>500000</v>
      </c>
      <c r="E13" s="612">
        <v>49999</v>
      </c>
      <c r="F13" s="612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4">
        <v>43922</v>
      </c>
      <c r="K13" s="362" t="s">
        <v>82</v>
      </c>
      <c r="L13" s="612">
        <v>318182</v>
      </c>
      <c r="M13" s="612">
        <v>31818</v>
      </c>
      <c r="N13" s="612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4">
        <v>44013</v>
      </c>
      <c r="S13" s="370" t="s">
        <v>83</v>
      </c>
      <c r="T13" s="851">
        <v>350000</v>
      </c>
      <c r="U13" s="851">
        <v>35000</v>
      </c>
      <c r="V13" s="851">
        <f t="shared" si="2"/>
        <v>385000</v>
      </c>
      <c r="W13" s="370" t="s">
        <v>5348</v>
      </c>
      <c r="X13" s="568">
        <v>44062</v>
      </c>
      <c r="Y13" s="362">
        <v>20.08838239</v>
      </c>
      <c r="Z13" s="614">
        <v>44075</v>
      </c>
      <c r="AA13" s="362" t="s">
        <v>88</v>
      </c>
      <c r="AB13" s="612">
        <v>318182</v>
      </c>
      <c r="AC13" s="612">
        <v>31818</v>
      </c>
      <c r="AD13" s="612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4">
        <v>44409</v>
      </c>
      <c r="AI13" s="362" t="s">
        <v>87</v>
      </c>
      <c r="AJ13" s="562">
        <v>350000</v>
      </c>
      <c r="AK13" s="562">
        <v>35000</v>
      </c>
      <c r="AL13" s="562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2"/>
      <c r="AS13" s="612"/>
      <c r="AT13" s="612">
        <f t="shared" si="4"/>
        <v>0</v>
      </c>
      <c r="AU13" s="362"/>
      <c r="AV13" s="362"/>
      <c r="AW13" s="362">
        <v>21.554487680000001</v>
      </c>
      <c r="AX13" s="614">
        <v>44409</v>
      </c>
      <c r="AY13" s="362" t="s">
        <v>144</v>
      </c>
      <c r="AZ13" s="562">
        <v>327273</v>
      </c>
      <c r="BA13" s="562">
        <v>32727</v>
      </c>
      <c r="BB13" s="565">
        <f t="shared" si="10"/>
        <v>360000</v>
      </c>
      <c r="BC13" s="362" t="s">
        <v>5348</v>
      </c>
      <c r="BD13" s="364">
        <v>44484</v>
      </c>
      <c r="BE13" s="362">
        <v>20.69290226</v>
      </c>
      <c r="BF13" s="614">
        <v>44105</v>
      </c>
      <c r="BG13" s="362" t="s">
        <v>84</v>
      </c>
      <c r="BH13" s="612">
        <v>318182</v>
      </c>
      <c r="BI13" s="612">
        <v>31818</v>
      </c>
      <c r="BJ13" s="615">
        <f t="shared" si="8"/>
        <v>350000</v>
      </c>
      <c r="BK13" s="362" t="s">
        <v>5348</v>
      </c>
      <c r="BL13" s="364">
        <v>44175</v>
      </c>
      <c r="BM13" s="362">
        <v>20.088101380000001</v>
      </c>
      <c r="BN13" s="614">
        <v>44044</v>
      </c>
      <c r="BO13" s="362" t="s">
        <v>81</v>
      </c>
      <c r="BP13" s="612">
        <v>334848</v>
      </c>
      <c r="BQ13" s="612">
        <v>33484</v>
      </c>
      <c r="BR13" s="612">
        <f t="shared" si="5"/>
        <v>368332</v>
      </c>
      <c r="BS13" s="362" t="s">
        <v>5931</v>
      </c>
      <c r="BT13" s="364">
        <v>44118</v>
      </c>
      <c r="BU13" s="362">
        <v>20.757154100000001</v>
      </c>
      <c r="BV13" s="614">
        <v>43952</v>
      </c>
      <c r="BW13" s="362" t="s">
        <v>78</v>
      </c>
      <c r="BX13" s="562">
        <v>334848</v>
      </c>
      <c r="BY13" s="562">
        <v>33484</v>
      </c>
      <c r="BZ13" s="562">
        <f t="shared" si="6"/>
        <v>368332</v>
      </c>
      <c r="CA13" s="362" t="s">
        <v>5348</v>
      </c>
      <c r="CB13" s="364">
        <v>44014</v>
      </c>
      <c r="CC13" s="362">
        <v>21.061824590000001</v>
      </c>
      <c r="CD13" s="614">
        <v>44501</v>
      </c>
      <c r="CE13" s="362" t="s">
        <v>86</v>
      </c>
      <c r="CF13" s="562">
        <v>318182</v>
      </c>
      <c r="CG13" s="562">
        <v>31818</v>
      </c>
      <c r="CH13" s="562">
        <f t="shared" si="9"/>
        <v>350000</v>
      </c>
      <c r="CI13" s="362" t="s">
        <v>5348</v>
      </c>
      <c r="CJ13" s="364">
        <v>44610</v>
      </c>
      <c r="CK13" s="362"/>
      <c r="CL13" s="362"/>
      <c r="CM13" s="362"/>
      <c r="CN13" s="362"/>
      <c r="CO13" s="362"/>
      <c r="CP13" s="362"/>
      <c r="CQ13" s="362"/>
    </row>
    <row r="14" spans="1:95" x14ac:dyDescent="0.25">
      <c r="A14" s="856" t="s">
        <v>5352</v>
      </c>
      <c r="B14" s="614">
        <v>43922</v>
      </c>
      <c r="C14" s="362" t="s">
        <v>80</v>
      </c>
      <c r="D14" s="612">
        <v>500000</v>
      </c>
      <c r="E14" s="612">
        <v>49999</v>
      </c>
      <c r="F14" s="612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50">
        <v>43983</v>
      </c>
      <c r="K14" s="370" t="s">
        <v>82</v>
      </c>
      <c r="L14" s="851">
        <v>318182</v>
      </c>
      <c r="M14" s="851">
        <v>31818</v>
      </c>
      <c r="N14" s="851">
        <f t="shared" si="1"/>
        <v>350000</v>
      </c>
      <c r="O14" s="370" t="s">
        <v>5348</v>
      </c>
      <c r="P14" s="568">
        <v>44062</v>
      </c>
      <c r="Q14" s="362">
        <v>20.088152969999999</v>
      </c>
      <c r="R14" s="614">
        <v>44044</v>
      </c>
      <c r="S14" s="370" t="s">
        <v>83</v>
      </c>
      <c r="T14" s="851">
        <v>350000</v>
      </c>
      <c r="U14" s="851">
        <v>35000</v>
      </c>
      <c r="V14" s="851">
        <f t="shared" si="2"/>
        <v>385000</v>
      </c>
      <c r="W14" s="370" t="s">
        <v>5348</v>
      </c>
      <c r="X14" s="568">
        <v>44118</v>
      </c>
      <c r="Y14" s="362">
        <v>20.69294949</v>
      </c>
      <c r="Z14" s="614">
        <v>44105</v>
      </c>
      <c r="AA14" s="362" t="s">
        <v>88</v>
      </c>
      <c r="AB14" s="612">
        <v>318182</v>
      </c>
      <c r="AC14" s="612">
        <v>31818</v>
      </c>
      <c r="AD14" s="612">
        <f t="shared" si="3"/>
        <v>350000</v>
      </c>
      <c r="AE14" s="362" t="s">
        <v>5348</v>
      </c>
      <c r="AF14" s="364">
        <v>44154</v>
      </c>
      <c r="AG14" s="969">
        <v>21.554848549999999</v>
      </c>
      <c r="AH14" s="850">
        <v>44440</v>
      </c>
      <c r="AI14" s="370" t="s">
        <v>87</v>
      </c>
      <c r="AJ14" s="565">
        <v>350000</v>
      </c>
      <c r="AK14" s="565">
        <v>35000</v>
      </c>
      <c r="AL14" s="562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2"/>
      <c r="AS14" s="612"/>
      <c r="AT14" s="612">
        <f t="shared" si="4"/>
        <v>0</v>
      </c>
      <c r="AU14" s="362"/>
      <c r="AV14" s="362"/>
      <c r="AW14" s="362">
        <v>21.554731189999998</v>
      </c>
      <c r="AX14" s="614">
        <v>44440</v>
      </c>
      <c r="AY14" s="362" t="s">
        <v>144</v>
      </c>
      <c r="AZ14" s="562">
        <v>327273</v>
      </c>
      <c r="BA14" s="562">
        <v>32727</v>
      </c>
      <c r="BB14" s="562">
        <f t="shared" si="10"/>
        <v>360000</v>
      </c>
      <c r="BC14" s="362" t="s">
        <v>5348</v>
      </c>
      <c r="BD14" s="364" t="s">
        <v>6154</v>
      </c>
      <c r="BE14" s="362">
        <v>20.693117529999999</v>
      </c>
      <c r="BF14" s="614">
        <v>44136</v>
      </c>
      <c r="BG14" s="362" t="s">
        <v>84</v>
      </c>
      <c r="BH14" s="612">
        <v>318182</v>
      </c>
      <c r="BI14" s="612">
        <v>31818</v>
      </c>
      <c r="BJ14" s="615">
        <f t="shared" si="8"/>
        <v>350000</v>
      </c>
      <c r="BK14" s="362" t="s">
        <v>5348</v>
      </c>
      <c r="BL14" s="364">
        <v>44204</v>
      </c>
      <c r="BM14" s="362">
        <v>20.08823546</v>
      </c>
      <c r="BN14" s="614">
        <v>44075</v>
      </c>
      <c r="BO14" s="362" t="s">
        <v>81</v>
      </c>
      <c r="BP14" s="612">
        <v>334848</v>
      </c>
      <c r="BQ14" s="612">
        <v>33484</v>
      </c>
      <c r="BR14" s="612">
        <f t="shared" si="5"/>
        <v>368332</v>
      </c>
      <c r="BS14" s="362" t="s">
        <v>5348</v>
      </c>
      <c r="BT14" s="364">
        <v>44146</v>
      </c>
      <c r="BU14" s="362">
        <v>20.757272709999999</v>
      </c>
      <c r="BV14" s="614">
        <v>43983</v>
      </c>
      <c r="BW14" s="362" t="s">
        <v>78</v>
      </c>
      <c r="BX14" s="612">
        <v>334848</v>
      </c>
      <c r="BY14" s="612">
        <v>33484</v>
      </c>
      <c r="BZ14" s="612">
        <f t="shared" si="6"/>
        <v>368332</v>
      </c>
      <c r="CA14" s="362" t="s">
        <v>5348</v>
      </c>
      <c r="CB14" s="364">
        <v>44036</v>
      </c>
      <c r="CC14" s="362">
        <v>21.518111050000002</v>
      </c>
      <c r="CD14" s="614">
        <v>44531</v>
      </c>
      <c r="CE14" s="362" t="s">
        <v>86</v>
      </c>
      <c r="CF14" s="562">
        <v>318182</v>
      </c>
      <c r="CG14" s="562">
        <v>31818</v>
      </c>
      <c r="CH14" s="562">
        <f t="shared" si="9"/>
        <v>350000</v>
      </c>
      <c r="CI14" s="362" t="s">
        <v>5348</v>
      </c>
      <c r="CJ14" s="364">
        <v>44651</v>
      </c>
      <c r="CK14" s="362"/>
      <c r="CL14" s="362"/>
      <c r="CM14" s="362"/>
      <c r="CN14" s="362"/>
      <c r="CO14" s="362"/>
      <c r="CP14" s="362"/>
      <c r="CQ14" s="362"/>
    </row>
    <row r="15" spans="1:95" s="567" customFormat="1" x14ac:dyDescent="0.25">
      <c r="A15" s="857">
        <v>20.757319750000001</v>
      </c>
      <c r="B15" s="850">
        <v>43983</v>
      </c>
      <c r="C15" s="370" t="s">
        <v>80</v>
      </c>
      <c r="D15" s="851">
        <v>500000</v>
      </c>
      <c r="E15" s="851">
        <v>49999</v>
      </c>
      <c r="F15" s="851">
        <f t="shared" si="0"/>
        <v>549999</v>
      </c>
      <c r="G15" s="370" t="s">
        <v>5348</v>
      </c>
      <c r="H15" s="568">
        <v>44062</v>
      </c>
      <c r="I15" s="370">
        <v>20.08803902</v>
      </c>
      <c r="J15" s="850">
        <v>44013</v>
      </c>
      <c r="K15" s="370" t="s">
        <v>82</v>
      </c>
      <c r="L15" s="851">
        <v>318182</v>
      </c>
      <c r="M15" s="851">
        <v>31818</v>
      </c>
      <c r="N15" s="851">
        <f t="shared" si="1"/>
        <v>350000</v>
      </c>
      <c r="O15" s="370" t="s">
        <v>5348</v>
      </c>
      <c r="P15" s="568">
        <v>44062</v>
      </c>
      <c r="Q15" s="370">
        <v>20.088382410000001</v>
      </c>
      <c r="R15" s="850">
        <v>44075</v>
      </c>
      <c r="S15" s="370" t="s">
        <v>83</v>
      </c>
      <c r="T15" s="851">
        <v>350000</v>
      </c>
      <c r="U15" s="851">
        <v>35000</v>
      </c>
      <c r="V15" s="851">
        <f t="shared" si="2"/>
        <v>385000</v>
      </c>
      <c r="W15" s="370" t="s">
        <v>5348</v>
      </c>
      <c r="X15" s="568">
        <v>44146</v>
      </c>
      <c r="Y15" s="370">
        <v>20.693164790000001</v>
      </c>
      <c r="Z15" s="850">
        <v>44136</v>
      </c>
      <c r="AA15" s="370" t="s">
        <v>88</v>
      </c>
      <c r="AB15" s="851">
        <v>318182</v>
      </c>
      <c r="AC15" s="851">
        <v>31818</v>
      </c>
      <c r="AD15" s="851">
        <f t="shared" si="3"/>
        <v>350000</v>
      </c>
      <c r="AE15" s="370" t="s">
        <v>5348</v>
      </c>
      <c r="AF15" s="568">
        <v>44204</v>
      </c>
      <c r="AG15" s="362">
        <v>21.55506463</v>
      </c>
      <c r="AH15" s="614">
        <v>44470</v>
      </c>
      <c r="AI15" s="362" t="s">
        <v>87</v>
      </c>
      <c r="AJ15" s="562">
        <v>350000</v>
      </c>
      <c r="AK15" s="562">
        <v>35000</v>
      </c>
      <c r="AL15" s="562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51"/>
      <c r="AS15" s="851"/>
      <c r="AT15" s="851">
        <f t="shared" si="4"/>
        <v>0</v>
      </c>
      <c r="AU15" s="370"/>
      <c r="AV15" s="370"/>
      <c r="AW15" s="370">
        <v>21.554908640000001</v>
      </c>
      <c r="AX15" s="850">
        <v>44470</v>
      </c>
      <c r="AY15" s="370" t="s">
        <v>144</v>
      </c>
      <c r="AZ15" s="565">
        <v>327273</v>
      </c>
      <c r="BA15" s="565">
        <v>32727</v>
      </c>
      <c r="BB15" s="565">
        <f t="shared" si="10"/>
        <v>360000</v>
      </c>
      <c r="BC15" s="370" t="s">
        <v>5348</v>
      </c>
      <c r="BD15" s="568">
        <v>44610</v>
      </c>
      <c r="BE15" s="370">
        <v>20.29382798</v>
      </c>
      <c r="BF15" s="850">
        <v>44166</v>
      </c>
      <c r="BG15" s="370" t="s">
        <v>84</v>
      </c>
      <c r="BH15" s="851">
        <v>318182</v>
      </c>
      <c r="BI15" s="851">
        <v>31818</v>
      </c>
      <c r="BJ15" s="874">
        <f t="shared" si="8"/>
        <v>350000</v>
      </c>
      <c r="BK15" s="370" t="s">
        <v>5348</v>
      </c>
      <c r="BL15" s="568">
        <v>44221</v>
      </c>
      <c r="BM15" s="370">
        <v>20.0884745</v>
      </c>
      <c r="BN15" s="850">
        <v>44105</v>
      </c>
      <c r="BO15" s="370" t="s">
        <v>81</v>
      </c>
      <c r="BP15" s="851">
        <v>334848</v>
      </c>
      <c r="BQ15" s="851">
        <v>33484</v>
      </c>
      <c r="BR15" s="851">
        <f t="shared" si="5"/>
        <v>368332</v>
      </c>
      <c r="BS15" s="370" t="s">
        <v>5348</v>
      </c>
      <c r="BT15" s="568">
        <v>44162</v>
      </c>
      <c r="BU15" s="370">
        <v>20.087969350000002</v>
      </c>
      <c r="BV15" s="850">
        <v>44013</v>
      </c>
      <c r="BW15" s="370" t="s">
        <v>78</v>
      </c>
      <c r="BX15" s="851">
        <v>334848</v>
      </c>
      <c r="BY15" s="851">
        <v>33484</v>
      </c>
      <c r="BZ15" s="851">
        <f t="shared" si="6"/>
        <v>368332</v>
      </c>
      <c r="CA15" s="370" t="s">
        <v>5348</v>
      </c>
      <c r="CB15" s="568">
        <v>44071</v>
      </c>
      <c r="CC15" s="362">
        <v>22.243954460000001</v>
      </c>
      <c r="CD15" s="614">
        <v>44562</v>
      </c>
      <c r="CE15" s="362" t="s">
        <v>86</v>
      </c>
      <c r="CF15" s="562">
        <v>318182</v>
      </c>
      <c r="CG15" s="562">
        <v>31818</v>
      </c>
      <c r="CH15" s="562">
        <f t="shared" si="9"/>
        <v>350000</v>
      </c>
      <c r="CI15" s="362" t="s">
        <v>5348</v>
      </c>
      <c r="CJ15" s="364">
        <v>44651</v>
      </c>
      <c r="CK15" s="370"/>
      <c r="CL15" s="370"/>
      <c r="CM15" s="370"/>
      <c r="CN15" s="370"/>
      <c r="CO15" s="370"/>
      <c r="CP15" s="370"/>
      <c r="CQ15" s="370"/>
    </row>
    <row r="16" spans="1:95" s="567" customFormat="1" x14ac:dyDescent="0.25">
      <c r="A16" s="858">
        <v>20.088038999999998</v>
      </c>
      <c r="B16" s="850">
        <v>44013</v>
      </c>
      <c r="C16" s="370" t="s">
        <v>80</v>
      </c>
      <c r="D16" s="851">
        <v>500000</v>
      </c>
      <c r="E16" s="851">
        <v>49999</v>
      </c>
      <c r="F16" s="851">
        <f t="shared" si="0"/>
        <v>549999</v>
      </c>
      <c r="G16" s="370" t="s">
        <v>5348</v>
      </c>
      <c r="H16" s="568">
        <v>44062</v>
      </c>
      <c r="I16" s="370">
        <v>20.08815298</v>
      </c>
      <c r="J16" s="850">
        <v>44044</v>
      </c>
      <c r="K16" s="370" t="s">
        <v>82</v>
      </c>
      <c r="L16" s="851">
        <v>318182</v>
      </c>
      <c r="M16" s="851">
        <v>31818</v>
      </c>
      <c r="N16" s="851">
        <f t="shared" si="1"/>
        <v>350000</v>
      </c>
      <c r="O16" s="370" t="s">
        <v>5348</v>
      </c>
      <c r="P16" s="568">
        <v>44118</v>
      </c>
      <c r="Q16" s="370">
        <v>20.692949509999998</v>
      </c>
      <c r="R16" s="850">
        <v>44105</v>
      </c>
      <c r="S16" s="370" t="s">
        <v>83</v>
      </c>
      <c r="T16" s="851">
        <v>350000</v>
      </c>
      <c r="U16" s="851">
        <v>35000</v>
      </c>
      <c r="V16" s="851">
        <f t="shared" si="2"/>
        <v>385000</v>
      </c>
      <c r="W16" s="370" t="s">
        <v>5348</v>
      </c>
      <c r="X16" s="568">
        <v>44154</v>
      </c>
      <c r="Y16" s="370">
        <v>20.293883940000001</v>
      </c>
      <c r="Z16" s="850">
        <v>44166</v>
      </c>
      <c r="AA16" s="370" t="s">
        <v>88</v>
      </c>
      <c r="AB16" s="851">
        <v>318182</v>
      </c>
      <c r="AC16" s="851">
        <v>31818</v>
      </c>
      <c r="AD16" s="851">
        <f t="shared" si="3"/>
        <v>350000</v>
      </c>
      <c r="AE16" s="370" t="s">
        <v>5348</v>
      </c>
      <c r="AF16" s="568">
        <v>44221</v>
      </c>
      <c r="AG16" s="370">
        <v>21.06182463</v>
      </c>
      <c r="AH16" s="850">
        <v>44501</v>
      </c>
      <c r="AI16" s="370" t="s">
        <v>87</v>
      </c>
      <c r="AJ16" s="565">
        <v>350000</v>
      </c>
      <c r="AK16" s="565">
        <v>35000</v>
      </c>
      <c r="AL16" s="565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51"/>
      <c r="AS16" s="851"/>
      <c r="AT16" s="851">
        <f t="shared" si="4"/>
        <v>0</v>
      </c>
      <c r="AU16" s="370"/>
      <c r="AV16" s="370"/>
      <c r="AW16" s="370">
        <v>21.061675210000001</v>
      </c>
      <c r="AX16" s="850">
        <v>44501</v>
      </c>
      <c r="AY16" s="370" t="s">
        <v>144</v>
      </c>
      <c r="AZ16" s="565">
        <v>327273</v>
      </c>
      <c r="BA16" s="565">
        <v>32727</v>
      </c>
      <c r="BB16" s="565">
        <f t="shared" si="10"/>
        <v>360000</v>
      </c>
      <c r="BC16" s="370" t="s">
        <v>5348</v>
      </c>
      <c r="BD16" s="568">
        <v>44610</v>
      </c>
      <c r="BE16" s="370">
        <v>21.207501839999999</v>
      </c>
      <c r="BF16" s="850">
        <v>44197</v>
      </c>
      <c r="BG16" s="370" t="s">
        <v>84</v>
      </c>
      <c r="BH16" s="851">
        <v>318182</v>
      </c>
      <c r="BI16" s="851">
        <v>31818</v>
      </c>
      <c r="BJ16" s="874">
        <f t="shared" si="8"/>
        <v>350000</v>
      </c>
      <c r="BK16" s="370" t="s">
        <v>5348</v>
      </c>
      <c r="BL16" s="568">
        <v>44286</v>
      </c>
      <c r="BM16" s="370">
        <v>20.693080779999999</v>
      </c>
      <c r="BN16" s="850">
        <v>44136</v>
      </c>
      <c r="BO16" s="370" t="s">
        <v>81</v>
      </c>
      <c r="BP16" s="851">
        <v>334848</v>
      </c>
      <c r="BQ16" s="851">
        <v>33484</v>
      </c>
      <c r="BR16" s="851">
        <f t="shared" si="5"/>
        <v>368332</v>
      </c>
      <c r="BS16" s="370" t="s">
        <v>5348</v>
      </c>
      <c r="BT16" s="568">
        <v>44204</v>
      </c>
      <c r="BU16" s="370">
        <v>20.088150590000001</v>
      </c>
      <c r="BV16" s="850">
        <v>44044</v>
      </c>
      <c r="BW16" s="370" t="s">
        <v>78</v>
      </c>
      <c r="BX16" s="851">
        <v>334848</v>
      </c>
      <c r="BY16" s="851">
        <v>33484</v>
      </c>
      <c r="BZ16" s="851">
        <f t="shared" si="6"/>
        <v>368332</v>
      </c>
      <c r="CA16" s="370" t="s">
        <v>5348</v>
      </c>
      <c r="CB16" s="568">
        <v>44118</v>
      </c>
      <c r="CC16" s="370">
        <v>22.244174619999999</v>
      </c>
      <c r="CD16" s="850">
        <v>44593</v>
      </c>
      <c r="CE16" s="370" t="s">
        <v>86</v>
      </c>
      <c r="CF16" s="565">
        <v>318182</v>
      </c>
      <c r="CG16" s="565">
        <v>31818</v>
      </c>
      <c r="CH16" s="565">
        <f t="shared" si="9"/>
        <v>350000</v>
      </c>
      <c r="CI16" s="370" t="s">
        <v>5348</v>
      </c>
      <c r="CJ16" s="364">
        <v>44651</v>
      </c>
      <c r="CK16" s="370"/>
      <c r="CL16" s="370"/>
      <c r="CM16" s="370"/>
      <c r="CN16" s="370"/>
      <c r="CO16" s="370"/>
      <c r="CP16" s="370"/>
      <c r="CQ16" s="370"/>
    </row>
    <row r="17" spans="1:95" x14ac:dyDescent="0.25">
      <c r="A17" s="855">
        <v>20.088152959999999</v>
      </c>
      <c r="B17" s="614">
        <v>44044</v>
      </c>
      <c r="C17" s="370" t="s">
        <v>80</v>
      </c>
      <c r="D17" s="612">
        <v>500000</v>
      </c>
      <c r="E17" s="612">
        <v>49000</v>
      </c>
      <c r="F17" s="612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4">
        <v>44075</v>
      </c>
      <c r="K17" s="362" t="s">
        <v>82</v>
      </c>
      <c r="L17" s="612">
        <v>318182</v>
      </c>
      <c r="M17" s="612">
        <v>31818</v>
      </c>
      <c r="N17" s="612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4">
        <v>44136</v>
      </c>
      <c r="S17" s="362" t="s">
        <v>83</v>
      </c>
      <c r="T17" s="612">
        <v>350000</v>
      </c>
      <c r="U17" s="612">
        <v>35000</v>
      </c>
      <c r="V17" s="612">
        <f t="shared" si="2"/>
        <v>385000</v>
      </c>
      <c r="W17" s="362" t="s">
        <v>5348</v>
      </c>
      <c r="X17" s="364">
        <v>44204</v>
      </c>
      <c r="Y17" s="362">
        <v>21.20755093</v>
      </c>
      <c r="Z17" s="614">
        <v>44197</v>
      </c>
      <c r="AA17" s="362" t="s">
        <v>88</v>
      </c>
      <c r="AB17" s="612">
        <v>318182</v>
      </c>
      <c r="AC17" s="612">
        <v>31818</v>
      </c>
      <c r="AD17" s="612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4">
        <v>44531</v>
      </c>
      <c r="AI17" s="362" t="s">
        <v>87</v>
      </c>
      <c r="AJ17" s="562">
        <v>350000</v>
      </c>
      <c r="AK17" s="562">
        <v>35000</v>
      </c>
      <c r="AL17" s="562">
        <f t="shared" si="7"/>
        <v>385000</v>
      </c>
      <c r="AM17" s="362" t="s">
        <v>5348</v>
      </c>
      <c r="AN17" s="364">
        <v>44651</v>
      </c>
      <c r="AO17" s="362"/>
      <c r="AP17" s="362"/>
      <c r="AQ17" s="362"/>
      <c r="AR17" s="612"/>
      <c r="AS17" s="612"/>
      <c r="AT17" s="612">
        <f t="shared" si="4"/>
        <v>0</v>
      </c>
      <c r="AU17" s="362"/>
      <c r="AV17" s="362"/>
      <c r="AW17" s="362">
        <v>21.061901280000001</v>
      </c>
      <c r="AX17" s="614">
        <v>44531</v>
      </c>
      <c r="AY17" s="362" t="s">
        <v>144</v>
      </c>
      <c r="AZ17" s="562">
        <v>327273</v>
      </c>
      <c r="BA17" s="562">
        <v>32727</v>
      </c>
      <c r="BB17" s="562">
        <f t="shared" si="10"/>
        <v>360000</v>
      </c>
      <c r="BC17" s="362" t="s">
        <v>5348</v>
      </c>
      <c r="BD17" s="568">
        <v>44610</v>
      </c>
      <c r="BE17" s="616" t="s">
        <v>6082</v>
      </c>
      <c r="BF17" s="614">
        <v>44228</v>
      </c>
      <c r="BG17" s="362" t="s">
        <v>84</v>
      </c>
      <c r="BH17" s="612">
        <v>318182</v>
      </c>
      <c r="BI17" s="612">
        <v>31818</v>
      </c>
      <c r="BJ17" s="615">
        <f t="shared" si="8"/>
        <v>350000</v>
      </c>
      <c r="BK17" s="362" t="s">
        <v>5348</v>
      </c>
      <c r="BL17" s="364">
        <v>44286</v>
      </c>
      <c r="BM17" s="362">
        <v>20.693286619999999</v>
      </c>
      <c r="BN17" s="614">
        <v>44166</v>
      </c>
      <c r="BO17" s="362" t="s">
        <v>81</v>
      </c>
      <c r="BP17" s="612">
        <v>334848</v>
      </c>
      <c r="BQ17" s="612">
        <v>33484</v>
      </c>
      <c r="BR17" s="612">
        <f t="shared" si="5"/>
        <v>368332</v>
      </c>
      <c r="BS17" s="362" t="s">
        <v>5348</v>
      </c>
      <c r="BT17" s="364">
        <v>44225</v>
      </c>
      <c r="BU17" s="362">
        <v>20.08838064</v>
      </c>
      <c r="BV17" s="614">
        <v>44075</v>
      </c>
      <c r="BW17" s="362" t="s">
        <v>78</v>
      </c>
      <c r="BX17" s="612">
        <v>334848</v>
      </c>
      <c r="BY17" s="612">
        <v>33484</v>
      </c>
      <c r="BZ17" s="612">
        <f t="shared" si="6"/>
        <v>368332</v>
      </c>
      <c r="CA17" s="370" t="s">
        <v>5348</v>
      </c>
      <c r="CB17" s="364">
        <v>44146</v>
      </c>
      <c r="CC17" s="370">
        <v>22.24440826</v>
      </c>
      <c r="CD17" s="850">
        <v>44621</v>
      </c>
      <c r="CE17" s="370" t="s">
        <v>86</v>
      </c>
      <c r="CF17" s="565">
        <v>318182</v>
      </c>
      <c r="CG17" s="565">
        <v>34999</v>
      </c>
      <c r="CH17" s="565">
        <f t="shared" si="9"/>
        <v>353181</v>
      </c>
      <c r="CI17" s="370" t="s">
        <v>5348</v>
      </c>
      <c r="CJ17" s="568" t="s">
        <v>6154</v>
      </c>
      <c r="CK17" s="362"/>
      <c r="CL17" s="362"/>
      <c r="CM17" s="362"/>
      <c r="CN17" s="362"/>
      <c r="CO17" s="362"/>
      <c r="CP17" s="362"/>
      <c r="CQ17" s="362"/>
    </row>
    <row r="18" spans="1:95" x14ac:dyDescent="0.25">
      <c r="A18" s="362">
        <v>20.0883824</v>
      </c>
      <c r="B18" s="614">
        <v>44075</v>
      </c>
      <c r="C18" s="362" t="s">
        <v>80</v>
      </c>
      <c r="D18" s="612">
        <v>500000</v>
      </c>
      <c r="E18" s="612">
        <v>49999</v>
      </c>
      <c r="F18" s="612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4">
        <v>44105</v>
      </c>
      <c r="K18" s="362" t="s">
        <v>82</v>
      </c>
      <c r="L18" s="612">
        <v>318182</v>
      </c>
      <c r="M18" s="612">
        <v>31818</v>
      </c>
      <c r="N18" s="612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4">
        <v>44166</v>
      </c>
      <c r="S18" s="362" t="s">
        <v>83</v>
      </c>
      <c r="T18" s="612">
        <v>350000</v>
      </c>
      <c r="U18" s="612">
        <v>35000</v>
      </c>
      <c r="V18" s="612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4">
        <v>44228</v>
      </c>
      <c r="AA18" s="362" t="s">
        <v>88</v>
      </c>
      <c r="AB18" s="612">
        <v>318182</v>
      </c>
      <c r="AC18" s="612">
        <v>31818</v>
      </c>
      <c r="AD18" s="612">
        <f t="shared" si="3"/>
        <v>350000</v>
      </c>
      <c r="AE18" s="362" t="s">
        <v>5348</v>
      </c>
      <c r="AF18" s="364">
        <v>44453</v>
      </c>
      <c r="AG18" s="616" t="s">
        <v>6263</v>
      </c>
      <c r="AH18" s="614">
        <v>44562</v>
      </c>
      <c r="AI18" s="362" t="s">
        <v>87</v>
      </c>
      <c r="AJ18" s="562">
        <v>350000</v>
      </c>
      <c r="AK18" s="562">
        <v>35000</v>
      </c>
      <c r="AL18" s="562">
        <f t="shared" si="7"/>
        <v>385000</v>
      </c>
      <c r="AM18" s="362" t="s">
        <v>5348</v>
      </c>
      <c r="AN18" s="364">
        <v>44651</v>
      </c>
      <c r="AO18" s="362"/>
      <c r="AP18" s="362"/>
      <c r="AQ18" s="362"/>
      <c r="AR18" s="612"/>
      <c r="AS18" s="612"/>
      <c r="AT18" s="612">
        <f t="shared" si="4"/>
        <v>0</v>
      </c>
      <c r="AU18" s="362"/>
      <c r="AV18" s="362"/>
      <c r="AW18" s="362">
        <v>22.243781559999999</v>
      </c>
      <c r="AX18" s="614">
        <v>44562</v>
      </c>
      <c r="AY18" s="362" t="s">
        <v>144</v>
      </c>
      <c r="AZ18" s="562">
        <v>327273</v>
      </c>
      <c r="BA18" s="562">
        <v>32727</v>
      </c>
      <c r="BB18" s="562">
        <f t="shared" si="10"/>
        <v>360000</v>
      </c>
      <c r="BC18" s="362" t="s">
        <v>5348</v>
      </c>
      <c r="BD18" s="364">
        <v>44651</v>
      </c>
      <c r="BE18" s="362">
        <v>21.207941430000002</v>
      </c>
      <c r="BF18" s="614">
        <v>44256</v>
      </c>
      <c r="BG18" s="362" t="s">
        <v>84</v>
      </c>
      <c r="BH18" s="612">
        <v>318182</v>
      </c>
      <c r="BI18" s="612">
        <v>31818</v>
      </c>
      <c r="BJ18" s="615">
        <f t="shared" si="8"/>
        <v>350000</v>
      </c>
      <c r="BK18" s="362" t="s">
        <v>5348</v>
      </c>
      <c r="BL18" s="364">
        <v>44307</v>
      </c>
      <c r="BM18" s="370">
        <v>21.207548460000002</v>
      </c>
      <c r="BN18" s="850">
        <v>44197</v>
      </c>
      <c r="BO18" s="370" t="s">
        <v>81</v>
      </c>
      <c r="BP18" s="851">
        <v>334848</v>
      </c>
      <c r="BQ18" s="851">
        <v>33484</v>
      </c>
      <c r="BR18" s="851">
        <f t="shared" si="5"/>
        <v>368332</v>
      </c>
      <c r="BS18" s="370" t="s">
        <v>5931</v>
      </c>
      <c r="BT18" s="568">
        <v>44453</v>
      </c>
      <c r="BU18" s="362">
        <v>20.692947279999998</v>
      </c>
      <c r="BV18" s="614">
        <v>44105</v>
      </c>
      <c r="BW18" s="362" t="s">
        <v>78</v>
      </c>
      <c r="BX18" s="612">
        <v>334848</v>
      </c>
      <c r="BY18" s="612">
        <v>33484</v>
      </c>
      <c r="BZ18" s="612">
        <f t="shared" si="6"/>
        <v>368332</v>
      </c>
      <c r="CA18" s="362" t="s">
        <v>5348</v>
      </c>
      <c r="CB18" s="364">
        <v>44169</v>
      </c>
      <c r="CC18" s="362">
        <v>22.373176950000001</v>
      </c>
      <c r="CD18" s="614">
        <v>44652</v>
      </c>
      <c r="CE18" s="362" t="s">
        <v>86</v>
      </c>
      <c r="CF18" s="562">
        <v>318182</v>
      </c>
      <c r="CG18" s="562">
        <v>34999</v>
      </c>
      <c r="CH18" s="562">
        <f t="shared" si="9"/>
        <v>353181</v>
      </c>
      <c r="CI18" s="362" t="s">
        <v>5348</v>
      </c>
      <c r="CJ18" s="364" t="s">
        <v>6154</v>
      </c>
      <c r="CK18" s="362"/>
      <c r="CL18" s="362"/>
      <c r="CM18" s="362"/>
      <c r="CN18" s="362"/>
      <c r="CO18" s="362"/>
      <c r="CP18" s="362"/>
      <c r="CQ18" s="362"/>
    </row>
    <row r="19" spans="1:95" x14ac:dyDescent="0.25">
      <c r="A19" s="362">
        <v>20.692949500000001</v>
      </c>
      <c r="B19" s="614">
        <v>44105</v>
      </c>
      <c r="C19" s="362" t="s">
        <v>80</v>
      </c>
      <c r="D19" s="612">
        <v>500000</v>
      </c>
      <c r="E19" s="612">
        <v>49999</v>
      </c>
      <c r="F19" s="612">
        <f t="shared" si="0"/>
        <v>549999</v>
      </c>
      <c r="G19" s="362" t="s">
        <v>5931</v>
      </c>
      <c r="H19" s="364">
        <v>44154</v>
      </c>
      <c r="I19" s="362">
        <v>20.69316482</v>
      </c>
      <c r="J19" s="614">
        <v>44136</v>
      </c>
      <c r="K19" s="362" t="s">
        <v>82</v>
      </c>
      <c r="L19" s="612">
        <v>159091</v>
      </c>
      <c r="M19" s="612">
        <v>15909</v>
      </c>
      <c r="N19" s="612">
        <f t="shared" si="1"/>
        <v>175000</v>
      </c>
      <c r="O19" s="362" t="s">
        <v>5348</v>
      </c>
      <c r="P19" s="364">
        <v>44204</v>
      </c>
      <c r="Q19" s="362">
        <v>21.20755097</v>
      </c>
      <c r="R19" s="614">
        <v>44197</v>
      </c>
      <c r="S19" s="362" t="s">
        <v>83</v>
      </c>
      <c r="T19" s="612">
        <v>350000</v>
      </c>
      <c r="U19" s="612">
        <v>35000</v>
      </c>
      <c r="V19" s="612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4">
        <v>44256</v>
      </c>
      <c r="AA19" s="362" t="s">
        <v>88</v>
      </c>
      <c r="AB19" s="612">
        <v>318182</v>
      </c>
      <c r="AC19" s="612">
        <v>31818</v>
      </c>
      <c r="AD19" s="612">
        <f t="shared" si="3"/>
        <v>350000</v>
      </c>
      <c r="AE19" s="362" t="s">
        <v>5348</v>
      </c>
      <c r="AF19" s="364">
        <v>44453</v>
      </c>
      <c r="AG19" s="362">
        <v>22.244174659999999</v>
      </c>
      <c r="AH19" s="614">
        <v>44593</v>
      </c>
      <c r="AI19" s="362" t="s">
        <v>87</v>
      </c>
      <c r="AJ19" s="562">
        <v>350000</v>
      </c>
      <c r="AK19" s="562">
        <v>35000</v>
      </c>
      <c r="AL19" s="562">
        <f t="shared" si="7"/>
        <v>385000</v>
      </c>
      <c r="AM19" s="362" t="s">
        <v>5348</v>
      </c>
      <c r="AN19" s="364">
        <v>44651</v>
      </c>
      <c r="AO19" s="362"/>
      <c r="AP19" s="362"/>
      <c r="AQ19" s="362"/>
      <c r="AR19" s="612"/>
      <c r="AS19" s="612"/>
      <c r="AT19" s="612">
        <f t="shared" si="4"/>
        <v>0</v>
      </c>
      <c r="AU19" s="362"/>
      <c r="AV19" s="362"/>
      <c r="AW19" s="362">
        <v>22.244014759999999</v>
      </c>
      <c r="AX19" s="614">
        <v>44593</v>
      </c>
      <c r="AY19" s="362" t="s">
        <v>144</v>
      </c>
      <c r="AZ19" s="562">
        <v>337091</v>
      </c>
      <c r="BA19" s="562">
        <v>33709</v>
      </c>
      <c r="BB19" s="562">
        <f t="shared" si="10"/>
        <v>370800</v>
      </c>
      <c r="BC19" s="362" t="s">
        <v>5348</v>
      </c>
      <c r="BD19" s="364">
        <v>44651</v>
      </c>
      <c r="BE19" s="362">
        <v>21.121023390000001</v>
      </c>
      <c r="BF19" s="614">
        <v>44287</v>
      </c>
      <c r="BG19" s="362" t="s">
        <v>84</v>
      </c>
      <c r="BH19" s="612">
        <v>318182</v>
      </c>
      <c r="BI19" s="612">
        <v>31818</v>
      </c>
      <c r="BJ19" s="615">
        <f t="shared" si="8"/>
        <v>350000</v>
      </c>
      <c r="BK19" s="362" t="s">
        <v>5348</v>
      </c>
      <c r="BL19" s="364">
        <v>44351</v>
      </c>
      <c r="BM19" s="370">
        <v>21.207677090000001</v>
      </c>
      <c r="BN19" s="850">
        <v>44228</v>
      </c>
      <c r="BO19" s="370" t="s">
        <v>81</v>
      </c>
      <c r="BP19" s="851">
        <v>334848</v>
      </c>
      <c r="BQ19" s="851">
        <v>33484</v>
      </c>
      <c r="BR19" s="851">
        <f t="shared" si="5"/>
        <v>368332</v>
      </c>
      <c r="BS19" s="370" t="s">
        <v>5931</v>
      </c>
      <c r="BT19" s="568">
        <v>44453</v>
      </c>
      <c r="BU19" s="370">
        <v>20.693162319999999</v>
      </c>
      <c r="BV19" s="850">
        <v>44136</v>
      </c>
      <c r="BW19" s="370" t="s">
        <v>78</v>
      </c>
      <c r="BX19" s="851">
        <v>334848</v>
      </c>
      <c r="BY19" s="851">
        <v>33484</v>
      </c>
      <c r="BZ19" s="851">
        <f t="shared" si="6"/>
        <v>368332</v>
      </c>
      <c r="CA19" s="370" t="s">
        <v>5348</v>
      </c>
      <c r="CB19" s="364">
        <v>44204</v>
      </c>
      <c r="CC19" s="616" t="s">
        <v>6297</v>
      </c>
      <c r="CD19" s="614">
        <v>44682</v>
      </c>
      <c r="CE19" s="362" t="s">
        <v>86</v>
      </c>
      <c r="CF19" s="562">
        <v>334091</v>
      </c>
      <c r="CG19" s="562">
        <v>36749</v>
      </c>
      <c r="CH19" s="562">
        <f t="shared" si="9"/>
        <v>370840</v>
      </c>
      <c r="CI19" s="362" t="s">
        <v>5348</v>
      </c>
      <c r="CJ19" s="364" t="s">
        <v>6154</v>
      </c>
      <c r="CK19" s="362"/>
      <c r="CL19" s="362"/>
      <c r="CM19" s="362"/>
      <c r="CN19" s="362"/>
      <c r="CO19" s="362"/>
      <c r="CP19" s="362"/>
      <c r="CQ19" s="362"/>
    </row>
    <row r="20" spans="1:95" x14ac:dyDescent="0.25">
      <c r="A20" s="362">
        <v>20.693164800000002</v>
      </c>
      <c r="B20" s="614">
        <v>44136</v>
      </c>
      <c r="C20" s="362" t="s">
        <v>80</v>
      </c>
      <c r="D20" s="612">
        <v>500000</v>
      </c>
      <c r="E20" s="612">
        <v>49000</v>
      </c>
      <c r="F20" s="612">
        <f t="shared" si="0"/>
        <v>549000</v>
      </c>
      <c r="G20" s="362" t="s">
        <v>5348</v>
      </c>
      <c r="H20" s="364">
        <v>44204</v>
      </c>
      <c r="I20" s="362">
        <v>20.29388397</v>
      </c>
      <c r="J20" s="614">
        <v>44166</v>
      </c>
      <c r="K20" s="362" t="s">
        <v>82</v>
      </c>
      <c r="L20" s="612">
        <v>318182</v>
      </c>
      <c r="M20" s="612">
        <v>31818</v>
      </c>
      <c r="N20" s="612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4">
        <v>44228</v>
      </c>
      <c r="S20" s="362" t="s">
        <v>83</v>
      </c>
      <c r="T20" s="612">
        <v>350000</v>
      </c>
      <c r="U20" s="612">
        <v>35000</v>
      </c>
      <c r="V20" s="612">
        <f t="shared" si="2"/>
        <v>385000</v>
      </c>
      <c r="W20" s="362" t="s">
        <v>5348</v>
      </c>
      <c r="X20" s="364">
        <v>44456</v>
      </c>
      <c r="Y20" s="362">
        <v>21.12105978</v>
      </c>
      <c r="Z20" s="614">
        <v>44287</v>
      </c>
      <c r="AA20" s="362" t="s">
        <v>88</v>
      </c>
      <c r="AB20" s="612">
        <v>318182</v>
      </c>
      <c r="AC20" s="612">
        <v>31818</v>
      </c>
      <c r="AD20" s="612">
        <f t="shared" si="3"/>
        <v>350000</v>
      </c>
      <c r="AE20" s="362" t="s">
        <v>5348</v>
      </c>
      <c r="AF20" s="364">
        <v>44453</v>
      </c>
      <c r="AG20" s="362">
        <v>22.244366039999999</v>
      </c>
      <c r="AH20" s="614">
        <v>44621</v>
      </c>
      <c r="AI20" s="362" t="s">
        <v>87</v>
      </c>
      <c r="AJ20" s="562">
        <v>367500</v>
      </c>
      <c r="AK20" s="562">
        <v>40425</v>
      </c>
      <c r="AL20" s="562">
        <f t="shared" si="7"/>
        <v>407925</v>
      </c>
      <c r="AM20" s="362" t="s">
        <v>5348</v>
      </c>
      <c r="AN20" s="364" t="s">
        <v>6154</v>
      </c>
      <c r="AO20" s="362"/>
      <c r="AP20" s="362"/>
      <c r="AQ20" s="362"/>
      <c r="AR20" s="612"/>
      <c r="AS20" s="612"/>
      <c r="AT20" s="612">
        <f t="shared" si="4"/>
        <v>0</v>
      </c>
      <c r="AU20" s="362"/>
      <c r="AV20" s="362"/>
      <c r="AW20" s="362">
        <v>22.373099580000002</v>
      </c>
      <c r="AX20" s="614">
        <v>44621</v>
      </c>
      <c r="AY20" s="362" t="s">
        <v>144</v>
      </c>
      <c r="AZ20" s="562">
        <v>337091</v>
      </c>
      <c r="BA20" s="562">
        <v>33709</v>
      </c>
      <c r="BB20" s="562">
        <f t="shared" si="10"/>
        <v>370800</v>
      </c>
      <c r="BC20" s="362" t="s">
        <v>5348</v>
      </c>
      <c r="BD20" s="364" t="s">
        <v>6154</v>
      </c>
      <c r="BE20" s="362">
        <v>21.121228640000002</v>
      </c>
      <c r="BF20" s="614">
        <v>44317</v>
      </c>
      <c r="BG20" s="362" t="s">
        <v>84</v>
      </c>
      <c r="BH20" s="612">
        <v>318182</v>
      </c>
      <c r="BI20" s="612">
        <v>31818</v>
      </c>
      <c r="BJ20" s="615">
        <f t="shared" si="8"/>
        <v>350000</v>
      </c>
      <c r="BK20" s="362" t="s">
        <v>5348</v>
      </c>
      <c r="BL20" s="364">
        <v>44453</v>
      </c>
      <c r="BM20" s="370">
        <v>21.555085680000001</v>
      </c>
      <c r="BN20" s="614">
        <v>44256</v>
      </c>
      <c r="BO20" s="370" t="s">
        <v>81</v>
      </c>
      <c r="BP20" s="851">
        <v>334848</v>
      </c>
      <c r="BQ20" s="851">
        <v>33484</v>
      </c>
      <c r="BR20" s="612">
        <f>BP20+BQ20</f>
        <v>368332</v>
      </c>
      <c r="BS20" s="370" t="s">
        <v>5348</v>
      </c>
      <c r="BT20" s="364" t="s">
        <v>6154</v>
      </c>
      <c r="BU20" s="370">
        <v>20.693286610000001</v>
      </c>
      <c r="BV20" s="850">
        <v>44166</v>
      </c>
      <c r="BW20" s="370" t="s">
        <v>78</v>
      </c>
      <c r="BX20" s="851">
        <v>334848</v>
      </c>
      <c r="BY20" s="851">
        <v>33484</v>
      </c>
      <c r="BZ20" s="851">
        <f t="shared" si="6"/>
        <v>368332</v>
      </c>
      <c r="CA20" s="370" t="s">
        <v>5348</v>
      </c>
      <c r="CB20" s="364">
        <v>44225</v>
      </c>
      <c r="CC20" s="362"/>
      <c r="CD20" s="362"/>
      <c r="CE20" s="362"/>
      <c r="CF20" s="562"/>
      <c r="CG20" s="562"/>
      <c r="CH20" s="562"/>
      <c r="CI20" s="362"/>
      <c r="CJ20" s="364"/>
      <c r="CK20" s="362"/>
      <c r="CL20" s="362"/>
      <c r="CM20" s="362"/>
      <c r="CN20" s="362"/>
      <c r="CO20" s="362"/>
      <c r="CP20" s="362"/>
      <c r="CQ20" s="362"/>
    </row>
    <row r="21" spans="1:95" x14ac:dyDescent="0.25">
      <c r="A21" s="362">
        <v>20.293883950000001</v>
      </c>
      <c r="B21" s="614">
        <v>44166</v>
      </c>
      <c r="C21" s="362" t="s">
        <v>80</v>
      </c>
      <c r="D21" s="612">
        <v>500000</v>
      </c>
      <c r="E21" s="612">
        <v>49999</v>
      </c>
      <c r="F21" s="612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4">
        <v>44197</v>
      </c>
      <c r="K21" s="362" t="s">
        <v>82</v>
      </c>
      <c r="L21" s="612">
        <v>318182</v>
      </c>
      <c r="M21" s="612">
        <v>31818</v>
      </c>
      <c r="N21" s="612">
        <f t="shared" si="1"/>
        <v>350000</v>
      </c>
      <c r="O21" s="362" t="s">
        <v>5931</v>
      </c>
      <c r="P21" s="364">
        <v>44453</v>
      </c>
      <c r="Q21" s="362">
        <v>21.20798031</v>
      </c>
      <c r="R21" s="614">
        <v>44256</v>
      </c>
      <c r="S21" s="362" t="s">
        <v>83</v>
      </c>
      <c r="T21" s="612">
        <v>350000</v>
      </c>
      <c r="U21" s="612">
        <v>35000</v>
      </c>
      <c r="V21" s="612">
        <f t="shared" si="2"/>
        <v>385000</v>
      </c>
      <c r="W21" s="362" t="s">
        <v>5348</v>
      </c>
      <c r="X21" s="364">
        <v>44456</v>
      </c>
      <c r="Y21" s="969">
        <v>21.121278650000001</v>
      </c>
      <c r="Z21" s="614">
        <v>44317</v>
      </c>
      <c r="AA21" s="362" t="s">
        <v>88</v>
      </c>
      <c r="AB21" s="612">
        <v>318182</v>
      </c>
      <c r="AC21" s="612">
        <v>31818</v>
      </c>
      <c r="AD21" s="612">
        <f t="shared" si="3"/>
        <v>350000</v>
      </c>
      <c r="AE21" s="362" t="s">
        <v>5348</v>
      </c>
      <c r="AF21" s="364">
        <v>44456</v>
      </c>
      <c r="AG21" s="362">
        <v>22.37317694</v>
      </c>
      <c r="AH21" s="614">
        <v>44652</v>
      </c>
      <c r="AI21" s="362" t="s">
        <v>87</v>
      </c>
      <c r="AJ21" s="562">
        <v>385000</v>
      </c>
      <c r="AK21" s="562">
        <v>42350</v>
      </c>
      <c r="AL21" s="562">
        <f t="shared" si="7"/>
        <v>427350</v>
      </c>
      <c r="AM21" s="362" t="s">
        <v>5348</v>
      </c>
      <c r="AN21" s="364" t="s">
        <v>6154</v>
      </c>
      <c r="AO21" s="362"/>
      <c r="AP21" s="362"/>
      <c r="AQ21" s="362"/>
      <c r="AR21" s="612"/>
      <c r="AS21" s="612"/>
      <c r="AT21" s="612">
        <f t="shared" si="4"/>
        <v>0</v>
      </c>
      <c r="AU21" s="362"/>
      <c r="AV21" s="362"/>
      <c r="AW21" s="362">
        <v>22.373099580000002</v>
      </c>
      <c r="AX21" s="614">
        <v>44652</v>
      </c>
      <c r="AY21" s="362" t="s">
        <v>144</v>
      </c>
      <c r="AZ21" s="562">
        <v>337091</v>
      </c>
      <c r="BA21" s="562">
        <v>33080</v>
      </c>
      <c r="BB21" s="562">
        <f t="shared" si="10"/>
        <v>370171</v>
      </c>
      <c r="BC21" s="362" t="s">
        <v>5348</v>
      </c>
      <c r="BD21" s="364" t="s">
        <v>6154</v>
      </c>
      <c r="BE21" s="616" t="s">
        <v>6152</v>
      </c>
      <c r="BF21" s="614">
        <v>44348</v>
      </c>
      <c r="BG21" s="362" t="s">
        <v>84</v>
      </c>
      <c r="BH21" s="612">
        <v>318182</v>
      </c>
      <c r="BI21" s="612">
        <v>31818</v>
      </c>
      <c r="BJ21" s="615">
        <f t="shared" si="8"/>
        <v>350000</v>
      </c>
      <c r="BK21" s="362" t="s">
        <v>5348</v>
      </c>
      <c r="BL21" s="364">
        <v>44453</v>
      </c>
      <c r="BM21" s="370">
        <v>21.555085689999999</v>
      </c>
      <c r="BN21" s="614">
        <v>44287</v>
      </c>
      <c r="BO21" s="370" t="s">
        <v>81</v>
      </c>
      <c r="BP21" s="851">
        <v>334848</v>
      </c>
      <c r="BQ21" s="851">
        <v>33484</v>
      </c>
      <c r="BR21" s="851">
        <f>BP21+BQ21</f>
        <v>368332</v>
      </c>
      <c r="BS21" s="370" t="s">
        <v>5931</v>
      </c>
      <c r="BT21" s="364" t="s">
        <v>6154</v>
      </c>
      <c r="BU21" s="370">
        <v>21.2074681</v>
      </c>
      <c r="BV21" s="850">
        <v>44197</v>
      </c>
      <c r="BW21" s="370" t="s">
        <v>78</v>
      </c>
      <c r="BX21" s="851">
        <v>334848</v>
      </c>
      <c r="BY21" s="851">
        <v>33484</v>
      </c>
      <c r="BZ21" s="851">
        <f t="shared" si="6"/>
        <v>368332</v>
      </c>
      <c r="CA21" s="370" t="s">
        <v>5348</v>
      </c>
      <c r="CB21" s="364">
        <v>44452</v>
      </c>
      <c r="CC21" s="362"/>
      <c r="CD21" s="362"/>
      <c r="CE21" s="362"/>
      <c r="CF21" s="362"/>
      <c r="CG21" s="362"/>
      <c r="CH21" s="362"/>
      <c r="CI21" s="362"/>
      <c r="CJ21" s="364"/>
      <c r="CK21" s="362"/>
      <c r="CL21" s="362"/>
      <c r="CM21" s="362"/>
      <c r="CN21" s="362"/>
      <c r="CO21" s="362"/>
      <c r="CP21" s="362"/>
      <c r="CQ21" s="362"/>
    </row>
    <row r="22" spans="1:95" x14ac:dyDescent="0.25">
      <c r="A22" s="362">
        <v>21.207550950000002</v>
      </c>
      <c r="B22" s="614">
        <v>44197</v>
      </c>
      <c r="C22" s="362" t="s">
        <v>80</v>
      </c>
      <c r="D22" s="612">
        <v>499999</v>
      </c>
      <c r="E22" s="562">
        <v>49999</v>
      </c>
      <c r="F22" s="562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4">
        <v>44228</v>
      </c>
      <c r="K22" s="362" t="s">
        <v>82</v>
      </c>
      <c r="L22" s="612">
        <v>318182</v>
      </c>
      <c r="M22" s="612">
        <v>31818</v>
      </c>
      <c r="N22" s="612">
        <f t="shared" si="1"/>
        <v>350000</v>
      </c>
      <c r="O22" s="624" t="s">
        <v>5931</v>
      </c>
      <c r="P22" s="364">
        <v>44453</v>
      </c>
      <c r="Q22" s="362">
        <v>21.121059800000001</v>
      </c>
      <c r="R22" s="614">
        <v>44287</v>
      </c>
      <c r="S22" s="362" t="s">
        <v>83</v>
      </c>
      <c r="T22" s="612">
        <v>350000</v>
      </c>
      <c r="U22" s="612">
        <v>35000</v>
      </c>
      <c r="V22" s="612">
        <f t="shared" si="2"/>
        <v>385000</v>
      </c>
      <c r="W22" s="362" t="s">
        <v>5348</v>
      </c>
      <c r="X22" s="364">
        <v>44456</v>
      </c>
      <c r="Y22" s="969">
        <v>21.121500619999999</v>
      </c>
      <c r="Z22" s="614">
        <v>44348</v>
      </c>
      <c r="AA22" s="362" t="s">
        <v>88</v>
      </c>
      <c r="AB22" s="612">
        <v>318182</v>
      </c>
      <c r="AC22" s="612">
        <v>31818</v>
      </c>
      <c r="AD22" s="612">
        <f t="shared" si="3"/>
        <v>350000</v>
      </c>
      <c r="AE22" s="362" t="s">
        <v>5348</v>
      </c>
      <c r="AF22" s="364">
        <v>44456</v>
      </c>
      <c r="AG22" s="968">
        <v>22.373395290000001</v>
      </c>
      <c r="AH22" s="614">
        <v>44682</v>
      </c>
      <c r="AI22" s="362" t="s">
        <v>87</v>
      </c>
      <c r="AJ22" s="562">
        <v>385000</v>
      </c>
      <c r="AK22" s="562">
        <v>42350</v>
      </c>
      <c r="AL22" s="562">
        <f t="shared" si="7"/>
        <v>427350</v>
      </c>
      <c r="AM22" s="362" t="s">
        <v>5348</v>
      </c>
      <c r="AN22" s="364" t="s">
        <v>6154</v>
      </c>
      <c r="AO22" s="362"/>
      <c r="AP22" s="362"/>
      <c r="AQ22" s="362"/>
      <c r="AR22" s="612"/>
      <c r="AS22" s="612"/>
      <c r="AT22" s="612"/>
      <c r="AU22" s="362"/>
      <c r="AV22" s="362"/>
      <c r="AW22" s="362">
        <v>22.373393310000001</v>
      </c>
      <c r="AX22" s="614">
        <v>44682</v>
      </c>
      <c r="AY22" s="362" t="s">
        <v>144</v>
      </c>
      <c r="AZ22" s="562">
        <v>337091</v>
      </c>
      <c r="BA22" s="562">
        <v>37080</v>
      </c>
      <c r="BB22" s="562">
        <f t="shared" si="10"/>
        <v>374171</v>
      </c>
      <c r="BC22" s="362" t="s">
        <v>5348</v>
      </c>
      <c r="BD22" s="980" t="s">
        <v>6154</v>
      </c>
      <c r="BE22" s="362">
        <v>21.55437414</v>
      </c>
      <c r="BF22" s="614">
        <v>44378</v>
      </c>
      <c r="BG22" s="362" t="s">
        <v>84</v>
      </c>
      <c r="BH22" s="612">
        <v>318182</v>
      </c>
      <c r="BI22" s="612">
        <v>31818</v>
      </c>
      <c r="BJ22" s="615">
        <f t="shared" si="8"/>
        <v>350000</v>
      </c>
      <c r="BK22" s="362" t="s">
        <v>5348</v>
      </c>
      <c r="BL22" s="364">
        <v>44453</v>
      </c>
      <c r="BM22" s="370">
        <v>21.12113678</v>
      </c>
      <c r="BN22" s="850">
        <v>44317</v>
      </c>
      <c r="BO22" s="370" t="s">
        <v>81</v>
      </c>
      <c r="BP22" s="851">
        <v>334848</v>
      </c>
      <c r="BQ22" s="851">
        <v>33484</v>
      </c>
      <c r="BR22" s="851">
        <f t="shared" si="5"/>
        <v>368332</v>
      </c>
      <c r="BS22" s="370" t="s">
        <v>5931</v>
      </c>
      <c r="BT22" s="568">
        <v>44453</v>
      </c>
      <c r="BU22" s="370">
        <v>21.207766679999999</v>
      </c>
      <c r="BV22" s="850">
        <v>44228</v>
      </c>
      <c r="BW22" s="370" t="s">
        <v>78</v>
      </c>
      <c r="BX22" s="851">
        <v>334848</v>
      </c>
      <c r="BY22" s="851">
        <v>33484</v>
      </c>
      <c r="BZ22" s="851">
        <f t="shared" si="6"/>
        <v>368332</v>
      </c>
      <c r="CA22" s="370" t="s">
        <v>5348</v>
      </c>
      <c r="CB22" s="364">
        <v>44452</v>
      </c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</row>
    <row r="23" spans="1:95" x14ac:dyDescent="0.25">
      <c r="A23" s="616" t="s">
        <v>6150</v>
      </c>
      <c r="B23" s="614">
        <v>44228</v>
      </c>
      <c r="C23" s="362" t="s">
        <v>80</v>
      </c>
      <c r="D23" s="562">
        <v>499999</v>
      </c>
      <c r="E23" s="562">
        <v>49999</v>
      </c>
      <c r="F23" s="562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4">
        <v>44256</v>
      </c>
      <c r="K23" s="362" t="s">
        <v>82</v>
      </c>
      <c r="L23" s="612">
        <v>318182</v>
      </c>
      <c r="M23" s="612">
        <v>31818</v>
      </c>
      <c r="N23" s="612">
        <f t="shared" si="1"/>
        <v>350000</v>
      </c>
      <c r="O23" s="624" t="s">
        <v>5931</v>
      </c>
      <c r="P23" s="364">
        <v>44453</v>
      </c>
      <c r="Q23" s="362">
        <v>21.121278669999999</v>
      </c>
      <c r="R23" s="614">
        <v>44317</v>
      </c>
      <c r="S23" s="362" t="s">
        <v>83</v>
      </c>
      <c r="T23" s="612">
        <v>350000</v>
      </c>
      <c r="U23" s="612">
        <v>35000</v>
      </c>
      <c r="V23" s="612">
        <f t="shared" si="2"/>
        <v>385000</v>
      </c>
      <c r="W23" s="362" t="s">
        <v>5348</v>
      </c>
      <c r="X23" s="364">
        <v>44456</v>
      </c>
      <c r="Y23" s="969">
        <v>21.554416660000001</v>
      </c>
      <c r="Z23" s="614">
        <v>44378</v>
      </c>
      <c r="AA23" s="362" t="s">
        <v>88</v>
      </c>
      <c r="AB23" s="612">
        <v>318182</v>
      </c>
      <c r="AC23" s="612">
        <v>31818</v>
      </c>
      <c r="AD23" s="612">
        <f t="shared" si="3"/>
        <v>350000</v>
      </c>
      <c r="AE23" s="362" t="s">
        <v>5348</v>
      </c>
      <c r="AF23" s="364">
        <v>44456</v>
      </c>
      <c r="AG23" s="968"/>
      <c r="AH23" s="362"/>
      <c r="AI23" s="362"/>
      <c r="AJ23" s="562"/>
      <c r="AK23" s="562"/>
      <c r="AL23" s="562"/>
      <c r="AM23" s="362"/>
      <c r="AN23" s="364"/>
      <c r="AO23" s="362"/>
      <c r="AP23" s="362"/>
      <c r="AQ23" s="362"/>
      <c r="AR23" s="612"/>
      <c r="AS23" s="612"/>
      <c r="AT23" s="612"/>
      <c r="AU23" s="362"/>
      <c r="AV23" s="362"/>
      <c r="AW23" s="362"/>
      <c r="AX23" s="362"/>
      <c r="AY23" s="362"/>
      <c r="AZ23" s="562"/>
      <c r="BA23" s="562"/>
      <c r="BB23" s="562"/>
      <c r="BC23" s="362"/>
      <c r="BD23" s="624"/>
      <c r="BE23" s="362">
        <v>21.554590600000001</v>
      </c>
      <c r="BF23" s="614">
        <v>44409</v>
      </c>
      <c r="BG23" s="362" t="s">
        <v>84</v>
      </c>
      <c r="BH23" s="612">
        <v>318182</v>
      </c>
      <c r="BI23" s="612">
        <v>31818</v>
      </c>
      <c r="BJ23" s="615">
        <f t="shared" si="8"/>
        <v>350000</v>
      </c>
      <c r="BK23" s="362" t="s">
        <v>5348</v>
      </c>
      <c r="BL23" s="364">
        <v>44565</v>
      </c>
      <c r="BM23" s="362">
        <v>21.12135988</v>
      </c>
      <c r="BN23" s="614">
        <v>44348</v>
      </c>
      <c r="BO23" s="370" t="s">
        <v>81</v>
      </c>
      <c r="BP23" s="612">
        <v>334848</v>
      </c>
      <c r="BQ23" s="612">
        <v>33484</v>
      </c>
      <c r="BR23" s="612">
        <f t="shared" si="5"/>
        <v>368332</v>
      </c>
      <c r="BS23" s="370" t="s">
        <v>5931</v>
      </c>
      <c r="BT23" s="568">
        <v>44453</v>
      </c>
      <c r="BU23" s="370">
        <v>21.55508566</v>
      </c>
      <c r="BV23" s="850">
        <v>44256</v>
      </c>
      <c r="BW23" s="370" t="s">
        <v>78</v>
      </c>
      <c r="BX23" s="565">
        <v>334848</v>
      </c>
      <c r="BY23" s="565">
        <v>33484</v>
      </c>
      <c r="BZ23" s="565">
        <f>BY23+BX23</f>
        <v>368332</v>
      </c>
      <c r="CA23" s="370" t="s">
        <v>5348</v>
      </c>
      <c r="CB23" s="362" t="s">
        <v>6154</v>
      </c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</row>
    <row r="24" spans="1:95" x14ac:dyDescent="0.25">
      <c r="A24" s="616" t="s">
        <v>6151</v>
      </c>
      <c r="B24" s="614">
        <v>44256</v>
      </c>
      <c r="C24" s="362" t="s">
        <v>80</v>
      </c>
      <c r="D24" s="562">
        <v>499999</v>
      </c>
      <c r="E24" s="562">
        <v>49999</v>
      </c>
      <c r="F24" s="562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4">
        <v>44287</v>
      </c>
      <c r="K24" s="362" t="s">
        <v>82</v>
      </c>
      <c r="L24" s="612">
        <v>318182</v>
      </c>
      <c r="M24" s="612">
        <v>31818</v>
      </c>
      <c r="N24" s="612">
        <f t="shared" si="1"/>
        <v>350000</v>
      </c>
      <c r="O24" s="624" t="s">
        <v>5931</v>
      </c>
      <c r="P24" s="364">
        <v>44453</v>
      </c>
      <c r="Q24" s="362">
        <v>21.121500640000001</v>
      </c>
      <c r="R24" s="614">
        <v>44348</v>
      </c>
      <c r="S24" s="362" t="s">
        <v>83</v>
      </c>
      <c r="T24" s="612">
        <v>350000</v>
      </c>
      <c r="U24" s="612">
        <v>35000</v>
      </c>
      <c r="V24" s="612">
        <f t="shared" si="2"/>
        <v>385000</v>
      </c>
      <c r="W24" s="362" t="s">
        <v>5348</v>
      </c>
      <c r="X24" s="364">
        <v>44456</v>
      </c>
      <c r="Y24" s="969">
        <v>21.554628829999999</v>
      </c>
      <c r="Z24" s="614">
        <v>44409</v>
      </c>
      <c r="AA24" s="362" t="s">
        <v>88</v>
      </c>
      <c r="AB24" s="612">
        <v>318182</v>
      </c>
      <c r="AC24" s="612">
        <v>31818</v>
      </c>
      <c r="AD24" s="612">
        <f t="shared" si="3"/>
        <v>350000</v>
      </c>
      <c r="AE24" s="362" t="s">
        <v>5348</v>
      </c>
      <c r="AF24" s="364">
        <v>44484</v>
      </c>
      <c r="AG24" s="968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562"/>
      <c r="BA24" s="562"/>
      <c r="BB24" s="562"/>
      <c r="BC24" s="362"/>
      <c r="BD24" s="624"/>
      <c r="BE24" s="362">
        <v>21.554808470000001</v>
      </c>
      <c r="BF24" s="614">
        <v>44440</v>
      </c>
      <c r="BG24" s="362" t="s">
        <v>84</v>
      </c>
      <c r="BH24" s="612">
        <v>318182</v>
      </c>
      <c r="BI24" s="612">
        <v>31818</v>
      </c>
      <c r="BJ24" s="615">
        <f t="shared" si="8"/>
        <v>350000</v>
      </c>
      <c r="BK24" s="362" t="s">
        <v>5348</v>
      </c>
      <c r="BL24" s="364">
        <v>44565</v>
      </c>
      <c r="BM24" s="362">
        <v>21.121584259999999</v>
      </c>
      <c r="BN24" s="614">
        <v>44378</v>
      </c>
      <c r="BO24" s="370" t="s">
        <v>81</v>
      </c>
      <c r="BP24" s="612">
        <v>334848</v>
      </c>
      <c r="BQ24" s="612">
        <v>33484</v>
      </c>
      <c r="BR24" s="612">
        <f t="shared" si="5"/>
        <v>368332</v>
      </c>
      <c r="BS24" s="370" t="s">
        <v>5931</v>
      </c>
      <c r="BT24" s="568">
        <v>44453</v>
      </c>
      <c r="BU24" s="370">
        <v>21.55508567</v>
      </c>
      <c r="BV24" s="850">
        <v>44287</v>
      </c>
      <c r="BW24" s="370" t="s">
        <v>78</v>
      </c>
      <c r="BX24" s="565">
        <v>334848</v>
      </c>
      <c r="BY24" s="565">
        <v>33484</v>
      </c>
      <c r="BZ24" s="565">
        <f>BY24+BX24</f>
        <v>368332</v>
      </c>
      <c r="CA24" s="370" t="s">
        <v>5348</v>
      </c>
      <c r="CB24" s="362" t="s">
        <v>6154</v>
      </c>
      <c r="CC24" s="968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  <c r="CQ24" s="362"/>
    </row>
    <row r="25" spans="1:95" x14ac:dyDescent="0.25">
      <c r="A25" s="362">
        <v>21.12105979</v>
      </c>
      <c r="B25" s="614">
        <v>44287</v>
      </c>
      <c r="C25" s="362" t="s">
        <v>80</v>
      </c>
      <c r="D25" s="562">
        <v>499999</v>
      </c>
      <c r="E25" s="562">
        <v>49999</v>
      </c>
      <c r="F25" s="562">
        <f t="shared" si="0"/>
        <v>549998</v>
      </c>
      <c r="G25" s="362" t="s">
        <v>5348</v>
      </c>
      <c r="H25" s="364">
        <v>44453</v>
      </c>
      <c r="I25" s="362">
        <v>21.12127869</v>
      </c>
      <c r="J25" s="614">
        <v>44317</v>
      </c>
      <c r="K25" s="362" t="s">
        <v>82</v>
      </c>
      <c r="L25" s="612">
        <v>318182</v>
      </c>
      <c r="M25" s="612">
        <v>31818</v>
      </c>
      <c r="N25" s="562">
        <f t="shared" si="1"/>
        <v>350000</v>
      </c>
      <c r="O25" s="624" t="s">
        <v>5931</v>
      </c>
      <c r="P25" s="364">
        <v>44453</v>
      </c>
      <c r="Q25" s="362">
        <v>21.554416679999999</v>
      </c>
      <c r="R25" s="614">
        <v>44378</v>
      </c>
      <c r="S25" s="362" t="s">
        <v>83</v>
      </c>
      <c r="T25" s="612">
        <v>350000</v>
      </c>
      <c r="U25" s="612">
        <v>35000</v>
      </c>
      <c r="V25" s="612">
        <f t="shared" si="2"/>
        <v>385000</v>
      </c>
      <c r="W25" s="362" t="s">
        <v>5348</v>
      </c>
      <c r="X25" s="364">
        <v>44456</v>
      </c>
      <c r="Y25" s="969">
        <v>21.554848549999999</v>
      </c>
      <c r="Z25" s="614">
        <v>44440</v>
      </c>
      <c r="AA25" s="362" t="s">
        <v>88</v>
      </c>
      <c r="AB25" s="562">
        <v>318182</v>
      </c>
      <c r="AC25" s="562">
        <v>31818</v>
      </c>
      <c r="AD25" s="562">
        <f>AB25+AC25</f>
        <v>350000</v>
      </c>
      <c r="AE25" s="362" t="s">
        <v>5348</v>
      </c>
      <c r="AF25" s="364">
        <v>44565</v>
      </c>
      <c r="AG25" s="968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562"/>
      <c r="BA25" s="562"/>
      <c r="BB25" s="562"/>
      <c r="BC25" s="362"/>
      <c r="BD25" s="624"/>
      <c r="BE25" s="362">
        <v>21.555021350000001</v>
      </c>
      <c r="BF25" s="614">
        <v>44470</v>
      </c>
      <c r="BG25" s="362" t="s">
        <v>84</v>
      </c>
      <c r="BH25" s="612">
        <v>318182</v>
      </c>
      <c r="BI25" s="612">
        <v>31818</v>
      </c>
      <c r="BJ25" s="615">
        <f t="shared" si="8"/>
        <v>350000</v>
      </c>
      <c r="BK25" s="362" t="s">
        <v>5348</v>
      </c>
      <c r="BL25" s="364">
        <v>44610</v>
      </c>
      <c r="BM25" s="362">
        <v>21.554503189999998</v>
      </c>
      <c r="BN25" s="614">
        <v>44409</v>
      </c>
      <c r="BO25" s="362" t="s">
        <v>81</v>
      </c>
      <c r="BP25" s="612">
        <v>334848</v>
      </c>
      <c r="BQ25" s="612">
        <v>33484</v>
      </c>
      <c r="BR25" s="612">
        <f t="shared" si="5"/>
        <v>368332</v>
      </c>
      <c r="BS25" s="362" t="s">
        <v>5348</v>
      </c>
      <c r="BT25" s="980">
        <v>44484</v>
      </c>
      <c r="BU25" s="370">
        <v>21.121277240000001</v>
      </c>
      <c r="BV25" s="850">
        <v>44317</v>
      </c>
      <c r="BW25" s="370" t="s">
        <v>78</v>
      </c>
      <c r="BX25" s="851">
        <v>334848</v>
      </c>
      <c r="BY25" s="851">
        <v>33484</v>
      </c>
      <c r="BZ25" s="851">
        <f t="shared" si="6"/>
        <v>368332</v>
      </c>
      <c r="CA25" s="370" t="s">
        <v>5348</v>
      </c>
      <c r="CB25" s="364">
        <v>44452</v>
      </c>
      <c r="CC25" s="968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  <c r="CQ25" s="362"/>
    </row>
    <row r="26" spans="1:95" x14ac:dyDescent="0.25">
      <c r="A26" s="362">
        <v>21.121278660000002</v>
      </c>
      <c r="B26" s="614">
        <v>44317</v>
      </c>
      <c r="C26" s="362" t="s">
        <v>80</v>
      </c>
      <c r="D26" s="562">
        <v>499999</v>
      </c>
      <c r="E26" s="562">
        <v>49999</v>
      </c>
      <c r="F26" s="562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4">
        <v>44348</v>
      </c>
      <c r="K26" s="362" t="s">
        <v>82</v>
      </c>
      <c r="L26" s="562">
        <v>318182</v>
      </c>
      <c r="M26" s="562">
        <v>31818</v>
      </c>
      <c r="N26" s="562">
        <f t="shared" si="1"/>
        <v>350000</v>
      </c>
      <c r="O26" s="624" t="s">
        <v>5931</v>
      </c>
      <c r="P26" s="364">
        <v>44453</v>
      </c>
      <c r="Q26" s="370">
        <v>21.55462885</v>
      </c>
      <c r="R26" s="614">
        <v>44409</v>
      </c>
      <c r="S26" s="370" t="s">
        <v>83</v>
      </c>
      <c r="T26" s="851">
        <v>350000</v>
      </c>
      <c r="U26" s="851">
        <v>35000</v>
      </c>
      <c r="V26" s="851">
        <f t="shared" si="2"/>
        <v>385000</v>
      </c>
      <c r="W26" s="370" t="s">
        <v>5348</v>
      </c>
      <c r="X26" s="364">
        <v>44565</v>
      </c>
      <c r="Y26" s="362">
        <v>21.55506462</v>
      </c>
      <c r="Z26" s="614">
        <v>44470</v>
      </c>
      <c r="AA26" s="362" t="s">
        <v>88</v>
      </c>
      <c r="AB26" s="612">
        <v>318182</v>
      </c>
      <c r="AC26" s="612">
        <v>31818</v>
      </c>
      <c r="AD26" s="612">
        <f t="shared" si="3"/>
        <v>350000</v>
      </c>
      <c r="AE26" s="362" t="s">
        <v>5348</v>
      </c>
      <c r="AF26" s="364">
        <v>44610</v>
      </c>
      <c r="AZ26" s="465"/>
      <c r="BA26" s="465"/>
      <c r="BB26" s="465"/>
      <c r="BE26" s="370">
        <v>21.061783349999999</v>
      </c>
      <c r="BF26" s="614">
        <v>44501</v>
      </c>
      <c r="BG26" s="370" t="s">
        <v>84</v>
      </c>
      <c r="BH26" s="851">
        <v>318182</v>
      </c>
      <c r="BI26" s="851">
        <v>31818</v>
      </c>
      <c r="BJ26" s="874">
        <f t="shared" si="8"/>
        <v>350000</v>
      </c>
      <c r="BK26" s="370" t="s">
        <v>5348</v>
      </c>
      <c r="BL26" s="364">
        <v>44610</v>
      </c>
      <c r="BM26" s="362">
        <v>21.554723460000002</v>
      </c>
      <c r="BN26" s="614">
        <v>44440</v>
      </c>
      <c r="BO26" s="362" t="s">
        <v>81</v>
      </c>
      <c r="BP26" s="612">
        <v>334848</v>
      </c>
      <c r="BQ26" s="612">
        <v>33484</v>
      </c>
      <c r="BR26" s="612">
        <f t="shared" si="5"/>
        <v>368332</v>
      </c>
      <c r="BS26" s="362" t="s">
        <v>5348</v>
      </c>
      <c r="BT26" s="364" t="s">
        <v>6154</v>
      </c>
      <c r="BU26" s="370">
        <v>21.121499140000001</v>
      </c>
      <c r="BV26" s="850">
        <v>44348</v>
      </c>
      <c r="BW26" s="370" t="s">
        <v>78</v>
      </c>
      <c r="BX26" s="851">
        <v>334848</v>
      </c>
      <c r="BY26" s="851">
        <v>33484</v>
      </c>
      <c r="BZ26" s="851">
        <f t="shared" si="6"/>
        <v>368332</v>
      </c>
      <c r="CA26" s="370" t="s">
        <v>5348</v>
      </c>
      <c r="CB26" s="364">
        <v>44452</v>
      </c>
      <c r="CC26" s="968"/>
      <c r="CD26" s="362"/>
      <c r="CE26" s="362"/>
      <c r="CF26" s="362"/>
      <c r="CG26" s="362"/>
      <c r="CH26" s="362"/>
      <c r="CI26" s="362"/>
      <c r="CJ26" s="362"/>
    </row>
    <row r="27" spans="1:95" x14ac:dyDescent="0.25">
      <c r="A27" s="362">
        <v>21.12150063</v>
      </c>
      <c r="B27" s="614">
        <v>44348</v>
      </c>
      <c r="C27" s="362" t="s">
        <v>80</v>
      </c>
      <c r="D27" s="562">
        <v>500000</v>
      </c>
      <c r="E27" s="562">
        <v>50000</v>
      </c>
      <c r="F27" s="562">
        <f t="shared" si="0"/>
        <v>550000</v>
      </c>
      <c r="G27" s="362" t="s">
        <v>5348</v>
      </c>
      <c r="H27" s="364">
        <v>44453</v>
      </c>
      <c r="I27" s="968">
        <v>21.554416700000001</v>
      </c>
      <c r="J27" s="614">
        <v>44378</v>
      </c>
      <c r="K27" s="362" t="s">
        <v>82</v>
      </c>
      <c r="L27" s="562">
        <v>318182</v>
      </c>
      <c r="M27" s="562">
        <v>31818</v>
      </c>
      <c r="N27" s="562">
        <f t="shared" si="1"/>
        <v>350000</v>
      </c>
      <c r="O27" s="624" t="s">
        <v>5931</v>
      </c>
      <c r="P27" s="364">
        <v>44453</v>
      </c>
      <c r="Q27" s="362">
        <v>21.554848539999998</v>
      </c>
      <c r="R27" s="614">
        <v>44440</v>
      </c>
      <c r="S27" s="362" t="s">
        <v>83</v>
      </c>
      <c r="T27" s="562">
        <v>350000</v>
      </c>
      <c r="U27" s="562">
        <v>35000</v>
      </c>
      <c r="V27" s="562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4">
        <v>44501</v>
      </c>
      <c r="AA27" s="362" t="s">
        <v>88</v>
      </c>
      <c r="AB27" s="562">
        <v>318182</v>
      </c>
      <c r="AC27" s="562">
        <v>31818</v>
      </c>
      <c r="AD27" s="562">
        <f t="shared" si="3"/>
        <v>350000</v>
      </c>
      <c r="AE27" s="362" t="s">
        <v>5348</v>
      </c>
      <c r="AF27" s="364">
        <v>44610</v>
      </c>
      <c r="AZ27" s="465"/>
      <c r="BA27" s="465"/>
      <c r="BB27" s="465"/>
      <c r="BE27" s="967" t="s">
        <v>6236</v>
      </c>
      <c r="BF27" s="614">
        <v>44531</v>
      </c>
      <c r="BG27" s="370" t="s">
        <v>84</v>
      </c>
      <c r="BH27" s="851">
        <v>318182</v>
      </c>
      <c r="BI27" s="851">
        <v>31818</v>
      </c>
      <c r="BJ27" s="874">
        <f t="shared" si="8"/>
        <v>350000</v>
      </c>
      <c r="BK27" s="370" t="s">
        <v>5348</v>
      </c>
      <c r="BL27" s="364">
        <v>44610</v>
      </c>
      <c r="BM27" s="362">
        <v>21.554984690000001</v>
      </c>
      <c r="BN27" s="614">
        <v>44470</v>
      </c>
      <c r="BO27" s="362" t="s">
        <v>81</v>
      </c>
      <c r="BP27" s="612">
        <v>334848</v>
      </c>
      <c r="BQ27" s="612">
        <v>33484</v>
      </c>
      <c r="BR27" s="612">
        <f t="shared" si="5"/>
        <v>368332</v>
      </c>
      <c r="BS27" s="362" t="s">
        <v>6187</v>
      </c>
      <c r="BT27" s="364">
        <v>44610</v>
      </c>
      <c r="BU27" s="967" t="s">
        <v>6149</v>
      </c>
      <c r="BV27" s="850">
        <v>44378</v>
      </c>
      <c r="BW27" s="370" t="s">
        <v>78</v>
      </c>
      <c r="BX27" s="851">
        <v>334848</v>
      </c>
      <c r="BY27" s="851">
        <v>33484</v>
      </c>
      <c r="BZ27" s="565">
        <f t="shared" si="6"/>
        <v>368332</v>
      </c>
      <c r="CA27" s="370" t="s">
        <v>5348</v>
      </c>
      <c r="CB27" s="364">
        <v>44452</v>
      </c>
    </row>
    <row r="28" spans="1:95" x14ac:dyDescent="0.25">
      <c r="A28" s="362">
        <v>21.554416669999998</v>
      </c>
      <c r="B28" s="614">
        <v>44378</v>
      </c>
      <c r="C28" s="362" t="s">
        <v>80</v>
      </c>
      <c r="D28" s="562">
        <v>500000</v>
      </c>
      <c r="E28" s="562">
        <v>50000</v>
      </c>
      <c r="F28" s="562">
        <f t="shared" si="0"/>
        <v>550000</v>
      </c>
      <c r="G28" s="362" t="s">
        <v>5348</v>
      </c>
      <c r="H28" s="364">
        <v>44453</v>
      </c>
      <c r="I28" s="968">
        <v>21.554628869999998</v>
      </c>
      <c r="J28" s="614">
        <v>44409</v>
      </c>
      <c r="K28" s="362" t="s">
        <v>82</v>
      </c>
      <c r="L28" s="562">
        <v>318182</v>
      </c>
      <c r="M28" s="562">
        <v>31818</v>
      </c>
      <c r="N28" s="562">
        <f t="shared" si="1"/>
        <v>350000</v>
      </c>
      <c r="O28" s="624" t="s">
        <v>5348</v>
      </c>
      <c r="P28" s="364">
        <v>44565</v>
      </c>
      <c r="Q28" s="362">
        <v>21.555064609999999</v>
      </c>
      <c r="R28" s="614">
        <v>44470</v>
      </c>
      <c r="S28" s="362" t="s">
        <v>83</v>
      </c>
      <c r="T28" s="562">
        <v>350000</v>
      </c>
      <c r="U28" s="562">
        <v>35000</v>
      </c>
      <c r="V28" s="562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4">
        <v>44531</v>
      </c>
      <c r="AA28" s="362" t="s">
        <v>88</v>
      </c>
      <c r="AB28" s="562">
        <v>318182</v>
      </c>
      <c r="AC28" s="562">
        <v>31818</v>
      </c>
      <c r="AD28" s="562">
        <f t="shared" si="3"/>
        <v>350000</v>
      </c>
      <c r="AE28" s="362" t="s">
        <v>5348</v>
      </c>
      <c r="AF28" s="364">
        <v>44656</v>
      </c>
      <c r="AZ28" s="465"/>
      <c r="BA28" s="465"/>
      <c r="BB28" s="465"/>
      <c r="BE28" s="362">
        <v>22.243906679999998</v>
      </c>
      <c r="BF28" s="614">
        <v>44562</v>
      </c>
      <c r="BG28" s="362" t="s">
        <v>84</v>
      </c>
      <c r="BH28" s="562">
        <v>318182</v>
      </c>
      <c r="BI28" s="562">
        <v>31818</v>
      </c>
      <c r="BJ28" s="562">
        <f t="shared" si="8"/>
        <v>350000</v>
      </c>
      <c r="BK28" s="370" t="s">
        <v>5348</v>
      </c>
      <c r="BL28" s="364">
        <v>44656</v>
      </c>
      <c r="BM28" s="968">
        <v>21.061742670000001</v>
      </c>
      <c r="BN28" s="614">
        <v>44501</v>
      </c>
      <c r="BO28" s="362" t="s">
        <v>81</v>
      </c>
      <c r="BP28" s="562">
        <v>334848</v>
      </c>
      <c r="BQ28" s="562">
        <v>33484</v>
      </c>
      <c r="BR28" s="562">
        <f t="shared" si="5"/>
        <v>368332</v>
      </c>
      <c r="BS28" s="362" t="s">
        <v>5348</v>
      </c>
      <c r="BT28" s="364">
        <v>44610</v>
      </c>
      <c r="BU28" s="370">
        <v>21.554503180000001</v>
      </c>
      <c r="BV28" s="850">
        <v>44409</v>
      </c>
      <c r="BW28" s="370" t="s">
        <v>78</v>
      </c>
      <c r="BX28" s="565">
        <v>334848</v>
      </c>
      <c r="BY28" s="565">
        <v>33484</v>
      </c>
      <c r="BZ28" s="565">
        <f t="shared" si="6"/>
        <v>368332</v>
      </c>
      <c r="CA28" s="370" t="s">
        <v>5348</v>
      </c>
      <c r="CB28" s="364">
        <v>44484</v>
      </c>
    </row>
    <row r="29" spans="1:95" x14ac:dyDescent="0.25">
      <c r="A29" s="362">
        <v>21.554628839999999</v>
      </c>
      <c r="B29" s="614">
        <v>44409</v>
      </c>
      <c r="C29" s="362" t="s">
        <v>80</v>
      </c>
      <c r="D29" s="562">
        <v>500000</v>
      </c>
      <c r="E29" s="562">
        <v>50000</v>
      </c>
      <c r="F29" s="562">
        <f t="shared" si="0"/>
        <v>550000</v>
      </c>
      <c r="G29" s="362" t="s">
        <v>5348</v>
      </c>
      <c r="H29" s="980">
        <v>44565</v>
      </c>
      <c r="I29" s="362">
        <v>21.55484856</v>
      </c>
      <c r="J29" s="614">
        <v>44440</v>
      </c>
      <c r="K29" s="362" t="s">
        <v>82</v>
      </c>
      <c r="L29" s="562">
        <v>318182</v>
      </c>
      <c r="M29" s="562">
        <v>31818</v>
      </c>
      <c r="N29" s="562">
        <f t="shared" si="1"/>
        <v>350000</v>
      </c>
      <c r="O29" s="362" t="s">
        <v>5348</v>
      </c>
      <c r="P29" s="364">
        <v>44565</v>
      </c>
      <c r="Q29" s="968">
        <v>21.061824609999999</v>
      </c>
      <c r="R29" s="614">
        <v>44501</v>
      </c>
      <c r="S29" s="362" t="s">
        <v>83</v>
      </c>
      <c r="T29" s="562">
        <v>350000</v>
      </c>
      <c r="U29" s="562">
        <v>35000</v>
      </c>
      <c r="V29" s="562">
        <f t="shared" si="2"/>
        <v>385000</v>
      </c>
      <c r="W29" s="362" t="s">
        <v>5348</v>
      </c>
      <c r="X29" s="364">
        <v>44610</v>
      </c>
      <c r="Y29" s="362">
        <v>22.24395449</v>
      </c>
      <c r="Z29" s="614">
        <v>44562</v>
      </c>
      <c r="AA29" s="362" t="s">
        <v>88</v>
      </c>
      <c r="AB29" s="562">
        <v>318182</v>
      </c>
      <c r="AC29" s="562">
        <v>31818</v>
      </c>
      <c r="AD29" s="562">
        <f t="shared" si="3"/>
        <v>350000</v>
      </c>
      <c r="AE29" s="362" t="s">
        <v>5348</v>
      </c>
      <c r="AF29" s="364" t="s">
        <v>6154</v>
      </c>
      <c r="BE29" s="362">
        <v>22.24412572</v>
      </c>
      <c r="BF29" s="614">
        <v>44593</v>
      </c>
      <c r="BG29" s="362" t="s">
        <v>84</v>
      </c>
      <c r="BH29" s="562">
        <v>318182</v>
      </c>
      <c r="BI29" s="562">
        <v>31818</v>
      </c>
      <c r="BJ29" s="562">
        <f t="shared" si="8"/>
        <v>350000</v>
      </c>
      <c r="BK29" s="362" t="s">
        <v>5348</v>
      </c>
      <c r="BL29" s="364">
        <v>44656</v>
      </c>
      <c r="BM29" s="968">
        <v>21.06194812</v>
      </c>
      <c r="BN29" s="614">
        <v>44531</v>
      </c>
      <c r="BO29" s="362" t="s">
        <v>81</v>
      </c>
      <c r="BP29" s="562">
        <v>334848</v>
      </c>
      <c r="BQ29" s="562">
        <v>33484</v>
      </c>
      <c r="BR29" s="562">
        <f t="shared" si="5"/>
        <v>368332</v>
      </c>
      <c r="BS29" s="362" t="s">
        <v>5348</v>
      </c>
      <c r="BT29" s="364">
        <v>44610</v>
      </c>
      <c r="BU29" s="370">
        <v>21.5547738</v>
      </c>
      <c r="BV29" s="850">
        <v>44440</v>
      </c>
      <c r="BW29" s="370" t="s">
        <v>78</v>
      </c>
      <c r="BX29" s="565">
        <v>334848</v>
      </c>
      <c r="BY29" s="565">
        <v>33484</v>
      </c>
      <c r="BZ29" s="565">
        <f t="shared" si="6"/>
        <v>368332</v>
      </c>
      <c r="CA29" s="370" t="s">
        <v>5348</v>
      </c>
      <c r="CB29" s="364" t="s">
        <v>6154</v>
      </c>
    </row>
    <row r="30" spans="1:95" x14ac:dyDescent="0.25">
      <c r="A30" s="362">
        <v>21.554848530000001</v>
      </c>
      <c r="B30" s="614">
        <v>44440</v>
      </c>
      <c r="C30" s="362" t="s">
        <v>80</v>
      </c>
      <c r="D30" s="562">
        <v>500000</v>
      </c>
      <c r="E30" s="562">
        <v>50000</v>
      </c>
      <c r="F30" s="562">
        <f t="shared" si="0"/>
        <v>550000</v>
      </c>
      <c r="G30" s="362" t="s">
        <v>5348</v>
      </c>
      <c r="H30" s="980">
        <v>44565</v>
      </c>
      <c r="I30" s="362">
        <v>21.555064640000001</v>
      </c>
      <c r="J30" s="614">
        <v>44470</v>
      </c>
      <c r="K30" s="362" t="s">
        <v>82</v>
      </c>
      <c r="L30" s="562">
        <v>318182</v>
      </c>
      <c r="M30" s="562">
        <v>31818</v>
      </c>
      <c r="N30" s="562">
        <f t="shared" si="1"/>
        <v>350000</v>
      </c>
      <c r="O30" s="362" t="s">
        <v>5348</v>
      </c>
      <c r="P30" s="364">
        <v>44610</v>
      </c>
      <c r="Q30" s="968">
        <v>21.51811107</v>
      </c>
      <c r="R30" s="614">
        <v>44531</v>
      </c>
      <c r="S30" s="362" t="s">
        <v>83</v>
      </c>
      <c r="T30" s="562">
        <v>350000</v>
      </c>
      <c r="U30" s="562">
        <v>35000</v>
      </c>
      <c r="V30" s="562">
        <f t="shared" si="2"/>
        <v>385000</v>
      </c>
      <c r="W30" s="362" t="s">
        <v>5348</v>
      </c>
      <c r="X30" s="364">
        <v>44656</v>
      </c>
      <c r="Y30" s="362">
        <v>22.244174650000001</v>
      </c>
      <c r="Z30" s="614">
        <v>44593</v>
      </c>
      <c r="AA30" s="362" t="s">
        <v>88</v>
      </c>
      <c r="AB30" s="562">
        <v>318182</v>
      </c>
      <c r="AC30" s="562">
        <v>31818</v>
      </c>
      <c r="AD30" s="562">
        <f t="shared" ref="AD30:AD33" si="11">AB30+AC30</f>
        <v>350000</v>
      </c>
      <c r="AE30" s="362" t="s">
        <v>5348</v>
      </c>
      <c r="AF30" s="364">
        <v>44656</v>
      </c>
      <c r="BE30" s="616" t="s">
        <v>6278</v>
      </c>
      <c r="BF30" s="614">
        <v>44621</v>
      </c>
      <c r="BG30" s="362" t="s">
        <v>84</v>
      </c>
      <c r="BH30" s="562">
        <v>318182</v>
      </c>
      <c r="BI30" s="562">
        <v>34999</v>
      </c>
      <c r="BJ30" s="562">
        <f t="shared" si="8"/>
        <v>353181</v>
      </c>
      <c r="BK30" s="362" t="s">
        <v>5348</v>
      </c>
      <c r="BL30" s="362" t="s">
        <v>6154</v>
      </c>
      <c r="BM30" s="1423" t="s">
        <v>6258</v>
      </c>
      <c r="BN30" s="614">
        <v>44562</v>
      </c>
      <c r="BO30" s="362" t="s">
        <v>81</v>
      </c>
      <c r="BP30" s="562">
        <v>334848</v>
      </c>
      <c r="BQ30" s="562">
        <v>33484</v>
      </c>
      <c r="BR30" s="562">
        <f t="shared" si="5"/>
        <v>368332</v>
      </c>
      <c r="BS30" s="362" t="s">
        <v>5931</v>
      </c>
      <c r="BT30" s="364">
        <v>44651</v>
      </c>
      <c r="BU30" s="370">
        <v>21.55498468</v>
      </c>
      <c r="BV30" s="850">
        <v>44470</v>
      </c>
      <c r="BW30" s="370" t="s">
        <v>78</v>
      </c>
      <c r="BX30" s="565">
        <v>334848</v>
      </c>
      <c r="BY30" s="565">
        <v>33484</v>
      </c>
      <c r="BZ30" s="565">
        <f t="shared" si="6"/>
        <v>368332</v>
      </c>
      <c r="CA30" s="370" t="s">
        <v>5348</v>
      </c>
      <c r="CB30" s="364">
        <v>44610</v>
      </c>
    </row>
    <row r="31" spans="1:95" x14ac:dyDescent="0.25">
      <c r="A31" s="616" t="s">
        <v>6216</v>
      </c>
      <c r="B31" s="614">
        <v>44470</v>
      </c>
      <c r="C31" s="362" t="s">
        <v>80</v>
      </c>
      <c r="D31" s="562">
        <v>500000</v>
      </c>
      <c r="E31" s="562">
        <v>50000</v>
      </c>
      <c r="F31" s="562">
        <f t="shared" si="0"/>
        <v>550000</v>
      </c>
      <c r="G31" s="362" t="s">
        <v>5348</v>
      </c>
      <c r="H31" s="980">
        <v>44610</v>
      </c>
      <c r="I31" s="370">
        <v>21.05182464</v>
      </c>
      <c r="J31" s="614">
        <v>44501</v>
      </c>
      <c r="K31" s="370" t="s">
        <v>82</v>
      </c>
      <c r="L31" s="562">
        <v>334091</v>
      </c>
      <c r="M31" s="562">
        <v>33409</v>
      </c>
      <c r="N31" s="562">
        <f t="shared" si="1"/>
        <v>367500</v>
      </c>
      <c r="O31" s="370" t="s">
        <v>5348</v>
      </c>
      <c r="P31" s="364">
        <v>44610</v>
      </c>
      <c r="Q31" s="968">
        <v>22.243954479999999</v>
      </c>
      <c r="R31" s="614">
        <v>44562</v>
      </c>
      <c r="S31" s="362" t="s">
        <v>83</v>
      </c>
      <c r="T31" s="562">
        <v>350000</v>
      </c>
      <c r="U31" s="562">
        <v>35000</v>
      </c>
      <c r="V31" s="562">
        <f t="shared" si="2"/>
        <v>385000</v>
      </c>
      <c r="W31" s="362" t="s">
        <v>5348</v>
      </c>
      <c r="X31" s="364">
        <v>44656</v>
      </c>
      <c r="Y31" s="362">
        <v>22.244408289999999</v>
      </c>
      <c r="Z31" s="614">
        <v>44621</v>
      </c>
      <c r="AA31" s="362" t="s">
        <v>88</v>
      </c>
      <c r="AB31" s="562">
        <v>334091</v>
      </c>
      <c r="AC31" s="562">
        <v>36749</v>
      </c>
      <c r="AD31" s="562">
        <f t="shared" si="11"/>
        <v>370840</v>
      </c>
      <c r="AE31" s="362" t="s">
        <v>5348</v>
      </c>
      <c r="AF31" s="364" t="s">
        <v>6154</v>
      </c>
      <c r="BE31" s="967" t="s">
        <v>6290</v>
      </c>
      <c r="BF31" s="614">
        <v>44652</v>
      </c>
      <c r="BG31" s="370" t="s">
        <v>84</v>
      </c>
      <c r="BH31" s="562">
        <v>318182</v>
      </c>
      <c r="BI31" s="562">
        <v>34999</v>
      </c>
      <c r="BJ31" s="562">
        <f t="shared" si="8"/>
        <v>353181</v>
      </c>
      <c r="BK31" s="370" t="s">
        <v>5348</v>
      </c>
      <c r="BL31" s="362" t="s">
        <v>6154</v>
      </c>
      <c r="BM31" s="968">
        <v>22.244026430000002</v>
      </c>
      <c r="BN31" s="614">
        <v>44593</v>
      </c>
      <c r="BO31" s="362" t="s">
        <v>81</v>
      </c>
      <c r="BP31" s="562">
        <v>334848</v>
      </c>
      <c r="BQ31" s="562">
        <v>33484</v>
      </c>
      <c r="BR31" s="562">
        <f t="shared" si="5"/>
        <v>368332</v>
      </c>
      <c r="BS31" s="362" t="s">
        <v>5348</v>
      </c>
      <c r="BT31" s="364">
        <v>44651</v>
      </c>
      <c r="BU31" s="362">
        <v>21.06174266</v>
      </c>
      <c r="BV31" s="614">
        <v>44501</v>
      </c>
      <c r="BW31" s="362" t="s">
        <v>78</v>
      </c>
      <c r="BX31" s="562">
        <v>334848</v>
      </c>
      <c r="BY31" s="562">
        <v>33484</v>
      </c>
      <c r="BZ31" s="562">
        <f t="shared" si="6"/>
        <v>368332</v>
      </c>
      <c r="CA31" s="362" t="s">
        <v>5348</v>
      </c>
      <c r="CB31" s="364">
        <v>44610</v>
      </c>
    </row>
    <row r="32" spans="1:95" x14ac:dyDescent="0.25">
      <c r="A32" s="616" t="s">
        <v>6217</v>
      </c>
      <c r="B32" s="614">
        <v>44501</v>
      </c>
      <c r="C32" s="362" t="s">
        <v>80</v>
      </c>
      <c r="D32" s="562">
        <v>500000</v>
      </c>
      <c r="E32" s="562">
        <v>50000</v>
      </c>
      <c r="F32" s="562">
        <f t="shared" si="0"/>
        <v>550000</v>
      </c>
      <c r="G32" s="362" t="s">
        <v>5348</v>
      </c>
      <c r="H32" s="980">
        <v>44610</v>
      </c>
      <c r="I32" s="967" t="s">
        <v>6254</v>
      </c>
      <c r="J32" s="614">
        <v>44531</v>
      </c>
      <c r="K32" s="370" t="s">
        <v>82</v>
      </c>
      <c r="L32" s="562">
        <v>350000</v>
      </c>
      <c r="M32" s="562">
        <v>34999</v>
      </c>
      <c r="N32" s="562">
        <f t="shared" si="1"/>
        <v>384999</v>
      </c>
      <c r="O32" s="370" t="s">
        <v>5348</v>
      </c>
      <c r="P32" s="364">
        <v>44656</v>
      </c>
      <c r="Q32" s="968">
        <v>22.244174640000001</v>
      </c>
      <c r="R32" s="614">
        <v>44593</v>
      </c>
      <c r="S32" s="362" t="s">
        <v>83</v>
      </c>
      <c r="T32" s="562">
        <v>350000</v>
      </c>
      <c r="U32" s="562">
        <v>35000</v>
      </c>
      <c r="V32" s="562">
        <f t="shared" si="2"/>
        <v>385000</v>
      </c>
      <c r="W32" s="362" t="s">
        <v>5348</v>
      </c>
      <c r="X32" s="364">
        <v>44656</v>
      </c>
      <c r="Y32" s="362">
        <v>22.37321184</v>
      </c>
      <c r="Z32" s="614">
        <v>44652</v>
      </c>
      <c r="AA32" s="362" t="s">
        <v>88</v>
      </c>
      <c r="AB32" s="562">
        <v>350000</v>
      </c>
      <c r="AC32" s="562">
        <v>38500</v>
      </c>
      <c r="AD32" s="562">
        <f t="shared" si="11"/>
        <v>388500</v>
      </c>
      <c r="AE32" s="362" t="s">
        <v>5348</v>
      </c>
      <c r="AF32" s="364" t="s">
        <v>6154</v>
      </c>
      <c r="BE32" s="362">
        <v>22.373398349999999</v>
      </c>
      <c r="BF32" s="614">
        <v>44682</v>
      </c>
      <c r="BG32" s="362" t="s">
        <v>84</v>
      </c>
      <c r="BH32" s="362">
        <v>318182</v>
      </c>
      <c r="BI32" s="362">
        <v>34999</v>
      </c>
      <c r="BJ32" s="362">
        <f t="shared" si="8"/>
        <v>353181</v>
      </c>
      <c r="BK32" s="362" t="s">
        <v>5348</v>
      </c>
      <c r="BL32" s="362" t="s">
        <v>6154</v>
      </c>
      <c r="BM32" s="968">
        <v>22.24425162</v>
      </c>
      <c r="BN32" s="614">
        <v>44621</v>
      </c>
      <c r="BO32" s="362" t="s">
        <v>81</v>
      </c>
      <c r="BP32" s="562">
        <v>334848</v>
      </c>
      <c r="BQ32" s="562">
        <v>33484</v>
      </c>
      <c r="BR32" s="562">
        <f t="shared" si="5"/>
        <v>368332</v>
      </c>
      <c r="BS32" s="362" t="s">
        <v>5931</v>
      </c>
      <c r="BT32" s="364" t="s">
        <v>6154</v>
      </c>
      <c r="BU32" s="362">
        <v>21.061948109999999</v>
      </c>
      <c r="BV32" s="614">
        <v>44531</v>
      </c>
      <c r="BW32" s="362" t="s">
        <v>78</v>
      </c>
      <c r="BX32" s="562">
        <v>334848</v>
      </c>
      <c r="BY32" s="562">
        <v>33484</v>
      </c>
      <c r="BZ32" s="562">
        <f t="shared" si="6"/>
        <v>368332</v>
      </c>
      <c r="CA32" s="362" t="s">
        <v>5348</v>
      </c>
      <c r="CB32" s="364">
        <v>44610</v>
      </c>
    </row>
    <row r="33" spans="1:80" x14ac:dyDescent="0.25">
      <c r="A33" s="362">
        <v>21.518111059999999</v>
      </c>
      <c r="B33" s="614">
        <v>44531</v>
      </c>
      <c r="C33" s="362" t="s">
        <v>80</v>
      </c>
      <c r="D33" s="562">
        <v>500000</v>
      </c>
      <c r="E33" s="562">
        <v>50000</v>
      </c>
      <c r="F33" s="562">
        <f t="shared" si="0"/>
        <v>550000</v>
      </c>
      <c r="G33" s="362" t="s">
        <v>5348</v>
      </c>
      <c r="H33" s="624" t="s">
        <v>6154</v>
      </c>
      <c r="I33" s="362">
        <v>22.243954509999998</v>
      </c>
      <c r="J33" s="614">
        <v>44562</v>
      </c>
      <c r="K33" s="362" t="s">
        <v>82</v>
      </c>
      <c r="L33" s="562">
        <v>350000</v>
      </c>
      <c r="M33" s="562">
        <v>34999</v>
      </c>
      <c r="N33" s="562">
        <f t="shared" si="1"/>
        <v>384999</v>
      </c>
      <c r="O33" s="362" t="s">
        <v>5348</v>
      </c>
      <c r="P33" s="364">
        <v>44656</v>
      </c>
      <c r="Q33" s="968">
        <v>22.244408279999998</v>
      </c>
      <c r="R33" s="614">
        <v>44621</v>
      </c>
      <c r="S33" s="362" t="s">
        <v>83</v>
      </c>
      <c r="T33" s="562">
        <v>350000</v>
      </c>
      <c r="U33" s="562">
        <v>38500</v>
      </c>
      <c r="V33" s="562">
        <f t="shared" si="2"/>
        <v>388500</v>
      </c>
      <c r="W33" s="362" t="s">
        <v>5348</v>
      </c>
      <c r="X33" s="362" t="s">
        <v>6154</v>
      </c>
      <c r="Y33" s="362">
        <v>22.37344414</v>
      </c>
      <c r="Z33" s="614">
        <v>44682</v>
      </c>
      <c r="AA33" s="362" t="s">
        <v>88</v>
      </c>
      <c r="AB33" s="362">
        <v>350000</v>
      </c>
      <c r="AC33" s="362">
        <v>38500</v>
      </c>
      <c r="AD33" s="562">
        <f t="shared" si="11"/>
        <v>388500</v>
      </c>
      <c r="AE33" s="362" t="s">
        <v>5348</v>
      </c>
      <c r="AF33" s="364" t="s">
        <v>6154</v>
      </c>
      <c r="BE33" s="362"/>
      <c r="BF33" s="362"/>
      <c r="BG33" s="362"/>
      <c r="BH33" s="362"/>
      <c r="BI33" s="362"/>
      <c r="BJ33" s="362"/>
      <c r="BK33" s="362"/>
      <c r="BL33" s="362"/>
      <c r="BM33" s="968">
        <v>22.244491830000001</v>
      </c>
      <c r="BN33" s="614">
        <v>44652</v>
      </c>
      <c r="BO33" s="362" t="s">
        <v>81</v>
      </c>
      <c r="BP33" s="562">
        <v>334848</v>
      </c>
      <c r="BQ33" s="562">
        <v>36833</v>
      </c>
      <c r="BR33" s="562">
        <f t="shared" si="5"/>
        <v>371681</v>
      </c>
      <c r="BS33" s="362" t="s">
        <v>5931</v>
      </c>
      <c r="BT33" s="364" t="s">
        <v>6154</v>
      </c>
      <c r="BU33" s="362">
        <v>22.24380919</v>
      </c>
      <c r="BV33" s="614">
        <v>44562</v>
      </c>
      <c r="BW33" s="362" t="s">
        <v>78</v>
      </c>
      <c r="BX33" s="562">
        <v>334848</v>
      </c>
      <c r="BY33" s="562">
        <v>33484</v>
      </c>
      <c r="BZ33" s="562">
        <f t="shared" si="6"/>
        <v>368332</v>
      </c>
      <c r="CA33" s="362" t="s">
        <v>5348</v>
      </c>
      <c r="CB33" s="364">
        <v>44651</v>
      </c>
    </row>
    <row r="34" spans="1:80" x14ac:dyDescent="0.25">
      <c r="A34" s="362">
        <v>22.243954469999998</v>
      </c>
      <c r="B34" s="614">
        <v>44562</v>
      </c>
      <c r="C34" s="362" t="s">
        <v>80</v>
      </c>
      <c r="D34" s="562">
        <v>500000</v>
      </c>
      <c r="E34" s="562">
        <v>50000</v>
      </c>
      <c r="F34" s="562">
        <f t="shared" si="0"/>
        <v>550000</v>
      </c>
      <c r="G34" s="362" t="s">
        <v>5931</v>
      </c>
      <c r="H34" s="624" t="s">
        <v>6154</v>
      </c>
      <c r="I34" s="362">
        <v>22.24417467</v>
      </c>
      <c r="J34" s="614">
        <v>44593</v>
      </c>
      <c r="K34" s="362" t="s">
        <v>82</v>
      </c>
      <c r="L34" s="562">
        <v>350000</v>
      </c>
      <c r="M34" s="562">
        <v>34999</v>
      </c>
      <c r="N34" s="562">
        <f t="shared" si="1"/>
        <v>384999</v>
      </c>
      <c r="O34" s="362" t="s">
        <v>5348</v>
      </c>
      <c r="P34" s="364">
        <v>44656</v>
      </c>
      <c r="Q34" s="968">
        <v>22.373211829999999</v>
      </c>
      <c r="R34" s="614">
        <v>44652</v>
      </c>
      <c r="S34" s="362" t="s">
        <v>83</v>
      </c>
      <c r="T34" s="562">
        <v>350000</v>
      </c>
      <c r="U34" s="562">
        <v>38500</v>
      </c>
      <c r="V34" s="562">
        <f t="shared" si="2"/>
        <v>388500</v>
      </c>
      <c r="W34" s="362" t="s">
        <v>5348</v>
      </c>
      <c r="X34" s="362" t="s">
        <v>6154</v>
      </c>
      <c r="Y34" s="1138"/>
      <c r="Z34" s="1138"/>
      <c r="AF34" s="366"/>
      <c r="BE34" s="362"/>
      <c r="BF34" s="362"/>
      <c r="BG34" s="362"/>
      <c r="BH34" s="362"/>
      <c r="BI34" s="362"/>
      <c r="BJ34" s="362"/>
      <c r="BK34" s="362"/>
      <c r="BL34" s="362"/>
      <c r="BM34" s="968">
        <v>22.373349149999999</v>
      </c>
      <c r="BN34" s="614">
        <v>44682</v>
      </c>
      <c r="BO34" s="362" t="s">
        <v>81</v>
      </c>
      <c r="BP34" s="562">
        <v>334848</v>
      </c>
      <c r="BQ34" s="562">
        <v>36833</v>
      </c>
      <c r="BR34" s="562">
        <f t="shared" si="5"/>
        <v>371681</v>
      </c>
      <c r="BS34" s="362" t="s">
        <v>5931</v>
      </c>
      <c r="BT34" s="364" t="s">
        <v>6154</v>
      </c>
      <c r="BU34" s="362">
        <v>22.244026420000001</v>
      </c>
      <c r="BV34" s="614">
        <v>44593</v>
      </c>
      <c r="BW34" s="362" t="s">
        <v>78</v>
      </c>
      <c r="BX34" s="562">
        <v>334848</v>
      </c>
      <c r="BY34" s="562">
        <v>33484</v>
      </c>
      <c r="BZ34" s="562">
        <f t="shared" si="6"/>
        <v>368332</v>
      </c>
      <c r="CA34" s="362" t="s">
        <v>5348</v>
      </c>
      <c r="CB34" s="364">
        <v>44651</v>
      </c>
    </row>
    <row r="35" spans="1:80" x14ac:dyDescent="0.25">
      <c r="A35" s="362">
        <v>22.24417463</v>
      </c>
      <c r="B35" s="614">
        <v>44593</v>
      </c>
      <c r="C35" s="362" t="s">
        <v>80</v>
      </c>
      <c r="D35" s="562">
        <v>500000</v>
      </c>
      <c r="E35" s="562">
        <v>50000</v>
      </c>
      <c r="F35" s="562">
        <f t="shared" si="0"/>
        <v>550000</v>
      </c>
      <c r="G35" s="362" t="s">
        <v>5348</v>
      </c>
      <c r="H35" s="624" t="s">
        <v>6154</v>
      </c>
      <c r="I35" s="362">
        <v>22.2444083</v>
      </c>
      <c r="J35" s="614">
        <v>44621</v>
      </c>
      <c r="K35" s="362" t="s">
        <v>82</v>
      </c>
      <c r="L35" s="562">
        <v>350000</v>
      </c>
      <c r="M35" s="562">
        <v>38499</v>
      </c>
      <c r="N35" s="562">
        <f t="shared" si="1"/>
        <v>388499</v>
      </c>
      <c r="O35" s="362" t="s">
        <v>5348</v>
      </c>
      <c r="P35" s="362" t="s">
        <v>6154</v>
      </c>
      <c r="Q35" s="968">
        <v>22.373444129999999</v>
      </c>
      <c r="R35" s="614">
        <v>44682</v>
      </c>
      <c r="S35" s="362" t="s">
        <v>83</v>
      </c>
      <c r="T35" s="562">
        <v>350000</v>
      </c>
      <c r="U35" s="562">
        <v>38500</v>
      </c>
      <c r="V35" s="562">
        <f t="shared" si="2"/>
        <v>388500</v>
      </c>
      <c r="W35" s="362" t="s">
        <v>5348</v>
      </c>
      <c r="X35" s="362" t="s">
        <v>6154</v>
      </c>
      <c r="Y35" s="362"/>
      <c r="Z35" s="362"/>
      <c r="AF35" s="366"/>
      <c r="BE35" s="362"/>
      <c r="BF35" s="362"/>
      <c r="BG35" s="362"/>
      <c r="BH35" s="362"/>
      <c r="BI35" s="362"/>
      <c r="BJ35" s="362"/>
      <c r="BK35" s="362"/>
      <c r="BL35" s="362"/>
      <c r="BM35" s="968"/>
      <c r="BN35" s="362"/>
      <c r="BO35" s="362"/>
      <c r="BP35" s="362"/>
      <c r="BQ35" s="362"/>
      <c r="BR35" s="362"/>
      <c r="BS35" s="362"/>
      <c r="BT35" s="980"/>
      <c r="BU35" s="362">
        <v>22.244326220000001</v>
      </c>
      <c r="BV35" s="614">
        <v>44621</v>
      </c>
      <c r="BW35" s="362" t="s">
        <v>78</v>
      </c>
      <c r="BX35" s="562">
        <v>334848</v>
      </c>
      <c r="BY35" s="562">
        <v>33484</v>
      </c>
      <c r="BZ35" s="562">
        <f t="shared" si="6"/>
        <v>368332</v>
      </c>
      <c r="CA35" s="362" t="s">
        <v>5348</v>
      </c>
      <c r="CB35" s="364" t="s">
        <v>6154</v>
      </c>
    </row>
    <row r="36" spans="1:80" x14ac:dyDescent="0.25">
      <c r="A36" s="362">
        <v>22.244408270000001</v>
      </c>
      <c r="B36" s="614">
        <v>44621</v>
      </c>
      <c r="C36" s="362" t="s">
        <v>80</v>
      </c>
      <c r="D36" s="562">
        <v>500000</v>
      </c>
      <c r="E36" s="562">
        <v>50000</v>
      </c>
      <c r="F36" s="562">
        <f t="shared" si="0"/>
        <v>550000</v>
      </c>
      <c r="G36" s="362" t="s">
        <v>5931</v>
      </c>
      <c r="H36" s="362" t="s">
        <v>6154</v>
      </c>
      <c r="I36" s="968">
        <v>22.373211850000001</v>
      </c>
      <c r="J36" s="614">
        <v>44652</v>
      </c>
      <c r="K36" s="362" t="s">
        <v>82</v>
      </c>
      <c r="L36" s="562">
        <v>350000</v>
      </c>
      <c r="M36" s="562">
        <v>38499</v>
      </c>
      <c r="N36" s="562">
        <f t="shared" si="1"/>
        <v>388499</v>
      </c>
      <c r="O36" s="362" t="s">
        <v>5348</v>
      </c>
      <c r="P36" s="362" t="s">
        <v>6154</v>
      </c>
      <c r="T36" s="465"/>
      <c r="U36" s="465"/>
      <c r="V36" s="465"/>
      <c r="BE36" s="362"/>
      <c r="BF36" s="362"/>
      <c r="BG36" s="362"/>
      <c r="BH36" s="362"/>
      <c r="BI36" s="362"/>
      <c r="BJ36" s="362"/>
      <c r="BK36" s="362"/>
      <c r="BL36" s="362"/>
      <c r="BM36" s="968"/>
      <c r="BN36" s="362"/>
      <c r="BO36" s="362"/>
      <c r="BP36" s="362"/>
      <c r="BQ36" s="362"/>
      <c r="BR36" s="362"/>
      <c r="BS36" s="362"/>
      <c r="BT36" s="980"/>
      <c r="BU36" s="362">
        <v>22.24449182</v>
      </c>
      <c r="BV36" s="614">
        <v>44652</v>
      </c>
      <c r="BW36" s="362" t="s">
        <v>78</v>
      </c>
      <c r="BX36" s="562">
        <v>334848</v>
      </c>
      <c r="BY36" s="562">
        <v>36833</v>
      </c>
      <c r="BZ36" s="562">
        <f t="shared" si="6"/>
        <v>371681</v>
      </c>
      <c r="CA36" s="362" t="s">
        <v>5348</v>
      </c>
      <c r="CB36" s="364" t="s">
        <v>6154</v>
      </c>
    </row>
    <row r="37" spans="1:80" x14ac:dyDescent="0.25">
      <c r="A37" s="362">
        <v>22.373211820000002</v>
      </c>
      <c r="B37" s="614">
        <v>44652</v>
      </c>
      <c r="C37" s="362" t="s">
        <v>80</v>
      </c>
      <c r="D37" s="562">
        <v>500000</v>
      </c>
      <c r="E37" s="562">
        <v>55000</v>
      </c>
      <c r="F37" s="562">
        <f t="shared" si="0"/>
        <v>555000</v>
      </c>
      <c r="G37" s="362" t="s">
        <v>5348</v>
      </c>
      <c r="H37" s="362" t="s">
        <v>6154</v>
      </c>
      <c r="I37" s="968">
        <v>22.373444150000001</v>
      </c>
      <c r="J37" s="614">
        <v>44682</v>
      </c>
      <c r="K37" s="362" t="s">
        <v>82</v>
      </c>
      <c r="L37" s="562">
        <v>350000</v>
      </c>
      <c r="M37" s="562">
        <v>38499</v>
      </c>
      <c r="N37" s="562">
        <f t="shared" si="1"/>
        <v>388499</v>
      </c>
      <c r="O37" s="362" t="s">
        <v>5348</v>
      </c>
      <c r="P37" s="362" t="s">
        <v>6154</v>
      </c>
      <c r="T37" s="465"/>
      <c r="U37" s="465"/>
      <c r="V37" s="465"/>
      <c r="BE37" s="362"/>
      <c r="BF37" s="362"/>
      <c r="BG37" s="362"/>
      <c r="BH37" s="362"/>
      <c r="BI37" s="362"/>
      <c r="BJ37" s="362"/>
      <c r="BK37" s="362"/>
      <c r="BL37" s="362"/>
      <c r="BT37" s="980"/>
      <c r="BU37" s="362">
        <v>22.373349139999998</v>
      </c>
      <c r="BV37" s="614">
        <v>44682</v>
      </c>
      <c r="BW37" s="362" t="s">
        <v>78</v>
      </c>
      <c r="BX37" s="562">
        <v>334848</v>
      </c>
      <c r="BY37" s="562">
        <v>36833</v>
      </c>
      <c r="BZ37" s="562">
        <f t="shared" si="6"/>
        <v>371681</v>
      </c>
      <c r="CA37" s="362" t="s">
        <v>5348</v>
      </c>
      <c r="CB37" s="364" t="s">
        <v>6154</v>
      </c>
    </row>
    <row r="38" spans="1:80" x14ac:dyDescent="0.25">
      <c r="A38" s="362">
        <v>22.373444119999998</v>
      </c>
      <c r="B38" s="614">
        <v>44682</v>
      </c>
      <c r="C38" s="362" t="s">
        <v>80</v>
      </c>
      <c r="D38" s="562">
        <v>500000</v>
      </c>
      <c r="E38" s="562">
        <v>55000</v>
      </c>
      <c r="F38" s="562">
        <f t="shared" si="0"/>
        <v>555000</v>
      </c>
      <c r="G38" s="362" t="s">
        <v>5348</v>
      </c>
      <c r="H38" s="362" t="s">
        <v>6154</v>
      </c>
      <c r="I38" s="968"/>
      <c r="J38" s="362"/>
      <c r="K38" s="362"/>
      <c r="L38" s="562"/>
      <c r="M38" s="562"/>
      <c r="N38" s="562"/>
      <c r="O38" s="362"/>
      <c r="P38" s="362"/>
      <c r="BT38" s="980"/>
      <c r="BU38" s="362"/>
      <c r="BV38" s="362"/>
      <c r="BW38" s="362"/>
      <c r="BX38" s="562"/>
      <c r="BY38" s="562"/>
      <c r="BZ38" s="562"/>
      <c r="CA38" s="362"/>
      <c r="CB38" s="364"/>
    </row>
    <row r="39" spans="1:80" x14ac:dyDescent="0.25">
      <c r="A39" s="362"/>
      <c r="B39" s="362"/>
      <c r="C39" s="362"/>
      <c r="D39" s="562"/>
      <c r="E39" s="562"/>
      <c r="F39" s="562"/>
      <c r="G39" s="362"/>
      <c r="H39" s="362"/>
      <c r="L39" s="465"/>
      <c r="M39" s="465"/>
      <c r="N39" s="465"/>
      <c r="BT39" s="980"/>
      <c r="BU39" s="362"/>
      <c r="BV39" s="362"/>
      <c r="BW39" s="362"/>
      <c r="BX39" s="562"/>
      <c r="BY39" s="562"/>
      <c r="BZ39" s="562"/>
      <c r="CA39" s="362"/>
      <c r="CB39" s="364"/>
    </row>
    <row r="40" spans="1:80" x14ac:dyDescent="0.25">
      <c r="A40" s="362"/>
      <c r="B40" s="362"/>
      <c r="C40" s="362"/>
      <c r="D40" s="362"/>
      <c r="E40" s="362"/>
      <c r="F40" s="362"/>
      <c r="G40" s="362"/>
      <c r="H40" s="362"/>
      <c r="L40" s="465"/>
      <c r="M40" s="465"/>
      <c r="N40" s="465"/>
      <c r="BT40" s="980"/>
      <c r="BU40" s="362"/>
      <c r="BV40" s="362"/>
      <c r="BW40" s="362"/>
      <c r="BX40" s="562"/>
      <c r="BY40" s="562"/>
      <c r="BZ40" s="562"/>
      <c r="CA40" s="362"/>
      <c r="CB40" s="364"/>
    </row>
    <row r="41" spans="1:80" x14ac:dyDescent="0.25">
      <c r="L41" s="465"/>
      <c r="M41" s="465"/>
      <c r="N41" s="465"/>
      <c r="BT41" s="980"/>
      <c r="BU41" s="362"/>
      <c r="BV41" s="362"/>
      <c r="BW41" s="362"/>
      <c r="BX41" s="562"/>
      <c r="BY41" s="562"/>
      <c r="BZ41" s="562"/>
      <c r="CA41" s="362"/>
      <c r="CB41" s="364"/>
    </row>
    <row r="42" spans="1:80" x14ac:dyDescent="0.25">
      <c r="L42" s="465"/>
      <c r="M42" s="465"/>
      <c r="N42" s="465"/>
      <c r="BT42" s="980"/>
      <c r="BU42" s="362"/>
      <c r="BV42" s="362"/>
      <c r="BW42" s="362"/>
      <c r="BX42" s="562"/>
      <c r="BY42" s="562"/>
      <c r="BZ42" s="562"/>
      <c r="CA42" s="362"/>
      <c r="CB42" s="364"/>
    </row>
    <row r="43" spans="1:80" x14ac:dyDescent="0.25">
      <c r="L43" s="465"/>
      <c r="M43" s="465"/>
      <c r="N43" s="465"/>
      <c r="BU43" s="362"/>
      <c r="BV43" s="362"/>
      <c r="BW43" s="362"/>
      <c r="BX43" s="562"/>
      <c r="BY43" s="562"/>
      <c r="BZ43" s="562"/>
      <c r="CA43" s="362"/>
      <c r="CB43" s="364"/>
    </row>
    <row r="44" spans="1:80" x14ac:dyDescent="0.25">
      <c r="BU44" s="362"/>
      <c r="BV44" s="362"/>
      <c r="BW44" s="362"/>
      <c r="BX44" s="562"/>
      <c r="BY44" s="562"/>
      <c r="BZ44" s="562"/>
      <c r="CA44" s="362"/>
      <c r="CB44" s="362"/>
    </row>
    <row r="45" spans="1:80" x14ac:dyDescent="0.25">
      <c r="BU45" s="362"/>
      <c r="BV45" s="362"/>
      <c r="BW45" s="362"/>
      <c r="BX45" s="562"/>
      <c r="BY45" s="562"/>
      <c r="BZ45" s="562"/>
      <c r="CA45" s="362"/>
      <c r="CB45" s="362"/>
    </row>
    <row r="46" spans="1:80" x14ac:dyDescent="0.25">
      <c r="BX46" s="465"/>
      <c r="BY46" s="465"/>
      <c r="BZ46" s="465"/>
    </row>
    <row r="47" spans="1:80" x14ac:dyDescent="0.25">
      <c r="BX47" s="465"/>
      <c r="BY47" s="465"/>
      <c r="BZ47" s="465"/>
    </row>
    <row r="52" spans="10:14" x14ac:dyDescent="0.25">
      <c r="J52" s="254" t="s">
        <v>6206</v>
      </c>
    </row>
    <row r="53" spans="10:14" x14ac:dyDescent="0.25">
      <c r="L53" s="254" t="s">
        <v>6110</v>
      </c>
    </row>
    <row r="54" spans="10:14" x14ac:dyDescent="0.25">
      <c r="N54" s="254" t="s">
        <v>6207</v>
      </c>
    </row>
  </sheetData>
  <mergeCells count="83">
    <mergeCell ref="AG4:AM4"/>
    <mergeCell ref="AO4:AU4"/>
    <mergeCell ref="BC5:BC6"/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M5:AM6"/>
    <mergeCell ref="AO5:AO6"/>
    <mergeCell ref="AB5:AD5"/>
    <mergeCell ref="AE5:AE6"/>
    <mergeCell ref="AF5:AF6"/>
    <mergeCell ref="AG5:AG6"/>
    <mergeCell ref="AH5:AH6"/>
    <mergeCell ref="AI5:AI6"/>
    <mergeCell ref="AJ5:AL5"/>
    <mergeCell ref="BE5:BE6"/>
    <mergeCell ref="BF5:BF6"/>
    <mergeCell ref="BK5:BK6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AP5:AP6"/>
    <mergeCell ref="AQ5:AQ6"/>
    <mergeCell ref="AR5:AT5"/>
    <mergeCell ref="AU5:AU6"/>
    <mergeCell ref="AV5:AV6"/>
    <mergeCell ref="AW5:AW6"/>
    <mergeCell ref="AX5:AX6"/>
    <mergeCell ref="BM4:BT4"/>
    <mergeCell ref="BU4:CB4"/>
    <mergeCell ref="CC4:CI4"/>
    <mergeCell ref="BS5:BS6"/>
    <mergeCell ref="BT5:BT6"/>
    <mergeCell ref="BU5:BU6"/>
    <mergeCell ref="BV5:BV6"/>
    <mergeCell ref="CA5:CA6"/>
    <mergeCell ref="CB5:CB6"/>
    <mergeCell ref="CC5:CC6"/>
    <mergeCell ref="BL5:BL6"/>
    <mergeCell ref="BM5:BM6"/>
    <mergeCell ref="BN5:BN6"/>
    <mergeCell ref="BD5:BD6"/>
    <mergeCell ref="CL5:CL6"/>
    <mergeCell ref="CD5:CD6"/>
    <mergeCell ref="CJ5:CJ6"/>
    <mergeCell ref="CK5:CK6"/>
    <mergeCell ref="CI5:CI6"/>
    <mergeCell ref="CK4:CQ4"/>
    <mergeCell ref="AY5:AY6"/>
    <mergeCell ref="AZ5:BB5"/>
    <mergeCell ref="BG5:BG6"/>
    <mergeCell ref="BH5:BJ5"/>
    <mergeCell ref="BO5:BO6"/>
    <mergeCell ref="BP5:BR5"/>
    <mergeCell ref="BW5:BW6"/>
    <mergeCell ref="BX5:BZ5"/>
    <mergeCell ref="CE5:CE6"/>
    <mergeCell ref="CF5:CH5"/>
    <mergeCell ref="CM5:CM6"/>
    <mergeCell ref="CN5:CP5"/>
    <mergeCell ref="CQ5:CQ6"/>
    <mergeCell ref="AW4:BC4"/>
    <mergeCell ref="BE4:BL4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zoomScale="80" zoomScaleNormal="80" workbookViewId="0">
      <pane xSplit="2" topLeftCell="X1" activePane="topRight" state="frozen"/>
      <selection pane="topRight" sqref="A1:XFD1048576"/>
    </sheetView>
  </sheetViews>
  <sheetFormatPr defaultColWidth="9.140625" defaultRowHeight="15.75" x14ac:dyDescent="0.25"/>
  <cols>
    <col min="1" max="1" width="9.140625" style="876"/>
    <col min="2" max="2" width="18" style="876" customWidth="1"/>
    <col min="3" max="3" width="3.42578125" style="887" customWidth="1"/>
    <col min="4" max="4" width="13" style="876" bestFit="1" customWidth="1"/>
    <col min="5" max="5" width="13.42578125" style="876" bestFit="1" customWidth="1"/>
    <col min="6" max="6" width="13" style="876" bestFit="1" customWidth="1"/>
    <col min="7" max="7" width="17.140625" style="876" customWidth="1"/>
    <col min="8" max="8" width="13" style="876" bestFit="1" customWidth="1"/>
    <col min="9" max="9" width="14.85546875" style="876" bestFit="1" customWidth="1"/>
    <col min="10" max="10" width="13" style="876" bestFit="1" customWidth="1"/>
    <col min="11" max="11" width="15.140625" style="876" bestFit="1" customWidth="1"/>
    <col min="12" max="12" width="13" style="876" bestFit="1" customWidth="1"/>
    <col min="13" max="13" width="13.42578125" style="876" bestFit="1" customWidth="1"/>
    <col min="14" max="14" width="16.5703125" style="876" bestFit="1" customWidth="1"/>
    <col min="15" max="15" width="15" style="876" customWidth="1"/>
    <col min="16" max="16" width="13" style="876" bestFit="1" customWidth="1"/>
    <col min="17" max="17" width="14.85546875" style="876" bestFit="1" customWidth="1"/>
    <col min="18" max="18" width="13" style="876" bestFit="1" customWidth="1"/>
    <col min="19" max="19" width="14.85546875" style="876" bestFit="1" customWidth="1"/>
    <col min="20" max="20" width="13" style="876" bestFit="1" customWidth="1"/>
    <col min="21" max="21" width="13.42578125" style="876" bestFit="1" customWidth="1"/>
    <col min="22" max="22" width="13" style="876" bestFit="1" customWidth="1"/>
    <col min="23" max="23" width="13.42578125" style="876" bestFit="1" customWidth="1"/>
    <col min="24" max="24" width="13" style="876" bestFit="1" customWidth="1"/>
    <col min="25" max="25" width="14.85546875" style="876" bestFit="1" customWidth="1"/>
    <col min="26" max="26" width="13" style="876" bestFit="1" customWidth="1"/>
    <col min="27" max="27" width="14.85546875" style="876" bestFit="1" customWidth="1"/>
    <col min="28" max="28" width="13" style="876" bestFit="1" customWidth="1"/>
    <col min="29" max="29" width="15.42578125" style="876" customWidth="1"/>
    <col min="30" max="30" width="13" style="876" bestFit="1" customWidth="1"/>
    <col min="31" max="31" width="13.42578125" style="876" bestFit="1" customWidth="1"/>
    <col min="32" max="32" width="13" style="876" bestFit="1" customWidth="1"/>
    <col min="33" max="33" width="14.85546875" style="876" bestFit="1" customWidth="1"/>
    <col min="34" max="34" width="13" style="876" bestFit="1" customWidth="1"/>
    <col min="35" max="35" width="14.85546875" style="876" bestFit="1" customWidth="1"/>
    <col min="36" max="36" width="13" style="876" customWidth="1"/>
    <col min="37" max="37" width="13.42578125" style="876" bestFit="1" customWidth="1"/>
    <col min="38" max="38" width="13" style="876" bestFit="1" customWidth="1"/>
    <col min="39" max="39" width="13.42578125" style="876" bestFit="1" customWidth="1"/>
    <col min="40" max="40" width="13" style="876" bestFit="1" customWidth="1"/>
    <col min="41" max="41" width="12.140625" style="876" bestFit="1" customWidth="1"/>
    <col min="42" max="42" width="13" style="876" bestFit="1" customWidth="1"/>
    <col min="43" max="43" width="14.85546875" style="876" bestFit="1" customWidth="1"/>
    <col min="44" max="44" width="13" style="876" bestFit="1" customWidth="1"/>
    <col min="45" max="45" width="16.5703125" style="876" bestFit="1" customWidth="1"/>
    <col min="46" max="46" width="13" style="876" bestFit="1" customWidth="1"/>
    <col min="47" max="47" width="13.42578125" style="876" bestFit="1" customWidth="1"/>
    <col min="48" max="48" width="13" style="876" bestFit="1" customWidth="1"/>
    <col min="49" max="49" width="12.140625" style="876" bestFit="1" customWidth="1"/>
    <col min="50" max="50" width="13" style="876" bestFit="1" customWidth="1"/>
    <col min="51" max="51" width="14.85546875" style="876" bestFit="1" customWidth="1"/>
    <col min="52" max="52" width="13" style="876" bestFit="1" customWidth="1"/>
    <col min="53" max="53" width="14.85546875" style="876" bestFit="1" customWidth="1"/>
    <col min="54" max="55" width="14.85546875" style="876" customWidth="1"/>
    <col min="56" max="56" width="13" style="876" bestFit="1" customWidth="1"/>
    <col min="57" max="57" width="13.42578125" style="876" bestFit="1" customWidth="1"/>
    <col min="58" max="58" width="13" style="876" bestFit="1" customWidth="1"/>
    <col min="59" max="59" width="13.42578125" style="876" bestFit="1" customWidth="1"/>
    <col min="60" max="60" width="13" style="876" bestFit="1" customWidth="1"/>
    <col min="61" max="61" width="14.85546875" style="876" bestFit="1" customWidth="1"/>
    <col min="62" max="62" width="13" style="876" bestFit="1" customWidth="1"/>
    <col min="63" max="63" width="16.5703125" style="876" bestFit="1" customWidth="1"/>
    <col min="64" max="64" width="13" style="876" bestFit="1" customWidth="1"/>
    <col min="65" max="65" width="13.42578125" style="876" bestFit="1" customWidth="1"/>
    <col min="66" max="66" width="13" style="876" bestFit="1" customWidth="1"/>
    <col min="67" max="67" width="13.42578125" style="876" bestFit="1" customWidth="1"/>
    <col min="68" max="68" width="13" style="876" bestFit="1" customWidth="1"/>
    <col min="69" max="69" width="13.42578125" style="876" bestFit="1" customWidth="1"/>
    <col min="70" max="70" width="13" style="876" bestFit="1" customWidth="1"/>
    <col min="71" max="71" width="14.85546875" style="876" bestFit="1" customWidth="1"/>
    <col min="72" max="72" width="13" style="876" bestFit="1" customWidth="1"/>
    <col min="73" max="73" width="13.42578125" style="876" bestFit="1" customWidth="1"/>
    <col min="74" max="74" width="13" style="876" bestFit="1" customWidth="1"/>
    <col min="75" max="75" width="13.42578125" style="876" bestFit="1" customWidth="1"/>
    <col min="76" max="76" width="13" style="876" bestFit="1" customWidth="1"/>
    <col min="77" max="77" width="13.42578125" style="876" bestFit="1" customWidth="1"/>
    <col min="78" max="78" width="13" style="876" bestFit="1" customWidth="1"/>
    <col min="79" max="79" width="14.85546875" style="876" bestFit="1" customWidth="1"/>
    <col min="80" max="80" width="13" style="876" bestFit="1" customWidth="1"/>
    <col min="81" max="81" width="13.42578125" style="876" bestFit="1" customWidth="1"/>
    <col min="82" max="82" width="13" style="876" bestFit="1" customWidth="1"/>
    <col min="83" max="83" width="12.140625" style="876" bestFit="1" customWidth="1"/>
    <col min="84" max="84" width="13" style="876" bestFit="1" customWidth="1"/>
    <col min="85" max="85" width="14.85546875" style="876" bestFit="1" customWidth="1"/>
    <col min="86" max="86" width="13" style="876" bestFit="1" customWidth="1"/>
    <col min="87" max="87" width="14.85546875" style="876" bestFit="1" customWidth="1"/>
    <col min="88" max="88" width="13" style="876" bestFit="1" customWidth="1"/>
    <col min="89" max="89" width="13.42578125" style="876" bestFit="1" customWidth="1"/>
    <col min="90" max="90" width="13" style="876" bestFit="1" customWidth="1"/>
    <col min="91" max="91" width="13.42578125" style="876" bestFit="1" customWidth="1"/>
    <col min="92" max="92" width="13" style="876" bestFit="1" customWidth="1"/>
    <col min="93" max="93" width="14.85546875" style="876" bestFit="1" customWidth="1"/>
    <col min="94" max="94" width="13" style="876" bestFit="1" customWidth="1"/>
    <col min="95" max="95" width="14.85546875" style="876" bestFit="1" customWidth="1"/>
    <col min="96" max="96" width="13" style="876" bestFit="1" customWidth="1"/>
    <col min="97" max="97" width="13.42578125" style="876" bestFit="1" customWidth="1"/>
    <col min="98" max="98" width="13" style="876" bestFit="1" customWidth="1"/>
    <col min="99" max="99" width="13.42578125" style="876" bestFit="1" customWidth="1"/>
    <col min="100" max="100" width="13" style="876" bestFit="1" customWidth="1"/>
    <col min="101" max="101" width="14.85546875" style="876" bestFit="1" customWidth="1"/>
    <col min="102" max="102" width="13" style="876" bestFit="1" customWidth="1"/>
    <col min="103" max="103" width="16.5703125" style="876" bestFit="1" customWidth="1"/>
    <col min="104" max="104" width="13" style="876" bestFit="1" customWidth="1"/>
    <col min="105" max="105" width="13.42578125" style="876" bestFit="1" customWidth="1"/>
    <col min="106" max="16384" width="9.140625" style="876"/>
  </cols>
  <sheetData>
    <row r="1" spans="2:105" x14ac:dyDescent="0.25">
      <c r="B1" s="1644" t="s">
        <v>5972</v>
      </c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4"/>
      <c r="AA1" s="1644"/>
      <c r="AB1" s="1644"/>
      <c r="AC1" s="1644"/>
      <c r="AD1" s="1644"/>
      <c r="AE1" s="1644"/>
      <c r="AF1" s="1644"/>
      <c r="AG1" s="1644"/>
      <c r="AH1" s="1644"/>
      <c r="AI1" s="1644"/>
      <c r="AJ1" s="1644"/>
      <c r="AK1" s="1644"/>
      <c r="AL1" s="1644"/>
      <c r="AM1" s="1644"/>
      <c r="AN1" s="1644"/>
      <c r="AO1" s="1644"/>
      <c r="AP1" s="1644"/>
      <c r="AQ1" s="1644"/>
      <c r="AR1" s="1644"/>
      <c r="AS1" s="1644"/>
      <c r="AT1" s="1644"/>
      <c r="AU1" s="1644"/>
      <c r="AV1" s="1644"/>
      <c r="AW1" s="1644"/>
      <c r="AX1" s="1644"/>
      <c r="AY1" s="1644"/>
      <c r="AZ1" s="1644"/>
      <c r="BA1" s="1644"/>
      <c r="BB1" s="1644"/>
      <c r="BC1" s="1644"/>
      <c r="BD1" s="1644"/>
      <c r="BE1" s="1644"/>
      <c r="BF1" s="1644"/>
      <c r="BG1" s="1644"/>
      <c r="BH1" s="1644"/>
      <c r="BI1" s="1644"/>
      <c r="BJ1" s="1644"/>
      <c r="BK1" s="1644"/>
      <c r="BL1" s="1644"/>
      <c r="BM1" s="1644"/>
      <c r="BN1" s="1644"/>
      <c r="BO1" s="1644"/>
      <c r="BP1" s="1644"/>
      <c r="BQ1" s="1644"/>
      <c r="BR1" s="1644"/>
      <c r="BS1" s="1644"/>
      <c r="BT1" s="1644"/>
      <c r="BU1" s="1644"/>
      <c r="BV1" s="1644"/>
      <c r="BW1" s="1644"/>
      <c r="BX1" s="1644"/>
      <c r="BY1" s="1644"/>
      <c r="BZ1" s="1644"/>
      <c r="CA1" s="1644"/>
      <c r="CB1" s="1644"/>
      <c r="CC1" s="1644"/>
      <c r="CD1" s="1644"/>
      <c r="CE1" s="1644"/>
      <c r="CF1" s="1644"/>
      <c r="CG1" s="1644"/>
      <c r="CH1" s="1644"/>
      <c r="CI1" s="1644"/>
      <c r="CJ1" s="1644"/>
      <c r="CK1" s="1644"/>
      <c r="CL1" s="1644"/>
      <c r="CM1" s="1644"/>
      <c r="CN1" s="1644"/>
      <c r="CO1" s="1644"/>
      <c r="CP1" s="1644"/>
      <c r="CQ1" s="1644"/>
      <c r="CR1" s="1644"/>
      <c r="CS1" s="1644"/>
      <c r="CT1" s="1644"/>
      <c r="CU1" s="1644"/>
      <c r="CV1" s="1644"/>
      <c r="CW1" s="1644"/>
      <c r="CX1" s="1644"/>
      <c r="CY1" s="1644"/>
    </row>
    <row r="2" spans="2:105" x14ac:dyDescent="0.25">
      <c r="B2" s="1644" t="s">
        <v>5973</v>
      </c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  <c r="P2" s="1644"/>
      <c r="Q2" s="1644"/>
      <c r="R2" s="1644"/>
      <c r="S2" s="1644"/>
      <c r="T2" s="1644"/>
      <c r="U2" s="1644"/>
      <c r="V2" s="1644"/>
      <c r="W2" s="1644"/>
      <c r="X2" s="1644"/>
      <c r="Y2" s="1644"/>
      <c r="Z2" s="1644"/>
      <c r="AA2" s="1644"/>
      <c r="AB2" s="1644"/>
      <c r="AC2" s="1644"/>
      <c r="AD2" s="1644"/>
      <c r="AE2" s="1644"/>
      <c r="AF2" s="1644"/>
      <c r="AG2" s="1644"/>
      <c r="AH2" s="1644"/>
      <c r="AI2" s="1644"/>
      <c r="AJ2" s="1644"/>
      <c r="AK2" s="1644"/>
      <c r="AL2" s="1644"/>
      <c r="AM2" s="1644"/>
      <c r="AN2" s="1644"/>
      <c r="AO2" s="1644"/>
      <c r="AP2" s="1644"/>
      <c r="AQ2" s="1644"/>
      <c r="AR2" s="1644"/>
      <c r="AS2" s="1644"/>
      <c r="AT2" s="1644"/>
      <c r="AU2" s="1644"/>
      <c r="AV2" s="1644"/>
      <c r="AW2" s="1644"/>
      <c r="AX2" s="1644"/>
      <c r="AY2" s="1644"/>
      <c r="AZ2" s="1644"/>
      <c r="BA2" s="1644"/>
      <c r="BB2" s="1644"/>
      <c r="BC2" s="1644"/>
      <c r="BD2" s="1644"/>
      <c r="BE2" s="1644"/>
      <c r="BF2" s="1644"/>
      <c r="BG2" s="1644"/>
      <c r="BH2" s="1644"/>
      <c r="BI2" s="1644"/>
      <c r="BJ2" s="1644"/>
      <c r="BK2" s="1644"/>
      <c r="BL2" s="1644"/>
      <c r="BM2" s="1644"/>
      <c r="BN2" s="1644"/>
      <c r="BO2" s="1644"/>
      <c r="BP2" s="1644"/>
      <c r="BQ2" s="1644"/>
      <c r="BR2" s="1644"/>
      <c r="BS2" s="1644"/>
      <c r="BT2" s="1644"/>
      <c r="BU2" s="1644"/>
      <c r="BV2" s="1644"/>
      <c r="BW2" s="1644"/>
      <c r="BX2" s="1644"/>
      <c r="BY2" s="1644"/>
      <c r="BZ2" s="1644"/>
      <c r="CA2" s="1644"/>
      <c r="CB2" s="1644"/>
      <c r="CC2" s="1644"/>
      <c r="CD2" s="1644"/>
      <c r="CE2" s="1644"/>
      <c r="CF2" s="1644"/>
      <c r="CG2" s="1644"/>
      <c r="CH2" s="1644"/>
      <c r="CI2" s="1644"/>
      <c r="CJ2" s="1644"/>
      <c r="CK2" s="1644"/>
      <c r="CL2" s="1644"/>
      <c r="CM2" s="1644"/>
      <c r="CN2" s="1644"/>
      <c r="CO2" s="1644"/>
      <c r="CP2" s="1644"/>
      <c r="CQ2" s="1644"/>
      <c r="CR2" s="1644"/>
      <c r="CS2" s="1644"/>
      <c r="CT2" s="1644"/>
      <c r="CU2" s="1644"/>
      <c r="CV2" s="1644"/>
      <c r="CW2" s="1644"/>
      <c r="CX2" s="1644"/>
      <c r="CY2" s="1644"/>
    </row>
    <row r="4" spans="2:105" x14ac:dyDescent="0.25">
      <c r="B4" s="1645" t="s">
        <v>5961</v>
      </c>
      <c r="C4" s="885"/>
      <c r="D4" s="1646">
        <v>43831</v>
      </c>
      <c r="E4" s="1647"/>
      <c r="F4" s="1647"/>
      <c r="G4" s="1647"/>
      <c r="H4" s="1647"/>
      <c r="I4" s="1647"/>
      <c r="J4" s="1647"/>
      <c r="K4" s="1641"/>
      <c r="L4" s="1648">
        <v>43862</v>
      </c>
      <c r="M4" s="1651"/>
      <c r="N4" s="1651"/>
      <c r="O4" s="1651"/>
      <c r="P4" s="1651"/>
      <c r="Q4" s="1651"/>
      <c r="R4" s="1651"/>
      <c r="S4" s="1643"/>
      <c r="T4" s="1646">
        <v>43891</v>
      </c>
      <c r="U4" s="1647"/>
      <c r="V4" s="1647"/>
      <c r="W4" s="1647"/>
      <c r="X4" s="1647"/>
      <c r="Y4" s="1647"/>
      <c r="Z4" s="1647"/>
      <c r="AA4" s="1641"/>
      <c r="AB4" s="1648">
        <v>43922</v>
      </c>
      <c r="AC4" s="1651"/>
      <c r="AD4" s="1651"/>
      <c r="AE4" s="1651"/>
      <c r="AF4" s="1651"/>
      <c r="AG4" s="1651"/>
      <c r="AH4" s="1651"/>
      <c r="AI4" s="1643"/>
      <c r="AJ4" s="1420"/>
      <c r="AK4" s="1420"/>
      <c r="AL4" s="1646">
        <v>43952</v>
      </c>
      <c r="AM4" s="1647"/>
      <c r="AN4" s="1647"/>
      <c r="AO4" s="1647"/>
      <c r="AP4" s="1647"/>
      <c r="AQ4" s="1647"/>
      <c r="AR4" s="1647"/>
      <c r="AS4" s="1641"/>
      <c r="AT4" s="1648">
        <v>43983</v>
      </c>
      <c r="AU4" s="1651"/>
      <c r="AV4" s="1651"/>
      <c r="AW4" s="1651"/>
      <c r="AX4" s="1651"/>
      <c r="AY4" s="1651"/>
      <c r="AZ4" s="1651"/>
      <c r="BA4" s="1643"/>
      <c r="BB4" s="1421"/>
      <c r="BC4" s="1421"/>
      <c r="BD4" s="1646">
        <v>44013</v>
      </c>
      <c r="BE4" s="1647"/>
      <c r="BF4" s="1647"/>
      <c r="BG4" s="1647"/>
      <c r="BH4" s="1647"/>
      <c r="BI4" s="1647"/>
      <c r="BJ4" s="1647"/>
      <c r="BK4" s="1641"/>
      <c r="BL4" s="1648">
        <v>44044</v>
      </c>
      <c r="BM4" s="1651"/>
      <c r="BN4" s="1651"/>
      <c r="BO4" s="1651"/>
      <c r="BP4" s="1651"/>
      <c r="BQ4" s="1651"/>
      <c r="BR4" s="1651"/>
      <c r="BS4" s="1643"/>
      <c r="BT4" s="1646">
        <v>44075</v>
      </c>
      <c r="BU4" s="1647"/>
      <c r="BV4" s="1647"/>
      <c r="BW4" s="1647"/>
      <c r="BX4" s="1647"/>
      <c r="BY4" s="1647"/>
      <c r="BZ4" s="1647"/>
      <c r="CA4" s="1641"/>
      <c r="CB4" s="1648">
        <v>44105</v>
      </c>
      <c r="CC4" s="1651"/>
      <c r="CD4" s="1651"/>
      <c r="CE4" s="1651"/>
      <c r="CF4" s="1651"/>
      <c r="CG4" s="1651"/>
      <c r="CH4" s="1651"/>
      <c r="CI4" s="1643"/>
      <c r="CJ4" s="1646">
        <v>44136</v>
      </c>
      <c r="CK4" s="1647"/>
      <c r="CL4" s="1647"/>
      <c r="CM4" s="1647"/>
      <c r="CN4" s="1647"/>
      <c r="CO4" s="1647"/>
      <c r="CP4" s="1647"/>
      <c r="CQ4" s="1641"/>
      <c r="CR4" s="1648">
        <v>44166</v>
      </c>
      <c r="CS4" s="1651"/>
      <c r="CT4" s="1651"/>
      <c r="CU4" s="1651"/>
      <c r="CV4" s="1651"/>
      <c r="CW4" s="1651"/>
      <c r="CX4" s="1651"/>
      <c r="CY4" s="1643"/>
      <c r="CZ4" s="882"/>
      <c r="DA4" s="882"/>
    </row>
    <row r="5" spans="2:105" x14ac:dyDescent="0.25">
      <c r="B5" s="1645"/>
      <c r="C5" s="885"/>
      <c r="D5" s="1640" t="s">
        <v>3441</v>
      </c>
      <c r="E5" s="1641"/>
      <c r="F5" s="1640" t="s">
        <v>5964</v>
      </c>
      <c r="G5" s="1641"/>
      <c r="H5" s="1640" t="s">
        <v>5965</v>
      </c>
      <c r="I5" s="1641"/>
      <c r="J5" s="1640" t="s">
        <v>5966</v>
      </c>
      <c r="K5" s="1641"/>
      <c r="L5" s="1642" t="s">
        <v>3441</v>
      </c>
      <c r="M5" s="1643"/>
      <c r="N5" s="1642" t="s">
        <v>5964</v>
      </c>
      <c r="O5" s="1643"/>
      <c r="P5" s="1642" t="s">
        <v>5965</v>
      </c>
      <c r="Q5" s="1643"/>
      <c r="R5" s="1642" t="s">
        <v>5966</v>
      </c>
      <c r="S5" s="1643"/>
      <c r="T5" s="1640" t="s">
        <v>3441</v>
      </c>
      <c r="U5" s="1641"/>
      <c r="V5" s="1640" t="s">
        <v>5964</v>
      </c>
      <c r="W5" s="1641"/>
      <c r="X5" s="1640" t="s">
        <v>5965</v>
      </c>
      <c r="Y5" s="1641"/>
      <c r="Z5" s="1640" t="s">
        <v>5966</v>
      </c>
      <c r="AA5" s="1641"/>
      <c r="AB5" s="1642" t="s">
        <v>3441</v>
      </c>
      <c r="AC5" s="1643"/>
      <c r="AD5" s="1642" t="s">
        <v>5964</v>
      </c>
      <c r="AE5" s="1643"/>
      <c r="AF5" s="1642" t="s">
        <v>5965</v>
      </c>
      <c r="AG5" s="1643"/>
      <c r="AH5" s="1642" t="s">
        <v>5966</v>
      </c>
      <c r="AI5" s="1643"/>
      <c r="AJ5" s="1640" t="s">
        <v>5971</v>
      </c>
      <c r="AK5" s="1641"/>
      <c r="AL5" s="1640" t="s">
        <v>3441</v>
      </c>
      <c r="AM5" s="1641"/>
      <c r="AN5" s="1640" t="s">
        <v>5964</v>
      </c>
      <c r="AO5" s="1641"/>
      <c r="AP5" s="1640" t="s">
        <v>5965</v>
      </c>
      <c r="AQ5" s="1641"/>
      <c r="AR5" s="1640" t="s">
        <v>5966</v>
      </c>
      <c r="AS5" s="1641"/>
      <c r="AT5" s="1642" t="s">
        <v>3441</v>
      </c>
      <c r="AU5" s="1643"/>
      <c r="AV5" s="1642" t="s">
        <v>5964</v>
      </c>
      <c r="AW5" s="1643"/>
      <c r="AX5" s="1642" t="s">
        <v>5965</v>
      </c>
      <c r="AY5" s="1643"/>
      <c r="AZ5" s="1642" t="s">
        <v>5966</v>
      </c>
      <c r="BA5" s="1643"/>
      <c r="BB5" s="1421"/>
      <c r="BC5" s="1421"/>
      <c r="BD5" s="1640" t="s">
        <v>3441</v>
      </c>
      <c r="BE5" s="1641"/>
      <c r="BF5" s="1640" t="s">
        <v>5964</v>
      </c>
      <c r="BG5" s="1641"/>
      <c r="BH5" s="1640" t="s">
        <v>5965</v>
      </c>
      <c r="BI5" s="1641"/>
      <c r="BJ5" s="1640" t="s">
        <v>5966</v>
      </c>
      <c r="BK5" s="1641"/>
      <c r="BL5" s="1642" t="s">
        <v>3441</v>
      </c>
      <c r="BM5" s="1643"/>
      <c r="BN5" s="1642" t="s">
        <v>5964</v>
      </c>
      <c r="BO5" s="1643"/>
      <c r="BP5" s="1642" t="s">
        <v>5965</v>
      </c>
      <c r="BQ5" s="1643"/>
      <c r="BR5" s="1642" t="s">
        <v>5966</v>
      </c>
      <c r="BS5" s="1643"/>
      <c r="BT5" s="1640" t="s">
        <v>3441</v>
      </c>
      <c r="BU5" s="1641"/>
      <c r="BV5" s="1640" t="s">
        <v>5964</v>
      </c>
      <c r="BW5" s="1641"/>
      <c r="BX5" s="1640" t="s">
        <v>5965</v>
      </c>
      <c r="BY5" s="1641"/>
      <c r="BZ5" s="1640" t="s">
        <v>5966</v>
      </c>
      <c r="CA5" s="1641"/>
      <c r="CB5" s="1642" t="s">
        <v>3441</v>
      </c>
      <c r="CC5" s="1643"/>
      <c r="CD5" s="1642" t="s">
        <v>5964</v>
      </c>
      <c r="CE5" s="1643"/>
      <c r="CF5" s="1642" t="s">
        <v>5965</v>
      </c>
      <c r="CG5" s="1643"/>
      <c r="CH5" s="1642" t="s">
        <v>5966</v>
      </c>
      <c r="CI5" s="1643"/>
      <c r="CJ5" s="1640" t="s">
        <v>3441</v>
      </c>
      <c r="CK5" s="1641"/>
      <c r="CL5" s="1640" t="s">
        <v>5964</v>
      </c>
      <c r="CM5" s="1641"/>
      <c r="CN5" s="1640" t="s">
        <v>5965</v>
      </c>
      <c r="CO5" s="1641"/>
      <c r="CP5" s="1640" t="s">
        <v>5966</v>
      </c>
      <c r="CQ5" s="1641"/>
      <c r="CR5" s="1642" t="s">
        <v>3441</v>
      </c>
      <c r="CS5" s="1643"/>
      <c r="CT5" s="1642" t="s">
        <v>5964</v>
      </c>
      <c r="CU5" s="1643"/>
      <c r="CV5" s="1642" t="s">
        <v>5965</v>
      </c>
      <c r="CW5" s="1643"/>
      <c r="CX5" s="1642" t="s">
        <v>5966</v>
      </c>
      <c r="CY5" s="1643"/>
      <c r="CZ5" s="882" t="s">
        <v>6102</v>
      </c>
      <c r="DA5" s="882"/>
    </row>
    <row r="6" spans="2:105" x14ac:dyDescent="0.25">
      <c r="B6" s="1645"/>
      <c r="C6" s="885"/>
      <c r="D6" s="877" t="s">
        <v>5962</v>
      </c>
      <c r="E6" s="878" t="s">
        <v>5963</v>
      </c>
      <c r="F6" s="878" t="s">
        <v>5962</v>
      </c>
      <c r="G6" s="878" t="s">
        <v>5963</v>
      </c>
      <c r="H6" s="878" t="s">
        <v>5962</v>
      </c>
      <c r="I6" s="878" t="s">
        <v>5963</v>
      </c>
      <c r="J6" s="878" t="s">
        <v>5962</v>
      </c>
      <c r="K6" s="878" t="s">
        <v>5963</v>
      </c>
      <c r="L6" s="878" t="s">
        <v>5962</v>
      </c>
      <c r="M6" s="878" t="s">
        <v>5963</v>
      </c>
      <c r="N6" s="878" t="s">
        <v>5962</v>
      </c>
      <c r="O6" s="878" t="s">
        <v>5963</v>
      </c>
      <c r="P6" s="878" t="s">
        <v>5962</v>
      </c>
      <c r="Q6" s="878" t="s">
        <v>5963</v>
      </c>
      <c r="R6" s="878" t="s">
        <v>5962</v>
      </c>
      <c r="S6" s="878" t="s">
        <v>5963</v>
      </c>
      <c r="T6" s="878" t="s">
        <v>5962</v>
      </c>
      <c r="U6" s="878" t="s">
        <v>5963</v>
      </c>
      <c r="V6" s="878" t="s">
        <v>5962</v>
      </c>
      <c r="W6" s="878" t="s">
        <v>5963</v>
      </c>
      <c r="X6" s="878" t="s">
        <v>5962</v>
      </c>
      <c r="Y6" s="878" t="s">
        <v>5963</v>
      </c>
      <c r="Z6" s="878" t="s">
        <v>5962</v>
      </c>
      <c r="AA6" s="878" t="s">
        <v>5963</v>
      </c>
      <c r="AB6" s="878" t="s">
        <v>5962</v>
      </c>
      <c r="AC6" s="878" t="s">
        <v>5963</v>
      </c>
      <c r="AD6" s="878" t="s">
        <v>5962</v>
      </c>
      <c r="AE6" s="878" t="s">
        <v>5963</v>
      </c>
      <c r="AF6" s="878" t="s">
        <v>5962</v>
      </c>
      <c r="AG6" s="878" t="s">
        <v>5963</v>
      </c>
      <c r="AH6" s="878" t="s">
        <v>5962</v>
      </c>
      <c r="AI6" s="878" t="s">
        <v>5963</v>
      </c>
      <c r="AJ6" s="878" t="s">
        <v>5962</v>
      </c>
      <c r="AK6" s="878" t="s">
        <v>5963</v>
      </c>
      <c r="AL6" s="878" t="s">
        <v>5962</v>
      </c>
      <c r="AM6" s="878" t="s">
        <v>5963</v>
      </c>
      <c r="AN6" s="878" t="s">
        <v>5962</v>
      </c>
      <c r="AO6" s="878" t="s">
        <v>5963</v>
      </c>
      <c r="AP6" s="878" t="s">
        <v>5962</v>
      </c>
      <c r="AQ6" s="878" t="s">
        <v>5963</v>
      </c>
      <c r="AR6" s="878" t="s">
        <v>5962</v>
      </c>
      <c r="AS6" s="878" t="s">
        <v>5963</v>
      </c>
      <c r="AT6" s="878" t="s">
        <v>5962</v>
      </c>
      <c r="AU6" s="878" t="s">
        <v>5963</v>
      </c>
      <c r="AV6" s="878" t="s">
        <v>5962</v>
      </c>
      <c r="AW6" s="878" t="s">
        <v>5963</v>
      </c>
      <c r="AX6" s="878" t="s">
        <v>5962</v>
      </c>
      <c r="AY6" s="878" t="s">
        <v>5963</v>
      </c>
      <c r="AZ6" s="878" t="s">
        <v>5962</v>
      </c>
      <c r="BA6" s="878" t="s">
        <v>5963</v>
      </c>
      <c r="BB6" s="878"/>
      <c r="BC6" s="878"/>
      <c r="BD6" s="878" t="s">
        <v>5962</v>
      </c>
      <c r="BE6" s="878" t="s">
        <v>5963</v>
      </c>
      <c r="BF6" s="878" t="s">
        <v>5962</v>
      </c>
      <c r="BG6" s="878" t="s">
        <v>5963</v>
      </c>
      <c r="BH6" s="878" t="s">
        <v>5962</v>
      </c>
      <c r="BI6" s="878" t="s">
        <v>5963</v>
      </c>
      <c r="BJ6" s="878" t="s">
        <v>5962</v>
      </c>
      <c r="BK6" s="878" t="s">
        <v>5963</v>
      </c>
      <c r="BL6" s="878" t="s">
        <v>5962</v>
      </c>
      <c r="BM6" s="878" t="s">
        <v>5963</v>
      </c>
      <c r="BN6" s="878" t="s">
        <v>5962</v>
      </c>
      <c r="BO6" s="878" t="s">
        <v>5963</v>
      </c>
      <c r="BP6" s="878" t="s">
        <v>5962</v>
      </c>
      <c r="BQ6" s="878" t="s">
        <v>5963</v>
      </c>
      <c r="BR6" s="878" t="s">
        <v>5962</v>
      </c>
      <c r="BS6" s="878" t="s">
        <v>5963</v>
      </c>
      <c r="BT6" s="878" t="s">
        <v>5962</v>
      </c>
      <c r="BU6" s="878" t="s">
        <v>5963</v>
      </c>
      <c r="BV6" s="878" t="s">
        <v>5962</v>
      </c>
      <c r="BW6" s="878" t="s">
        <v>5963</v>
      </c>
      <c r="BX6" s="878" t="s">
        <v>5962</v>
      </c>
      <c r="BY6" s="878" t="s">
        <v>5963</v>
      </c>
      <c r="BZ6" s="878" t="s">
        <v>5962</v>
      </c>
      <c r="CA6" s="878" t="s">
        <v>5963</v>
      </c>
      <c r="CB6" s="878" t="s">
        <v>5962</v>
      </c>
      <c r="CC6" s="878" t="s">
        <v>5963</v>
      </c>
      <c r="CD6" s="878" t="s">
        <v>5962</v>
      </c>
      <c r="CE6" s="878" t="s">
        <v>5963</v>
      </c>
      <c r="CF6" s="878" t="s">
        <v>5962</v>
      </c>
      <c r="CG6" s="878" t="s">
        <v>5963</v>
      </c>
      <c r="CH6" s="878" t="s">
        <v>5962</v>
      </c>
      <c r="CI6" s="878" t="s">
        <v>5963</v>
      </c>
      <c r="CJ6" s="878" t="s">
        <v>5962</v>
      </c>
      <c r="CK6" s="878" t="s">
        <v>5963</v>
      </c>
      <c r="CL6" s="878" t="s">
        <v>5962</v>
      </c>
      <c r="CM6" s="878" t="s">
        <v>5963</v>
      </c>
      <c r="CN6" s="878" t="s">
        <v>5962</v>
      </c>
      <c r="CO6" s="878" t="s">
        <v>5963</v>
      </c>
      <c r="CP6" s="878" t="s">
        <v>5962</v>
      </c>
      <c r="CQ6" s="878" t="s">
        <v>5963</v>
      </c>
      <c r="CR6" s="878" t="s">
        <v>5962</v>
      </c>
      <c r="CS6" s="878" t="s">
        <v>5963</v>
      </c>
      <c r="CT6" s="878" t="s">
        <v>5962</v>
      </c>
      <c r="CU6" s="878" t="s">
        <v>5963</v>
      </c>
      <c r="CV6" s="878" t="s">
        <v>5962</v>
      </c>
      <c r="CW6" s="878" t="s">
        <v>5963</v>
      </c>
      <c r="CX6" s="878" t="s">
        <v>5962</v>
      </c>
      <c r="CY6" s="878" t="s">
        <v>5963</v>
      </c>
      <c r="CZ6" s="882" t="s">
        <v>5962</v>
      </c>
      <c r="DA6" s="882" t="s">
        <v>5963</v>
      </c>
    </row>
    <row r="7" spans="2:105" x14ac:dyDescent="0.25">
      <c r="B7" s="878" t="s">
        <v>5967</v>
      </c>
      <c r="C7" s="886"/>
      <c r="D7" s="879">
        <v>43871</v>
      </c>
      <c r="E7" s="880">
        <v>10344827</v>
      </c>
      <c r="F7" s="879">
        <v>43871</v>
      </c>
      <c r="G7" s="880">
        <f>3493105+38156</f>
        <v>3531261</v>
      </c>
      <c r="H7" s="879">
        <v>43871</v>
      </c>
      <c r="I7" s="881">
        <v>144653043</v>
      </c>
      <c r="J7" s="879">
        <v>43889</v>
      </c>
      <c r="K7" s="888">
        <v>167534117</v>
      </c>
      <c r="L7" s="879">
        <v>43900</v>
      </c>
      <c r="M7" s="880">
        <v>10344827</v>
      </c>
      <c r="N7" s="879">
        <v>43900</v>
      </c>
      <c r="O7" s="880">
        <f>32997+179110</f>
        <v>212107</v>
      </c>
      <c r="P7" s="879">
        <v>43900</v>
      </c>
      <c r="Q7" s="880">
        <v>144653043</v>
      </c>
      <c r="R7" s="879">
        <v>43900</v>
      </c>
      <c r="S7" s="880">
        <v>637441110</v>
      </c>
      <c r="T7" s="879">
        <v>43930</v>
      </c>
      <c r="U7" s="889">
        <v>10420914</v>
      </c>
      <c r="V7" s="879">
        <v>43930</v>
      </c>
      <c r="W7" s="889">
        <f>13665004+329835</f>
        <v>13994839</v>
      </c>
      <c r="X7" s="879">
        <v>43930</v>
      </c>
      <c r="Y7" s="889">
        <v>144653043</v>
      </c>
      <c r="Z7" s="879">
        <v>43951</v>
      </c>
      <c r="AA7" s="889">
        <v>710738159</v>
      </c>
      <c r="AB7" s="879">
        <v>43962</v>
      </c>
      <c r="AC7" s="889">
        <v>7743503</v>
      </c>
      <c r="AD7" s="879">
        <v>43959</v>
      </c>
      <c r="AE7" s="889">
        <v>136363</v>
      </c>
      <c r="AF7" s="879">
        <v>43959</v>
      </c>
      <c r="AG7" s="889">
        <v>109654465</v>
      </c>
      <c r="AH7" s="879">
        <v>43980</v>
      </c>
      <c r="AI7" s="889">
        <v>757752124</v>
      </c>
      <c r="AJ7" s="879">
        <v>43992</v>
      </c>
      <c r="AK7" s="889">
        <f>15525456</f>
        <v>15525456</v>
      </c>
      <c r="AL7" s="879">
        <v>43992</v>
      </c>
      <c r="AM7" s="889">
        <v>7743503</v>
      </c>
      <c r="AN7" s="879">
        <v>43992</v>
      </c>
      <c r="AO7" s="889">
        <f>1392501+811692</f>
        <v>2204193</v>
      </c>
      <c r="AP7" s="879">
        <v>43992</v>
      </c>
      <c r="AQ7" s="889">
        <v>109654465</v>
      </c>
      <c r="AR7" s="879">
        <v>44012</v>
      </c>
      <c r="AS7" s="889">
        <v>1131860548</v>
      </c>
      <c r="AT7" s="879">
        <v>44022</v>
      </c>
      <c r="AU7" s="889">
        <v>9679379</v>
      </c>
      <c r="AV7" s="879">
        <v>44022</v>
      </c>
      <c r="AW7" s="889">
        <v>129009</v>
      </c>
      <c r="AX7" s="879">
        <v>44022</v>
      </c>
      <c r="AY7" s="889">
        <v>109654465</v>
      </c>
      <c r="AZ7" s="879">
        <v>44042</v>
      </c>
      <c r="BA7" s="889">
        <v>594010877</v>
      </c>
      <c r="BB7" s="889"/>
      <c r="BC7" s="889"/>
      <c r="BD7" s="879">
        <v>44053</v>
      </c>
      <c r="BE7" s="889">
        <v>10005727</v>
      </c>
      <c r="BF7" s="879">
        <v>44053</v>
      </c>
      <c r="BG7" s="889">
        <v>27794</v>
      </c>
      <c r="BH7" s="879">
        <v>44053</v>
      </c>
      <c r="BI7" s="889">
        <v>109654465</v>
      </c>
      <c r="BJ7" s="882" t="s">
        <v>125</v>
      </c>
      <c r="BK7" s="882" t="s">
        <v>125</v>
      </c>
      <c r="BL7" s="879">
        <v>44084</v>
      </c>
      <c r="BM7" s="889">
        <f>9729074</f>
        <v>9729074</v>
      </c>
      <c r="BN7" s="879">
        <v>44084</v>
      </c>
      <c r="BO7" s="889">
        <f>202332+15780000</f>
        <v>15982332</v>
      </c>
      <c r="BP7" s="879">
        <v>44084</v>
      </c>
      <c r="BQ7" s="889">
        <v>78324618</v>
      </c>
      <c r="BR7" s="879">
        <v>44102</v>
      </c>
      <c r="BS7" s="889">
        <v>325042760</v>
      </c>
      <c r="BT7" s="879">
        <v>44113</v>
      </c>
      <c r="BU7" s="889">
        <v>8387132</v>
      </c>
      <c r="BV7" s="882" t="s">
        <v>125</v>
      </c>
      <c r="BW7" s="882" t="s">
        <v>125</v>
      </c>
      <c r="BX7" s="879">
        <v>44113</v>
      </c>
      <c r="BY7" s="889">
        <v>78324618</v>
      </c>
      <c r="BZ7" s="879">
        <v>44131</v>
      </c>
      <c r="CA7" s="889">
        <v>897813692</v>
      </c>
      <c r="CB7" s="879">
        <v>44145</v>
      </c>
      <c r="CC7" s="889">
        <v>10466983</v>
      </c>
      <c r="CD7" s="882">
        <v>0</v>
      </c>
      <c r="CE7" s="882">
        <v>0</v>
      </c>
      <c r="CF7" s="879">
        <v>44145</v>
      </c>
      <c r="CG7" s="889">
        <v>46994770</v>
      </c>
      <c r="CH7" s="879">
        <v>44165</v>
      </c>
      <c r="CI7" s="889">
        <v>104342364</v>
      </c>
      <c r="CJ7" s="879">
        <v>44175</v>
      </c>
      <c r="CK7" s="889">
        <f>10446984</f>
        <v>10446984</v>
      </c>
      <c r="CL7" s="879">
        <v>44175</v>
      </c>
      <c r="CM7" s="889">
        <f>32963820</f>
        <v>32963820</v>
      </c>
      <c r="CN7" s="879">
        <v>44175</v>
      </c>
      <c r="CO7" s="889">
        <f>78324618</f>
        <v>78324618</v>
      </c>
      <c r="CP7" s="879">
        <v>44194</v>
      </c>
      <c r="CQ7" s="881">
        <v>338205858</v>
      </c>
      <c r="CR7" s="879">
        <v>44204</v>
      </c>
      <c r="CS7" s="881">
        <v>11282742</v>
      </c>
      <c r="CT7" s="879">
        <v>44204</v>
      </c>
      <c r="CU7" s="881">
        <v>384315</v>
      </c>
      <c r="CV7" s="879">
        <v>44204</v>
      </c>
      <c r="CW7" s="881">
        <v>78324618</v>
      </c>
      <c r="CX7" s="879">
        <v>44225</v>
      </c>
      <c r="CY7" s="881">
        <v>1079967997</v>
      </c>
      <c r="CZ7" s="882"/>
      <c r="DA7" s="882"/>
    </row>
    <row r="8" spans="2:105" x14ac:dyDescent="0.25">
      <c r="B8" s="878"/>
      <c r="C8" s="886"/>
      <c r="D8" s="879"/>
      <c r="E8" s="880"/>
      <c r="F8" s="879"/>
      <c r="G8" s="880"/>
      <c r="H8" s="879"/>
      <c r="I8" s="881"/>
      <c r="J8" s="879"/>
      <c r="K8" s="888"/>
      <c r="L8" s="879"/>
      <c r="M8" s="880"/>
      <c r="N8" s="879"/>
      <c r="O8" s="880"/>
      <c r="P8" s="879"/>
      <c r="Q8" s="880"/>
      <c r="R8" s="879"/>
      <c r="S8" s="880"/>
      <c r="T8" s="879"/>
      <c r="U8" s="889"/>
      <c r="V8" s="879"/>
      <c r="W8" s="889"/>
      <c r="X8" s="879"/>
      <c r="Y8" s="889"/>
      <c r="Z8" s="879"/>
      <c r="AA8" s="889"/>
      <c r="AB8" s="879"/>
      <c r="AC8" s="889"/>
      <c r="AD8" s="879"/>
      <c r="AE8" s="889"/>
      <c r="AF8" s="879"/>
      <c r="AG8" s="889"/>
      <c r="AH8" s="879"/>
      <c r="AI8" s="889"/>
      <c r="AJ8" s="879"/>
      <c r="AK8" s="889"/>
      <c r="AL8" s="879"/>
      <c r="AM8" s="889"/>
      <c r="AN8" s="879"/>
      <c r="AO8" s="889"/>
      <c r="AP8" s="879"/>
      <c r="AQ8" s="889"/>
      <c r="AR8" s="879"/>
      <c r="AS8" s="889"/>
      <c r="AT8" s="879"/>
      <c r="AU8" s="889"/>
      <c r="AV8" s="879"/>
      <c r="AW8" s="889"/>
      <c r="AX8" s="879"/>
      <c r="AY8" s="889"/>
      <c r="AZ8" s="879"/>
      <c r="BA8" s="889"/>
      <c r="BB8" s="889"/>
      <c r="BC8" s="889"/>
      <c r="BD8" s="879"/>
      <c r="BE8" s="889"/>
      <c r="BF8" s="879"/>
      <c r="BG8" s="889"/>
      <c r="BH8" s="879"/>
      <c r="BI8" s="889"/>
      <c r="BJ8" s="882"/>
      <c r="BK8" s="882"/>
      <c r="BL8" s="879"/>
      <c r="BM8" s="889"/>
      <c r="BN8" s="879"/>
      <c r="BO8" s="889"/>
      <c r="BP8" s="879"/>
      <c r="BQ8" s="889"/>
      <c r="BR8" s="879"/>
      <c r="BS8" s="889"/>
      <c r="BT8" s="879"/>
      <c r="BU8" s="889"/>
      <c r="BV8" s="882"/>
      <c r="BW8" s="882"/>
      <c r="BX8" s="879"/>
      <c r="BY8" s="889"/>
      <c r="BZ8" s="879"/>
      <c r="CA8" s="889"/>
      <c r="CB8" s="879"/>
      <c r="CC8" s="889"/>
      <c r="CD8" s="882"/>
      <c r="CE8" s="882"/>
      <c r="CF8" s="879"/>
      <c r="CG8" s="889"/>
      <c r="CH8" s="879"/>
      <c r="CI8" s="889"/>
      <c r="CJ8" s="879"/>
      <c r="CK8" s="889"/>
      <c r="CL8" s="879"/>
      <c r="CM8" s="889"/>
      <c r="CN8" s="879"/>
      <c r="CO8" s="889"/>
      <c r="CP8" s="879"/>
      <c r="CQ8" s="881"/>
      <c r="CR8" s="879"/>
      <c r="CS8" s="881"/>
      <c r="CT8" s="879">
        <v>44295</v>
      </c>
      <c r="CU8" s="881">
        <f>286875+7759679</f>
        <v>8046554</v>
      </c>
      <c r="CV8" s="879"/>
      <c r="CW8" s="881"/>
      <c r="CX8" s="879"/>
      <c r="CY8" s="881"/>
      <c r="CZ8" s="882"/>
      <c r="DA8" s="882"/>
    </row>
    <row r="9" spans="2:105" x14ac:dyDescent="0.25">
      <c r="B9" s="878" t="s">
        <v>5968</v>
      </c>
      <c r="C9" s="886"/>
      <c r="D9" s="879">
        <v>44270</v>
      </c>
      <c r="E9" s="881">
        <v>1575000</v>
      </c>
      <c r="F9" s="882"/>
      <c r="G9" s="881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  <c r="AD9" s="882"/>
      <c r="AE9" s="882"/>
      <c r="AF9" s="882"/>
      <c r="AG9" s="882"/>
      <c r="AH9" s="882"/>
      <c r="AI9" s="882"/>
      <c r="AJ9" s="879">
        <v>44133</v>
      </c>
      <c r="AK9" s="881">
        <f>12119614</f>
        <v>12119614</v>
      </c>
      <c r="AL9" s="879">
        <v>44133</v>
      </c>
      <c r="AM9" s="881">
        <f>5741072</f>
        <v>5741072</v>
      </c>
      <c r="AN9" s="882"/>
      <c r="AO9" s="882"/>
      <c r="AP9" s="882"/>
      <c r="AQ9" s="882"/>
      <c r="AR9" s="882"/>
      <c r="AS9" s="882"/>
      <c r="AT9" s="879">
        <v>44130</v>
      </c>
      <c r="AU9" s="881">
        <f>4799586</f>
        <v>4799586</v>
      </c>
      <c r="AV9" s="882"/>
      <c r="AW9" s="882"/>
      <c r="AX9" s="882"/>
      <c r="AY9" s="882"/>
      <c r="AZ9" s="882"/>
      <c r="BA9" s="882"/>
      <c r="BB9" s="882"/>
      <c r="BC9" s="882"/>
      <c r="BD9" s="879">
        <v>44130</v>
      </c>
      <c r="BE9" s="889">
        <v>6636842</v>
      </c>
      <c r="BF9" s="882"/>
      <c r="BG9" s="882"/>
      <c r="BH9" s="882"/>
      <c r="BI9" s="882"/>
      <c r="BJ9" s="882"/>
      <c r="BK9" s="882"/>
      <c r="BL9" s="879">
        <v>44172</v>
      </c>
      <c r="BM9" s="889">
        <f>4239534</f>
        <v>4239534</v>
      </c>
      <c r="BN9" s="882"/>
      <c r="BO9" s="882"/>
      <c r="BP9" s="882"/>
      <c r="BQ9" s="882"/>
      <c r="BR9" s="882"/>
      <c r="BS9" s="882"/>
      <c r="BT9" s="879">
        <v>44172</v>
      </c>
      <c r="BU9" s="889">
        <v>5512536</v>
      </c>
      <c r="BV9" s="882"/>
      <c r="BW9" s="882"/>
      <c r="BX9" s="882"/>
      <c r="BY9" s="882"/>
      <c r="BZ9" s="882"/>
      <c r="CA9" s="882"/>
      <c r="CB9" s="882"/>
      <c r="CC9" s="882"/>
      <c r="CD9" s="882"/>
      <c r="CE9" s="882"/>
      <c r="CF9" s="882"/>
      <c r="CG9" s="882"/>
      <c r="CH9" s="882"/>
      <c r="CI9" s="882"/>
      <c r="CJ9" s="882"/>
      <c r="CK9" s="882"/>
      <c r="CL9" s="882"/>
      <c r="CM9" s="882"/>
      <c r="CN9" s="882"/>
      <c r="CO9" s="882"/>
      <c r="CP9" s="882"/>
      <c r="CQ9" s="882"/>
      <c r="CR9" s="882"/>
      <c r="CS9" s="882"/>
      <c r="CT9" s="879">
        <v>44237</v>
      </c>
      <c r="CU9" s="881">
        <v>128000</v>
      </c>
      <c r="CV9" s="882"/>
      <c r="CW9" s="882"/>
      <c r="CX9" s="882"/>
      <c r="CY9" s="882"/>
      <c r="CZ9" s="879">
        <v>44312</v>
      </c>
      <c r="DA9" s="881">
        <v>59503601</v>
      </c>
    </row>
    <row r="10" spans="2:105" x14ac:dyDescent="0.25">
      <c r="B10" s="878"/>
      <c r="C10" s="886"/>
      <c r="D10" s="879"/>
      <c r="E10" s="882"/>
      <c r="F10" s="882"/>
      <c r="G10" s="881"/>
      <c r="H10" s="882"/>
      <c r="I10" s="882"/>
      <c r="J10" s="882"/>
      <c r="K10" s="882"/>
      <c r="L10" s="882"/>
      <c r="M10" s="882"/>
      <c r="N10" s="882"/>
      <c r="O10" s="882"/>
      <c r="P10" s="882"/>
      <c r="Q10" s="882"/>
      <c r="R10" s="882"/>
      <c r="S10" s="882"/>
      <c r="T10" s="882"/>
      <c r="U10" s="882"/>
      <c r="V10" s="882"/>
      <c r="W10" s="882"/>
      <c r="X10" s="882"/>
      <c r="Y10" s="882"/>
      <c r="Z10" s="882"/>
      <c r="AA10" s="882"/>
      <c r="AB10" s="882"/>
      <c r="AC10" s="882"/>
      <c r="AD10" s="882"/>
      <c r="AE10" s="882"/>
      <c r="AF10" s="882"/>
      <c r="AG10" s="882"/>
      <c r="AH10" s="882"/>
      <c r="AI10" s="882"/>
      <c r="AJ10" s="879"/>
      <c r="AK10" s="881"/>
      <c r="AL10" s="879">
        <v>44237</v>
      </c>
      <c r="AM10" s="881">
        <v>675000</v>
      </c>
      <c r="AN10" s="882"/>
      <c r="AO10" s="882"/>
      <c r="AP10" s="882"/>
      <c r="AQ10" s="882"/>
      <c r="AR10" s="882"/>
      <c r="AS10" s="882"/>
      <c r="AT10" s="879"/>
      <c r="AU10" s="881"/>
      <c r="AV10" s="882"/>
      <c r="AW10" s="882"/>
      <c r="AX10" s="882"/>
      <c r="AY10" s="882"/>
      <c r="AZ10" s="882"/>
      <c r="BA10" s="882"/>
      <c r="BB10" s="882"/>
      <c r="BC10" s="882"/>
      <c r="BD10" s="879"/>
      <c r="BE10" s="889"/>
      <c r="BF10" s="882"/>
      <c r="BG10" s="882"/>
      <c r="BH10" s="882"/>
      <c r="BI10" s="882"/>
      <c r="BJ10" s="882"/>
      <c r="BK10" s="882"/>
      <c r="BL10" s="879"/>
      <c r="BM10" s="889"/>
      <c r="BN10" s="882"/>
      <c r="BO10" s="882"/>
      <c r="BP10" s="882"/>
      <c r="BQ10" s="882"/>
      <c r="BR10" s="882"/>
      <c r="BS10" s="882"/>
      <c r="BT10" s="879"/>
      <c r="BU10" s="889"/>
      <c r="BV10" s="882"/>
      <c r="BW10" s="882"/>
      <c r="BX10" s="882"/>
      <c r="BY10" s="882"/>
      <c r="BZ10" s="882"/>
      <c r="CA10" s="882"/>
      <c r="CB10" s="882"/>
      <c r="CC10" s="882"/>
      <c r="CD10" s="882"/>
      <c r="CE10" s="882"/>
      <c r="CF10" s="882"/>
      <c r="CG10" s="882"/>
      <c r="CH10" s="882"/>
      <c r="CI10" s="882"/>
      <c r="CJ10" s="882"/>
      <c r="CK10" s="882"/>
      <c r="CL10" s="882"/>
      <c r="CM10" s="882"/>
      <c r="CN10" s="882"/>
      <c r="CO10" s="882"/>
      <c r="CP10" s="882"/>
      <c r="CQ10" s="882"/>
      <c r="CR10" s="882"/>
      <c r="CS10" s="882"/>
      <c r="CT10" s="879">
        <v>44237</v>
      </c>
      <c r="CU10" s="881">
        <v>1742625</v>
      </c>
      <c r="CV10" s="882"/>
      <c r="CW10" s="882"/>
      <c r="CX10" s="882"/>
      <c r="CY10" s="882"/>
      <c r="CZ10" s="882"/>
      <c r="DA10" s="882"/>
    </row>
    <row r="11" spans="2:105" x14ac:dyDescent="0.25">
      <c r="B11" s="878" t="s">
        <v>5968</v>
      </c>
      <c r="C11" s="886"/>
      <c r="D11" s="879"/>
      <c r="E11" s="882"/>
      <c r="F11" s="882"/>
      <c r="G11" s="881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79">
        <v>44278</v>
      </c>
      <c r="AC11" s="881">
        <v>746500</v>
      </c>
      <c r="AD11" s="882"/>
      <c r="AE11" s="882"/>
      <c r="AF11" s="882"/>
      <c r="AG11" s="882"/>
      <c r="AH11" s="882"/>
      <c r="AI11" s="882"/>
      <c r="AJ11" s="882"/>
      <c r="AK11" s="882"/>
      <c r="AL11" s="879"/>
      <c r="AM11" s="882"/>
      <c r="AN11" s="882"/>
      <c r="AO11" s="882"/>
      <c r="AP11" s="882"/>
      <c r="AQ11" s="882"/>
      <c r="AR11" s="882"/>
      <c r="AS11" s="882"/>
      <c r="AT11" s="882"/>
      <c r="AU11" s="882"/>
      <c r="AV11" s="882"/>
      <c r="AW11" s="882"/>
      <c r="AX11" s="882"/>
      <c r="AY11" s="882"/>
      <c r="AZ11" s="882"/>
      <c r="BA11" s="882"/>
      <c r="BB11" s="882"/>
      <c r="BC11" s="882"/>
      <c r="BD11" s="879">
        <v>44173</v>
      </c>
      <c r="BE11" s="889">
        <f>2096066</f>
        <v>2096066</v>
      </c>
      <c r="BF11" s="882"/>
      <c r="BG11" s="882"/>
      <c r="BH11" s="882"/>
      <c r="BI11" s="882"/>
      <c r="BJ11" s="882"/>
      <c r="BK11" s="882"/>
      <c r="BL11" s="879">
        <v>44278</v>
      </c>
      <c r="BM11" s="881">
        <v>1404658</v>
      </c>
      <c r="BN11" s="882"/>
      <c r="BO11" s="882"/>
      <c r="BP11" s="882"/>
      <c r="BQ11" s="882"/>
      <c r="BR11" s="882"/>
      <c r="BS11" s="882"/>
      <c r="BT11" s="882"/>
      <c r="BU11" s="882"/>
      <c r="BV11" s="882"/>
      <c r="BW11" s="882"/>
      <c r="BX11" s="882"/>
      <c r="BY11" s="882"/>
      <c r="BZ11" s="882"/>
      <c r="CA11" s="882"/>
      <c r="CB11" s="879">
        <v>44278</v>
      </c>
      <c r="CC11" s="881">
        <v>14700894</v>
      </c>
      <c r="CD11" s="882"/>
      <c r="CE11" s="882"/>
      <c r="CF11" s="882"/>
      <c r="CG11" s="882"/>
      <c r="CH11" s="882"/>
      <c r="CI11" s="882"/>
      <c r="CJ11" s="879">
        <v>44278</v>
      </c>
      <c r="CK11" s="881">
        <v>15105572</v>
      </c>
      <c r="CL11" s="882"/>
      <c r="CM11" s="882"/>
      <c r="CN11" s="882"/>
      <c r="CO11" s="882"/>
      <c r="CP11" s="882"/>
      <c r="CQ11" s="882"/>
      <c r="CR11" s="879">
        <v>44278</v>
      </c>
      <c r="CS11" s="881">
        <v>23912582</v>
      </c>
      <c r="CT11" s="882"/>
      <c r="CU11" s="881"/>
      <c r="CV11" s="882"/>
      <c r="CW11" s="882"/>
      <c r="CX11" s="882"/>
      <c r="CY11" s="882"/>
      <c r="CZ11" s="882"/>
      <c r="DA11" s="882"/>
    </row>
    <row r="12" spans="2:105" x14ac:dyDescent="0.25">
      <c r="B12" s="878" t="s">
        <v>5969</v>
      </c>
      <c r="C12" s="886"/>
      <c r="D12" s="879"/>
      <c r="E12" s="882"/>
      <c r="F12" s="879"/>
      <c r="G12" s="881"/>
      <c r="H12" s="879"/>
      <c r="I12" s="881"/>
      <c r="J12" s="882"/>
      <c r="K12" s="882"/>
      <c r="L12" s="882"/>
      <c r="M12" s="882"/>
      <c r="N12" s="882"/>
      <c r="O12" s="882"/>
      <c r="P12" s="882"/>
      <c r="Q12" s="882"/>
      <c r="R12" s="882"/>
      <c r="S12" s="882"/>
      <c r="T12" s="882"/>
      <c r="U12" s="882"/>
      <c r="V12" s="882"/>
      <c r="W12" s="882"/>
      <c r="X12" s="882"/>
      <c r="Y12" s="882"/>
      <c r="Z12" s="882"/>
      <c r="AA12" s="882"/>
      <c r="AB12" s="882"/>
      <c r="AC12" s="882"/>
      <c r="AD12" s="882"/>
      <c r="AE12" s="882"/>
      <c r="AF12" s="882"/>
      <c r="AG12" s="882"/>
      <c r="AH12" s="882"/>
      <c r="AI12" s="882"/>
      <c r="AJ12" s="882"/>
      <c r="AK12" s="882"/>
      <c r="AL12" s="882"/>
      <c r="AM12" s="882"/>
      <c r="AN12" s="882"/>
      <c r="AO12" s="882"/>
      <c r="AP12" s="882"/>
      <c r="AQ12" s="882"/>
      <c r="AR12" s="882"/>
      <c r="AS12" s="882"/>
      <c r="AT12" s="879"/>
      <c r="AU12" s="881"/>
      <c r="AV12" s="882"/>
      <c r="AW12" s="882"/>
      <c r="AX12" s="882"/>
      <c r="AY12" s="882"/>
      <c r="AZ12" s="882"/>
      <c r="BA12" s="882"/>
      <c r="BB12" s="882"/>
      <c r="BC12" s="882"/>
      <c r="BD12" s="879"/>
      <c r="BE12" s="881"/>
      <c r="BF12" s="882"/>
      <c r="BG12" s="882"/>
      <c r="BH12" s="882"/>
      <c r="BI12" s="882"/>
      <c r="BJ12" s="882"/>
      <c r="BK12" s="882"/>
      <c r="BL12" s="879"/>
      <c r="BM12" s="889"/>
      <c r="BN12" s="882"/>
      <c r="BO12" s="882"/>
      <c r="BP12" s="882"/>
      <c r="BQ12" s="882"/>
      <c r="BR12" s="882"/>
      <c r="BS12" s="882"/>
      <c r="BT12" s="882"/>
      <c r="BU12" s="882"/>
      <c r="BV12" s="882"/>
      <c r="BW12" s="882"/>
      <c r="BX12" s="882"/>
      <c r="BY12" s="882"/>
      <c r="BZ12" s="882"/>
      <c r="CA12" s="882"/>
      <c r="CB12" s="882"/>
      <c r="CC12" s="882"/>
      <c r="CD12" s="882"/>
      <c r="CE12" s="882"/>
      <c r="CF12" s="882"/>
      <c r="CG12" s="882"/>
      <c r="CH12" s="882"/>
      <c r="CI12" s="882"/>
      <c r="CJ12" s="882"/>
      <c r="CK12" s="882"/>
      <c r="CL12" s="882"/>
      <c r="CM12" s="882"/>
      <c r="CN12" s="882"/>
      <c r="CO12" s="882"/>
      <c r="CP12" s="882"/>
      <c r="CQ12" s="882"/>
      <c r="CR12" s="882"/>
      <c r="CS12" s="882"/>
      <c r="CT12" s="882"/>
      <c r="CU12" s="882"/>
      <c r="CV12" s="882"/>
      <c r="CW12" s="882"/>
      <c r="CX12" s="882"/>
      <c r="CY12" s="882"/>
      <c r="CZ12" s="882"/>
      <c r="DA12" s="882"/>
    </row>
    <row r="13" spans="2:105" x14ac:dyDescent="0.25">
      <c r="B13" s="878" t="s">
        <v>5970</v>
      </c>
      <c r="C13" s="886"/>
      <c r="D13" s="879"/>
      <c r="E13" s="882"/>
      <c r="F13" s="882"/>
      <c r="G13" s="881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  <c r="AD13" s="882"/>
      <c r="AE13" s="882"/>
      <c r="AF13" s="882"/>
      <c r="AG13" s="882"/>
      <c r="AH13" s="882"/>
      <c r="AI13" s="882"/>
      <c r="AJ13" s="882"/>
      <c r="AK13" s="882"/>
      <c r="AL13" s="882"/>
      <c r="AM13" s="882"/>
      <c r="AN13" s="882"/>
      <c r="AO13" s="882"/>
      <c r="AP13" s="882"/>
      <c r="AQ13" s="882"/>
      <c r="AR13" s="882"/>
      <c r="AS13" s="882"/>
      <c r="AT13" s="882"/>
      <c r="AU13" s="882"/>
      <c r="AV13" s="882"/>
      <c r="AW13" s="882"/>
      <c r="AX13" s="882"/>
      <c r="AY13" s="882"/>
      <c r="AZ13" s="882"/>
      <c r="BA13" s="882"/>
      <c r="BB13" s="882"/>
      <c r="BC13" s="882"/>
      <c r="BD13" s="882"/>
      <c r="BE13" s="882"/>
      <c r="BF13" s="882"/>
      <c r="BG13" s="882"/>
      <c r="BH13" s="882"/>
      <c r="BI13" s="882"/>
      <c r="BJ13" s="882"/>
      <c r="BK13" s="882"/>
      <c r="BL13" s="882"/>
      <c r="BM13" s="882"/>
      <c r="BN13" s="882"/>
      <c r="BO13" s="882"/>
      <c r="BP13" s="882"/>
      <c r="BQ13" s="882"/>
      <c r="BR13" s="882"/>
      <c r="BS13" s="882"/>
      <c r="BT13" s="882"/>
      <c r="BU13" s="882"/>
      <c r="BV13" s="882"/>
      <c r="BW13" s="882"/>
      <c r="BX13" s="882"/>
      <c r="BY13" s="882"/>
      <c r="BZ13" s="882"/>
      <c r="CA13" s="882"/>
      <c r="CB13" s="882"/>
      <c r="CC13" s="882"/>
      <c r="CD13" s="882"/>
      <c r="CE13" s="882"/>
      <c r="CF13" s="882"/>
      <c r="CG13" s="882"/>
      <c r="CH13" s="882"/>
      <c r="CI13" s="882"/>
      <c r="CJ13" s="879">
        <v>44298</v>
      </c>
      <c r="CK13" s="881">
        <v>667969</v>
      </c>
      <c r="CL13" s="882"/>
      <c r="CM13" s="882"/>
      <c r="CN13" s="882"/>
      <c r="CO13" s="882"/>
      <c r="CP13" s="882"/>
      <c r="CQ13" s="882"/>
      <c r="CR13" s="879">
        <v>44298</v>
      </c>
      <c r="CS13" s="881">
        <v>767161</v>
      </c>
      <c r="CT13" s="879">
        <v>44298</v>
      </c>
      <c r="CU13" s="881">
        <v>17396</v>
      </c>
      <c r="CV13" s="882"/>
      <c r="CW13" s="882"/>
      <c r="CX13" s="882"/>
      <c r="CY13" s="882"/>
      <c r="CZ13" s="882"/>
      <c r="DA13" s="882"/>
    </row>
    <row r="14" spans="2:105" s="537" customFormat="1" x14ac:dyDescent="0.25">
      <c r="B14" s="878" t="s">
        <v>5963</v>
      </c>
      <c r="C14" s="886"/>
      <c r="D14" s="890"/>
      <c r="E14" s="891">
        <f>SUM(E7:E13)</f>
        <v>11919827</v>
      </c>
      <c r="F14" s="878"/>
      <c r="G14" s="892">
        <f>SUM(G7:G13)</f>
        <v>3531261</v>
      </c>
      <c r="H14" s="878"/>
      <c r="I14" s="893">
        <f>SUM(I7:I13)</f>
        <v>144653043</v>
      </c>
      <c r="J14" s="878"/>
      <c r="K14" s="894">
        <f>SUM(K7:K13)</f>
        <v>167534117</v>
      </c>
      <c r="L14" s="878"/>
      <c r="M14" s="891">
        <f>SUM(M7:M13)</f>
        <v>10344827</v>
      </c>
      <c r="N14" s="878"/>
      <c r="O14" s="891">
        <f>SUM(O7:O13)</f>
        <v>212107</v>
      </c>
      <c r="P14" s="878"/>
      <c r="Q14" s="891">
        <f>SUM(Q7:Q13)</f>
        <v>144653043</v>
      </c>
      <c r="R14" s="878"/>
      <c r="S14" s="891">
        <f>SUM(S7:S13)</f>
        <v>637441110</v>
      </c>
      <c r="T14" s="878"/>
      <c r="U14" s="891">
        <f>SUM(U7:U13)</f>
        <v>10420914</v>
      </c>
      <c r="V14" s="878"/>
      <c r="W14" s="891">
        <f>SUM(W7:W13)</f>
        <v>13994839</v>
      </c>
      <c r="X14" s="878"/>
      <c r="Y14" s="891">
        <f>SUM(Y7:Y13)</f>
        <v>144653043</v>
      </c>
      <c r="Z14" s="878"/>
      <c r="AA14" s="891">
        <f>SUM(AA7:AA13)</f>
        <v>710738159</v>
      </c>
      <c r="AB14" s="878"/>
      <c r="AC14" s="891">
        <f>SUM(AC7:AC13)</f>
        <v>8490003</v>
      </c>
      <c r="AD14" s="878"/>
      <c r="AE14" s="891">
        <f>SUM(AE7:AE13)</f>
        <v>136363</v>
      </c>
      <c r="AF14" s="878"/>
      <c r="AG14" s="891">
        <f>SUM(AG7:AG13)</f>
        <v>109654465</v>
      </c>
      <c r="AH14" s="878"/>
      <c r="AI14" s="891">
        <f>SUM(AI7:AI13)</f>
        <v>757752124</v>
      </c>
      <c r="AJ14" s="878"/>
      <c r="AK14" s="891">
        <f>SUM(AK7:AK13)</f>
        <v>27645070</v>
      </c>
      <c r="AL14" s="878"/>
      <c r="AM14" s="891">
        <f>SUM(AM7:AM13)</f>
        <v>14159575</v>
      </c>
      <c r="AN14" s="878"/>
      <c r="AO14" s="891">
        <f>SUM(AO7:AO13)</f>
        <v>2204193</v>
      </c>
      <c r="AP14" s="878"/>
      <c r="AQ14" s="891">
        <f>SUM(AQ7:AQ13)</f>
        <v>109654465</v>
      </c>
      <c r="AR14" s="878"/>
      <c r="AS14" s="891">
        <f>SUM(AS7:AS13)</f>
        <v>1131860548</v>
      </c>
      <c r="AT14" s="878"/>
      <c r="AU14" s="891">
        <f>SUM(AU7:AU13)</f>
        <v>14478965</v>
      </c>
      <c r="AV14" s="878"/>
      <c r="AW14" s="891">
        <f>SUM(AW7:AW13)</f>
        <v>129009</v>
      </c>
      <c r="AX14" s="878"/>
      <c r="AY14" s="891">
        <f>SUM(AY7:AY13)</f>
        <v>109654465</v>
      </c>
      <c r="AZ14" s="878"/>
      <c r="BA14" s="891">
        <f>SUM(BA7:BA13)</f>
        <v>594010877</v>
      </c>
      <c r="BB14" s="891"/>
      <c r="BC14" s="891"/>
      <c r="BD14" s="878"/>
      <c r="BE14" s="891">
        <f>SUM(BE7:BE13)</f>
        <v>18738635</v>
      </c>
      <c r="BF14" s="878"/>
      <c r="BG14" s="891">
        <f>SUM(BG7:BG13)</f>
        <v>27794</v>
      </c>
      <c r="BH14" s="878"/>
      <c r="BI14" s="891">
        <f>SUM(BI7:BI13)</f>
        <v>109654465</v>
      </c>
      <c r="BJ14" s="878"/>
      <c r="BK14" s="878"/>
      <c r="BL14" s="878"/>
      <c r="BM14" s="891">
        <f>SUM(BM7:BM13)</f>
        <v>15373266</v>
      </c>
      <c r="BN14" s="878"/>
      <c r="BO14" s="891">
        <f>SUM(BO7:BO13)</f>
        <v>15982332</v>
      </c>
      <c r="BP14" s="878"/>
      <c r="BQ14" s="891">
        <f>SUM(BQ7:BQ13)</f>
        <v>78324618</v>
      </c>
      <c r="BR14" s="878"/>
      <c r="BS14" s="891">
        <f>SUM(BS7:BS13)</f>
        <v>325042760</v>
      </c>
      <c r="BT14" s="878"/>
      <c r="BU14" s="891">
        <f>SUM(BU7:BU13)</f>
        <v>13899668</v>
      </c>
      <c r="BV14" s="878"/>
      <c r="BW14" s="878"/>
      <c r="BX14" s="878"/>
      <c r="BY14" s="891">
        <f>SUM(BY7:BY13)</f>
        <v>78324618</v>
      </c>
      <c r="BZ14" s="878"/>
      <c r="CA14" s="891">
        <f>SUM(CA7:CA13)</f>
        <v>897813692</v>
      </c>
      <c r="CB14" s="878"/>
      <c r="CC14" s="891">
        <f>SUM(CC7:CC13)</f>
        <v>25167877</v>
      </c>
      <c r="CD14" s="878"/>
      <c r="CE14" s="878"/>
      <c r="CF14" s="878"/>
      <c r="CG14" s="891">
        <f>SUM(CG7:CG13)</f>
        <v>46994770</v>
      </c>
      <c r="CH14" s="878"/>
      <c r="CI14" s="891">
        <f>SUM(CI7:CI13)</f>
        <v>104342364</v>
      </c>
      <c r="CJ14" s="878"/>
      <c r="CK14" s="891">
        <f>SUM(CK7:CK13)</f>
        <v>26220525</v>
      </c>
      <c r="CL14" s="878"/>
      <c r="CM14" s="891">
        <f>SUM(CM7:CM13)</f>
        <v>32963820</v>
      </c>
      <c r="CN14" s="878"/>
      <c r="CO14" s="891">
        <f>SUM(CO7:CO13)</f>
        <v>78324618</v>
      </c>
      <c r="CP14" s="878"/>
      <c r="CQ14" s="878"/>
      <c r="CR14" s="878"/>
      <c r="CS14" s="878"/>
      <c r="CT14" s="878"/>
      <c r="CU14" s="878"/>
      <c r="CV14" s="878"/>
      <c r="CW14" s="878"/>
      <c r="CX14" s="878"/>
      <c r="CY14" s="878"/>
      <c r="CZ14" s="878"/>
      <c r="DA14" s="878"/>
    </row>
    <row r="15" spans="2:105" x14ac:dyDescent="0.25">
      <c r="D15" s="883"/>
      <c r="G15" s="884"/>
    </row>
    <row r="16" spans="2:105" x14ac:dyDescent="0.25">
      <c r="D16" s="883"/>
      <c r="G16" s="884"/>
    </row>
    <row r="17" spans="2:103" x14ac:dyDescent="0.25">
      <c r="B17" s="1644" t="s">
        <v>5972</v>
      </c>
      <c r="C17" s="1644"/>
      <c r="D17" s="1644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644"/>
      <c r="Y17" s="1644"/>
      <c r="Z17" s="1644"/>
      <c r="AA17" s="1644"/>
      <c r="AB17" s="1644"/>
      <c r="AC17" s="1644"/>
      <c r="AD17" s="1644"/>
      <c r="AE17" s="1644"/>
      <c r="AF17" s="1644"/>
      <c r="AG17" s="1644"/>
      <c r="AH17" s="1644"/>
      <c r="AI17" s="1644"/>
      <c r="AJ17" s="1644"/>
      <c r="AK17" s="1644"/>
      <c r="AL17" s="1644"/>
      <c r="AM17" s="1644"/>
      <c r="AN17" s="1644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644"/>
      <c r="BI17" s="1644"/>
      <c r="BJ17" s="1644"/>
      <c r="BK17" s="1644"/>
      <c r="BL17" s="1644"/>
      <c r="BM17" s="1644"/>
      <c r="BN17" s="1644"/>
      <c r="BO17" s="1644"/>
      <c r="BP17" s="1644"/>
      <c r="BQ17" s="1644"/>
      <c r="BR17" s="1644"/>
      <c r="BS17" s="1644"/>
      <c r="BT17" s="1644"/>
      <c r="BU17" s="1644"/>
      <c r="BV17" s="1644"/>
      <c r="BW17" s="1644"/>
      <c r="BX17" s="1644"/>
      <c r="BY17" s="1644"/>
      <c r="BZ17" s="1644"/>
      <c r="CA17" s="1644"/>
      <c r="CB17" s="1644"/>
      <c r="CC17" s="1644"/>
      <c r="CD17" s="1644"/>
      <c r="CE17" s="1644"/>
      <c r="CF17" s="1644"/>
      <c r="CG17" s="1644"/>
      <c r="CH17" s="1644"/>
      <c r="CI17" s="1644"/>
      <c r="CJ17" s="1644"/>
      <c r="CK17" s="1644"/>
      <c r="CL17" s="1644"/>
      <c r="CM17" s="1644"/>
      <c r="CN17" s="1644"/>
      <c r="CO17" s="1644"/>
      <c r="CP17" s="1644"/>
      <c r="CQ17" s="1644"/>
      <c r="CR17" s="1644"/>
      <c r="CS17" s="1644"/>
      <c r="CT17" s="1644"/>
      <c r="CU17" s="1644"/>
      <c r="CV17" s="1644"/>
      <c r="CW17" s="1644"/>
      <c r="CX17" s="1644"/>
      <c r="CY17" s="1644"/>
    </row>
    <row r="18" spans="2:103" x14ac:dyDescent="0.25">
      <c r="B18" s="1644" t="s">
        <v>6042</v>
      </c>
      <c r="C18" s="1644"/>
      <c r="D18" s="1644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644"/>
      <c r="Y18" s="1644"/>
      <c r="Z18" s="1644"/>
      <c r="AA18" s="1644"/>
      <c r="AB18" s="1644"/>
      <c r="AC18" s="1644"/>
      <c r="AD18" s="1644"/>
      <c r="AE18" s="1644"/>
      <c r="AF18" s="1644"/>
      <c r="AG18" s="1644"/>
      <c r="AH18" s="1644"/>
      <c r="AI18" s="1644"/>
      <c r="AJ18" s="1644"/>
      <c r="AK18" s="1644"/>
      <c r="AL18" s="1644"/>
      <c r="AM18" s="1644"/>
      <c r="AN18" s="1644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644"/>
      <c r="BI18" s="1644"/>
      <c r="BJ18" s="1644"/>
      <c r="BK18" s="1644"/>
      <c r="BL18" s="1644"/>
      <c r="BM18" s="1644"/>
      <c r="BN18" s="1644"/>
      <c r="BO18" s="1644"/>
      <c r="BP18" s="1644"/>
      <c r="BQ18" s="1644"/>
      <c r="BR18" s="1644"/>
      <c r="BS18" s="1644"/>
      <c r="BT18" s="1644"/>
      <c r="BU18" s="1644"/>
      <c r="BV18" s="1644"/>
      <c r="BW18" s="1644"/>
      <c r="BX18" s="1644"/>
      <c r="BY18" s="1644"/>
      <c r="BZ18" s="1644"/>
      <c r="CA18" s="1644"/>
      <c r="CB18" s="1644"/>
      <c r="CC18" s="1644"/>
      <c r="CD18" s="1644"/>
      <c r="CE18" s="1644"/>
      <c r="CF18" s="1644"/>
      <c r="CG18" s="1644"/>
      <c r="CH18" s="1644"/>
      <c r="CI18" s="1644"/>
      <c r="CJ18" s="1644"/>
      <c r="CK18" s="1644"/>
      <c r="CL18" s="1644"/>
      <c r="CM18" s="1644"/>
      <c r="CN18" s="1644"/>
      <c r="CO18" s="1644"/>
      <c r="CP18" s="1644"/>
      <c r="CQ18" s="1644"/>
      <c r="CR18" s="1644"/>
      <c r="CS18" s="1644"/>
      <c r="CT18" s="1644"/>
      <c r="CU18" s="1644"/>
      <c r="CV18" s="1644"/>
      <c r="CW18" s="1644"/>
      <c r="CX18" s="1644"/>
      <c r="CY18" s="1644"/>
    </row>
    <row r="20" spans="2:103" x14ac:dyDescent="0.25">
      <c r="B20" s="1645" t="s">
        <v>5961</v>
      </c>
      <c r="C20" s="885"/>
      <c r="D20" s="1646">
        <v>44197</v>
      </c>
      <c r="E20" s="1647"/>
      <c r="F20" s="1647"/>
      <c r="G20" s="1647"/>
      <c r="H20" s="1647"/>
      <c r="I20" s="1647"/>
      <c r="J20" s="1647"/>
      <c r="K20" s="1641"/>
      <c r="L20" s="1646">
        <v>44228</v>
      </c>
      <c r="M20" s="1647"/>
      <c r="N20" s="1647"/>
      <c r="O20" s="1647"/>
      <c r="P20" s="1647"/>
      <c r="Q20" s="1647"/>
      <c r="R20" s="1647"/>
      <c r="S20" s="1641"/>
      <c r="T20" s="1646">
        <v>44256</v>
      </c>
      <c r="U20" s="1647"/>
      <c r="V20" s="1647"/>
      <c r="W20" s="1647"/>
      <c r="X20" s="1647"/>
      <c r="Y20" s="1647"/>
      <c r="Z20" s="1647"/>
      <c r="AA20" s="1641"/>
      <c r="AB20" s="1646">
        <v>44287</v>
      </c>
      <c r="AC20" s="1647"/>
      <c r="AD20" s="1647"/>
      <c r="AE20" s="1647"/>
      <c r="AF20" s="1647"/>
      <c r="AG20" s="1647"/>
      <c r="AH20" s="1647"/>
      <c r="AI20" s="1641"/>
      <c r="AJ20" s="1420"/>
      <c r="AK20" s="1420"/>
      <c r="AL20" s="1646">
        <v>44317</v>
      </c>
      <c r="AM20" s="1647"/>
      <c r="AN20" s="1647"/>
      <c r="AO20" s="1647"/>
      <c r="AP20" s="1647"/>
      <c r="AQ20" s="1647"/>
      <c r="AR20" s="1647"/>
      <c r="AS20" s="1641"/>
      <c r="AT20" s="1648">
        <v>44348</v>
      </c>
      <c r="AU20" s="1649"/>
      <c r="AV20" s="1649"/>
      <c r="AW20" s="1649"/>
      <c r="AX20" s="1649"/>
      <c r="AY20" s="1649"/>
      <c r="AZ20" s="1649"/>
      <c r="BA20" s="1649"/>
      <c r="BB20" s="1649"/>
      <c r="BC20" s="1650"/>
      <c r="BD20" s="1646">
        <v>44378</v>
      </c>
      <c r="BE20" s="1647"/>
      <c r="BF20" s="1647"/>
      <c r="BG20" s="1647"/>
      <c r="BH20" s="1647"/>
      <c r="BI20" s="1647"/>
      <c r="BJ20" s="1647"/>
      <c r="BK20" s="1641"/>
      <c r="BL20" s="1648">
        <v>44409</v>
      </c>
      <c r="BM20" s="1651"/>
      <c r="BN20" s="1651"/>
      <c r="BO20" s="1651"/>
      <c r="BP20" s="1651"/>
      <c r="BQ20" s="1651"/>
      <c r="BR20" s="1651"/>
      <c r="BS20" s="1643"/>
      <c r="BT20" s="1646">
        <v>44440</v>
      </c>
      <c r="BU20" s="1647"/>
      <c r="BV20" s="1647"/>
      <c r="BW20" s="1647"/>
      <c r="BX20" s="1647"/>
      <c r="BY20" s="1647"/>
      <c r="BZ20" s="1647"/>
      <c r="CA20" s="1641"/>
      <c r="CB20" s="1648">
        <v>44470</v>
      </c>
      <c r="CC20" s="1651"/>
      <c r="CD20" s="1651"/>
      <c r="CE20" s="1651"/>
      <c r="CF20" s="1651"/>
      <c r="CG20" s="1651"/>
      <c r="CH20" s="1651"/>
      <c r="CI20" s="1643"/>
      <c r="CJ20" s="1646">
        <v>44501</v>
      </c>
      <c r="CK20" s="1647"/>
      <c r="CL20" s="1647"/>
      <c r="CM20" s="1647"/>
      <c r="CN20" s="1647"/>
      <c r="CO20" s="1647"/>
      <c r="CP20" s="1647"/>
      <c r="CQ20" s="1641"/>
      <c r="CR20" s="1648">
        <v>44531</v>
      </c>
      <c r="CS20" s="1651"/>
      <c r="CT20" s="1651"/>
      <c r="CU20" s="1651"/>
      <c r="CV20" s="1651"/>
      <c r="CW20" s="1651"/>
      <c r="CX20" s="1651"/>
      <c r="CY20" s="1643"/>
    </row>
    <row r="21" spans="2:103" x14ac:dyDescent="0.25">
      <c r="B21" s="1645"/>
      <c r="C21" s="885"/>
      <c r="D21" s="1640" t="s">
        <v>3441</v>
      </c>
      <c r="E21" s="1641"/>
      <c r="F21" s="1640" t="s">
        <v>5964</v>
      </c>
      <c r="G21" s="1641"/>
      <c r="H21" s="1640" t="s">
        <v>5965</v>
      </c>
      <c r="I21" s="1641"/>
      <c r="J21" s="1640" t="s">
        <v>5966</v>
      </c>
      <c r="K21" s="1641"/>
      <c r="L21" s="1642" t="s">
        <v>3441</v>
      </c>
      <c r="M21" s="1643"/>
      <c r="N21" s="1642" t="s">
        <v>5964</v>
      </c>
      <c r="O21" s="1643"/>
      <c r="P21" s="1642" t="s">
        <v>5965</v>
      </c>
      <c r="Q21" s="1643"/>
      <c r="R21" s="1642" t="s">
        <v>5966</v>
      </c>
      <c r="S21" s="1643"/>
      <c r="T21" s="1640" t="s">
        <v>3441</v>
      </c>
      <c r="U21" s="1641"/>
      <c r="V21" s="1640" t="s">
        <v>5964</v>
      </c>
      <c r="W21" s="1641"/>
      <c r="X21" s="1640" t="s">
        <v>5965</v>
      </c>
      <c r="Y21" s="1641"/>
      <c r="Z21" s="1640" t="s">
        <v>5966</v>
      </c>
      <c r="AA21" s="1641"/>
      <c r="AB21" s="1642" t="s">
        <v>3441</v>
      </c>
      <c r="AC21" s="1643"/>
      <c r="AD21" s="1642" t="s">
        <v>5964</v>
      </c>
      <c r="AE21" s="1643"/>
      <c r="AF21" s="1642" t="s">
        <v>5965</v>
      </c>
      <c r="AG21" s="1643"/>
      <c r="AH21" s="1642" t="s">
        <v>5966</v>
      </c>
      <c r="AI21" s="1643"/>
      <c r="AJ21" s="1640" t="s">
        <v>5971</v>
      </c>
      <c r="AK21" s="1641"/>
      <c r="AL21" s="1640" t="s">
        <v>3441</v>
      </c>
      <c r="AM21" s="1641"/>
      <c r="AN21" s="1640" t="s">
        <v>5964</v>
      </c>
      <c r="AO21" s="1641"/>
      <c r="AP21" s="1640" t="s">
        <v>5965</v>
      </c>
      <c r="AQ21" s="1641"/>
      <c r="AR21" s="1640" t="s">
        <v>5966</v>
      </c>
      <c r="AS21" s="1641"/>
      <c r="AT21" s="1642" t="s">
        <v>3441</v>
      </c>
      <c r="AU21" s="1643"/>
      <c r="AV21" s="1642" t="s">
        <v>5964</v>
      </c>
      <c r="AW21" s="1643"/>
      <c r="AX21" s="1642" t="s">
        <v>5965</v>
      </c>
      <c r="AY21" s="1643"/>
      <c r="AZ21" s="1642" t="s">
        <v>5966</v>
      </c>
      <c r="BA21" s="1643"/>
      <c r="BB21" s="1642" t="s">
        <v>6123</v>
      </c>
      <c r="BC21" s="1643"/>
      <c r="BD21" s="1640" t="s">
        <v>3441</v>
      </c>
      <c r="BE21" s="1641"/>
      <c r="BF21" s="1640" t="s">
        <v>5964</v>
      </c>
      <c r="BG21" s="1641"/>
      <c r="BH21" s="1640" t="s">
        <v>5965</v>
      </c>
      <c r="BI21" s="1641"/>
      <c r="BJ21" s="1640" t="s">
        <v>5966</v>
      </c>
      <c r="BK21" s="1641"/>
      <c r="BL21" s="1642" t="s">
        <v>3441</v>
      </c>
      <c r="BM21" s="1643"/>
      <c r="BN21" s="1642" t="s">
        <v>5964</v>
      </c>
      <c r="BO21" s="1643"/>
      <c r="BP21" s="1642" t="s">
        <v>5965</v>
      </c>
      <c r="BQ21" s="1643"/>
      <c r="BR21" s="1642" t="s">
        <v>5966</v>
      </c>
      <c r="BS21" s="1643"/>
      <c r="BT21" s="1640" t="s">
        <v>3441</v>
      </c>
      <c r="BU21" s="1641"/>
      <c r="BV21" s="1640" t="s">
        <v>5964</v>
      </c>
      <c r="BW21" s="1641"/>
      <c r="BX21" s="1640" t="s">
        <v>5965</v>
      </c>
      <c r="BY21" s="1641"/>
      <c r="BZ21" s="1640" t="s">
        <v>5966</v>
      </c>
      <c r="CA21" s="1641"/>
      <c r="CB21" s="1642" t="s">
        <v>3441</v>
      </c>
      <c r="CC21" s="1643"/>
      <c r="CD21" s="1642" t="s">
        <v>5964</v>
      </c>
      <c r="CE21" s="1643"/>
      <c r="CF21" s="1642" t="s">
        <v>5965</v>
      </c>
      <c r="CG21" s="1643"/>
      <c r="CH21" s="1642" t="s">
        <v>5966</v>
      </c>
      <c r="CI21" s="1643"/>
      <c r="CJ21" s="1640" t="s">
        <v>3441</v>
      </c>
      <c r="CK21" s="1641"/>
      <c r="CL21" s="1640" t="s">
        <v>5964</v>
      </c>
      <c r="CM21" s="1641"/>
      <c r="CN21" s="1640" t="s">
        <v>5965</v>
      </c>
      <c r="CO21" s="1641"/>
      <c r="CP21" s="1640" t="s">
        <v>5966</v>
      </c>
      <c r="CQ21" s="1641"/>
      <c r="CR21" s="1642" t="s">
        <v>3441</v>
      </c>
      <c r="CS21" s="1643"/>
      <c r="CT21" s="1642" t="s">
        <v>5964</v>
      </c>
      <c r="CU21" s="1643"/>
      <c r="CV21" s="1642" t="s">
        <v>5965</v>
      </c>
      <c r="CW21" s="1643"/>
      <c r="CX21" s="1642" t="s">
        <v>5966</v>
      </c>
      <c r="CY21" s="1643"/>
    </row>
    <row r="22" spans="2:103" x14ac:dyDescent="0.25">
      <c r="B22" s="1645"/>
      <c r="C22" s="885"/>
      <c r="D22" s="877" t="s">
        <v>5962</v>
      </c>
      <c r="E22" s="878" t="s">
        <v>5963</v>
      </c>
      <c r="F22" s="878" t="s">
        <v>5962</v>
      </c>
      <c r="G22" s="878" t="s">
        <v>5963</v>
      </c>
      <c r="H22" s="878" t="s">
        <v>5962</v>
      </c>
      <c r="I22" s="878" t="s">
        <v>5963</v>
      </c>
      <c r="J22" s="878" t="s">
        <v>5962</v>
      </c>
      <c r="K22" s="878" t="s">
        <v>5963</v>
      </c>
      <c r="L22" s="878" t="s">
        <v>5962</v>
      </c>
      <c r="M22" s="878" t="s">
        <v>5963</v>
      </c>
      <c r="N22" s="878" t="s">
        <v>5962</v>
      </c>
      <c r="O22" s="878" t="s">
        <v>5963</v>
      </c>
      <c r="P22" s="878" t="s">
        <v>5962</v>
      </c>
      <c r="Q22" s="878" t="s">
        <v>5963</v>
      </c>
      <c r="R22" s="878" t="s">
        <v>5962</v>
      </c>
      <c r="S22" s="878" t="s">
        <v>5963</v>
      </c>
      <c r="T22" s="878" t="s">
        <v>5962</v>
      </c>
      <c r="U22" s="878" t="s">
        <v>5963</v>
      </c>
      <c r="V22" s="878" t="s">
        <v>5962</v>
      </c>
      <c r="W22" s="878" t="s">
        <v>5963</v>
      </c>
      <c r="X22" s="878" t="s">
        <v>5962</v>
      </c>
      <c r="Y22" s="878" t="s">
        <v>5963</v>
      </c>
      <c r="Z22" s="878" t="s">
        <v>5962</v>
      </c>
      <c r="AA22" s="878" t="s">
        <v>5963</v>
      </c>
      <c r="AB22" s="878" t="s">
        <v>5962</v>
      </c>
      <c r="AC22" s="878" t="s">
        <v>5963</v>
      </c>
      <c r="AD22" s="878" t="s">
        <v>5962</v>
      </c>
      <c r="AE22" s="878" t="s">
        <v>5963</v>
      </c>
      <c r="AF22" s="878" t="s">
        <v>5962</v>
      </c>
      <c r="AG22" s="878" t="s">
        <v>5963</v>
      </c>
      <c r="AH22" s="878" t="s">
        <v>5962</v>
      </c>
      <c r="AI22" s="878" t="s">
        <v>5963</v>
      </c>
      <c r="AJ22" s="878" t="s">
        <v>5962</v>
      </c>
      <c r="AK22" s="878" t="s">
        <v>5963</v>
      </c>
      <c r="AL22" s="878" t="s">
        <v>5962</v>
      </c>
      <c r="AM22" s="878" t="s">
        <v>5963</v>
      </c>
      <c r="AN22" s="878" t="s">
        <v>5962</v>
      </c>
      <c r="AO22" s="878" t="s">
        <v>5963</v>
      </c>
      <c r="AP22" s="878" t="s">
        <v>5962</v>
      </c>
      <c r="AQ22" s="878" t="s">
        <v>5963</v>
      </c>
      <c r="AR22" s="878" t="s">
        <v>5962</v>
      </c>
      <c r="AS22" s="878" t="s">
        <v>5963</v>
      </c>
      <c r="AT22" s="878" t="s">
        <v>5962</v>
      </c>
      <c r="AU22" s="878" t="s">
        <v>5963</v>
      </c>
      <c r="AV22" s="878" t="s">
        <v>5962</v>
      </c>
      <c r="AW22" s="878" t="s">
        <v>5963</v>
      </c>
      <c r="AX22" s="878" t="s">
        <v>5962</v>
      </c>
      <c r="AY22" s="878" t="s">
        <v>5963</v>
      </c>
      <c r="AZ22" s="878" t="s">
        <v>5962</v>
      </c>
      <c r="BA22" s="878" t="s">
        <v>5963</v>
      </c>
      <c r="BB22" s="878" t="s">
        <v>5962</v>
      </c>
      <c r="BC22" s="878" t="s">
        <v>5963</v>
      </c>
      <c r="BD22" s="878" t="s">
        <v>5962</v>
      </c>
      <c r="BE22" s="878" t="s">
        <v>5963</v>
      </c>
      <c r="BF22" s="878" t="s">
        <v>5962</v>
      </c>
      <c r="BG22" s="878" t="s">
        <v>5963</v>
      </c>
      <c r="BH22" s="878" t="s">
        <v>5962</v>
      </c>
      <c r="BI22" s="878" t="s">
        <v>5963</v>
      </c>
      <c r="BJ22" s="878" t="s">
        <v>5962</v>
      </c>
      <c r="BK22" s="878" t="s">
        <v>5963</v>
      </c>
      <c r="BL22" s="878" t="s">
        <v>5962</v>
      </c>
      <c r="BM22" s="878" t="s">
        <v>5963</v>
      </c>
      <c r="BN22" s="878" t="s">
        <v>5962</v>
      </c>
      <c r="BO22" s="878" t="s">
        <v>5963</v>
      </c>
      <c r="BP22" s="878" t="s">
        <v>5962</v>
      </c>
      <c r="BQ22" s="878" t="s">
        <v>5963</v>
      </c>
      <c r="BR22" s="878" t="s">
        <v>5962</v>
      </c>
      <c r="BS22" s="878" t="s">
        <v>5963</v>
      </c>
      <c r="BT22" s="878" t="s">
        <v>5962</v>
      </c>
      <c r="BU22" s="878" t="s">
        <v>5963</v>
      </c>
      <c r="BV22" s="878" t="s">
        <v>5962</v>
      </c>
      <c r="BW22" s="878" t="s">
        <v>5963</v>
      </c>
      <c r="BX22" s="878" t="s">
        <v>5962</v>
      </c>
      <c r="BY22" s="878" t="s">
        <v>5963</v>
      </c>
      <c r="BZ22" s="878" t="s">
        <v>5962</v>
      </c>
      <c r="CA22" s="878" t="s">
        <v>5963</v>
      </c>
      <c r="CB22" s="878" t="s">
        <v>5962</v>
      </c>
      <c r="CC22" s="878" t="s">
        <v>5963</v>
      </c>
      <c r="CD22" s="878" t="s">
        <v>5962</v>
      </c>
      <c r="CE22" s="878" t="s">
        <v>5963</v>
      </c>
      <c r="CF22" s="878" t="s">
        <v>5962</v>
      </c>
      <c r="CG22" s="878" t="s">
        <v>5963</v>
      </c>
      <c r="CH22" s="878" t="s">
        <v>5962</v>
      </c>
      <c r="CI22" s="878" t="s">
        <v>5963</v>
      </c>
      <c r="CJ22" s="878" t="s">
        <v>5962</v>
      </c>
      <c r="CK22" s="878" t="s">
        <v>5963</v>
      </c>
      <c r="CL22" s="878" t="s">
        <v>5962</v>
      </c>
      <c r="CM22" s="878" t="s">
        <v>5963</v>
      </c>
      <c r="CN22" s="878" t="s">
        <v>5962</v>
      </c>
      <c r="CO22" s="878" t="s">
        <v>5963</v>
      </c>
      <c r="CP22" s="878" t="s">
        <v>5962</v>
      </c>
      <c r="CQ22" s="878" t="s">
        <v>5963</v>
      </c>
      <c r="CR22" s="878" t="s">
        <v>5962</v>
      </c>
      <c r="CS22" s="878" t="s">
        <v>5963</v>
      </c>
      <c r="CT22" s="878" t="s">
        <v>5962</v>
      </c>
      <c r="CU22" s="878" t="s">
        <v>5963</v>
      </c>
      <c r="CV22" s="878" t="s">
        <v>5962</v>
      </c>
      <c r="CW22" s="878" t="s">
        <v>5963</v>
      </c>
      <c r="CX22" s="878" t="s">
        <v>5962</v>
      </c>
      <c r="CY22" s="878" t="s">
        <v>5963</v>
      </c>
    </row>
    <row r="23" spans="2:103" x14ac:dyDescent="0.25">
      <c r="B23" s="878" t="s">
        <v>5967</v>
      </c>
      <c r="C23" s="886"/>
      <c r="D23" s="879">
        <v>44237</v>
      </c>
      <c r="E23" s="880">
        <v>8357587</v>
      </c>
      <c r="F23" s="879" t="s">
        <v>125</v>
      </c>
      <c r="G23" s="880" t="s">
        <v>125</v>
      </c>
      <c r="H23" s="879">
        <v>44235</v>
      </c>
      <c r="I23" s="881">
        <v>78324618</v>
      </c>
      <c r="J23" s="879" t="s">
        <v>125</v>
      </c>
      <c r="K23" s="888" t="s">
        <v>125</v>
      </c>
      <c r="L23" s="879">
        <v>44265</v>
      </c>
      <c r="M23" s="880">
        <v>8357587</v>
      </c>
      <c r="N23" s="879">
        <v>44265</v>
      </c>
      <c r="O23" s="880">
        <f>1211401+199429</f>
        <v>1410830</v>
      </c>
      <c r="P23" s="879">
        <v>44265</v>
      </c>
      <c r="Q23" s="880">
        <v>78324618</v>
      </c>
      <c r="R23" s="879"/>
      <c r="S23" s="880"/>
      <c r="T23" s="879">
        <v>44295</v>
      </c>
      <c r="U23" s="889">
        <v>8357587</v>
      </c>
      <c r="V23" s="879">
        <v>44295</v>
      </c>
      <c r="W23" s="889">
        <f>147531+65147</f>
        <v>212678</v>
      </c>
      <c r="X23" s="879">
        <v>44295</v>
      </c>
      <c r="Y23" s="889">
        <v>78324618</v>
      </c>
      <c r="Z23" s="879"/>
      <c r="AA23" s="889"/>
      <c r="AB23" s="879">
        <v>44327</v>
      </c>
      <c r="AC23" s="889">
        <v>1575000</v>
      </c>
      <c r="AD23" s="879">
        <v>44327</v>
      </c>
      <c r="AE23" s="889">
        <v>31332913</v>
      </c>
      <c r="AF23" s="879">
        <v>44327</v>
      </c>
      <c r="AG23" s="889">
        <v>47322000</v>
      </c>
      <c r="AH23" s="879">
        <v>44344</v>
      </c>
      <c r="AI23" s="889">
        <v>847905861</v>
      </c>
      <c r="AJ23" s="879"/>
      <c r="AK23" s="889"/>
      <c r="AL23" s="879">
        <v>44357</v>
      </c>
      <c r="AM23" s="889">
        <v>9481128</v>
      </c>
      <c r="AN23" s="879">
        <v>44357</v>
      </c>
      <c r="AO23" s="889">
        <f>1206276+116237</f>
        <v>1322513</v>
      </c>
      <c r="AP23" s="879">
        <v>44357</v>
      </c>
      <c r="AQ23" s="889">
        <v>47322000</v>
      </c>
      <c r="AR23" s="879">
        <v>44376</v>
      </c>
      <c r="AS23" s="889">
        <v>517943949</v>
      </c>
      <c r="AT23" s="879">
        <v>44386</v>
      </c>
      <c r="AU23" s="889">
        <v>675000</v>
      </c>
      <c r="AV23" s="879">
        <v>44386</v>
      </c>
      <c r="AW23" s="889">
        <f>3348572+92908</f>
        <v>3441480</v>
      </c>
      <c r="AX23" s="879">
        <v>44386</v>
      </c>
      <c r="AY23" s="889">
        <v>47322000</v>
      </c>
      <c r="AZ23" s="879" t="s">
        <v>125</v>
      </c>
      <c r="BA23" s="889" t="s">
        <v>125</v>
      </c>
      <c r="BB23" s="879">
        <v>44386</v>
      </c>
      <c r="BC23" s="889">
        <v>29000000</v>
      </c>
      <c r="BD23" s="879">
        <v>44418</v>
      </c>
      <c r="BE23" s="889">
        <v>9536328</v>
      </c>
      <c r="BF23" s="879">
        <v>44418</v>
      </c>
      <c r="BG23" s="889">
        <v>23172156</v>
      </c>
      <c r="BH23" s="879">
        <v>44418</v>
      </c>
      <c r="BI23" s="889">
        <v>94644000</v>
      </c>
      <c r="BJ23" s="879">
        <v>44435</v>
      </c>
      <c r="BK23" s="881">
        <v>1205800018</v>
      </c>
      <c r="BL23" s="879">
        <v>44449</v>
      </c>
      <c r="BM23" s="889">
        <v>9536328</v>
      </c>
      <c r="BN23" s="879">
        <v>44449</v>
      </c>
      <c r="BO23" s="889">
        <v>90000</v>
      </c>
      <c r="BP23" s="879">
        <v>44449</v>
      </c>
      <c r="BQ23" s="889">
        <v>94644000</v>
      </c>
      <c r="BR23" s="879"/>
      <c r="BS23" s="889"/>
      <c r="BT23" s="879">
        <v>44477</v>
      </c>
      <c r="BU23" s="889">
        <v>9536328</v>
      </c>
      <c r="BV23" s="879">
        <v>44477</v>
      </c>
      <c r="BW23" s="881">
        <f>28507982+8950998</f>
        <v>37458980</v>
      </c>
      <c r="BX23" s="879">
        <v>44480</v>
      </c>
      <c r="BY23" s="889">
        <v>94644000</v>
      </c>
      <c r="BZ23" s="879" t="s">
        <v>125</v>
      </c>
      <c r="CA23" s="889">
        <v>0</v>
      </c>
      <c r="CB23" s="879">
        <v>44510</v>
      </c>
      <c r="CC23" s="889">
        <v>9536328</v>
      </c>
      <c r="CD23" s="879">
        <v>44510</v>
      </c>
      <c r="CE23" s="881">
        <f>7661723+741207</f>
        <v>8402930</v>
      </c>
      <c r="CF23" s="879">
        <v>44510</v>
      </c>
      <c r="CG23" s="889">
        <v>102022038</v>
      </c>
      <c r="CH23" s="879"/>
      <c r="CI23" s="889"/>
      <c r="CJ23" s="879">
        <v>44540</v>
      </c>
      <c r="CK23" s="889">
        <v>9536328</v>
      </c>
      <c r="CL23" s="879">
        <v>44540</v>
      </c>
      <c r="CM23" s="866">
        <f>690460+4408979</f>
        <v>5099439</v>
      </c>
      <c r="CN23" s="879">
        <v>44540</v>
      </c>
      <c r="CO23" s="889">
        <v>102022038</v>
      </c>
      <c r="CP23" s="879" t="s">
        <v>125</v>
      </c>
      <c r="CQ23" s="881" t="s">
        <v>125</v>
      </c>
      <c r="CR23" s="879">
        <v>44571</v>
      </c>
      <c r="CS23" s="881">
        <v>9656953</v>
      </c>
      <c r="CT23" s="879">
        <v>44571</v>
      </c>
      <c r="CU23" s="881">
        <f>10031342+432707</f>
        <v>10464049</v>
      </c>
      <c r="CV23" s="879">
        <v>44571</v>
      </c>
      <c r="CW23" s="881">
        <v>102022038</v>
      </c>
      <c r="CX23" s="879">
        <v>44589</v>
      </c>
      <c r="CY23" s="881">
        <v>208465078</v>
      </c>
    </row>
    <row r="24" spans="2:103" x14ac:dyDescent="0.25">
      <c r="B24" s="878" t="s">
        <v>5967</v>
      </c>
      <c r="C24" s="886"/>
      <c r="D24" s="879"/>
      <c r="E24" s="880"/>
      <c r="F24" s="879"/>
      <c r="G24" s="880"/>
      <c r="H24" s="879"/>
      <c r="I24" s="881"/>
      <c r="J24" s="879"/>
      <c r="K24" s="888"/>
      <c r="L24" s="879"/>
      <c r="M24" s="880"/>
      <c r="N24" s="879"/>
      <c r="O24" s="880"/>
      <c r="P24" s="879"/>
      <c r="Q24" s="880"/>
      <c r="R24" s="879"/>
      <c r="S24" s="880"/>
      <c r="T24" s="879"/>
      <c r="U24" s="889"/>
      <c r="V24" s="879">
        <v>44357</v>
      </c>
      <c r="W24" s="889">
        <v>6285</v>
      </c>
      <c r="X24" s="879"/>
      <c r="Y24" s="889"/>
      <c r="Z24" s="879"/>
      <c r="AA24" s="889"/>
      <c r="AB24" s="879">
        <v>44327</v>
      </c>
      <c r="AC24" s="889">
        <v>8976317</v>
      </c>
      <c r="AD24" s="879"/>
      <c r="AE24" s="889"/>
      <c r="AF24" s="879"/>
      <c r="AG24" s="889"/>
      <c r="AH24" s="879"/>
      <c r="AI24" s="889"/>
      <c r="AJ24" s="879"/>
      <c r="AK24" s="889"/>
      <c r="AL24" s="879"/>
      <c r="AM24" s="889"/>
      <c r="AN24" s="879"/>
      <c r="AO24" s="889"/>
      <c r="AP24" s="879"/>
      <c r="AQ24" s="889"/>
      <c r="AR24" s="879"/>
      <c r="AS24" s="889"/>
      <c r="AT24" s="879">
        <v>44386</v>
      </c>
      <c r="AU24" s="889">
        <v>9488328</v>
      </c>
      <c r="AV24" s="879"/>
      <c r="AW24" s="889"/>
      <c r="AX24" s="879"/>
      <c r="AY24" s="889"/>
      <c r="AZ24" s="879"/>
      <c r="BA24" s="889"/>
      <c r="BB24" s="889"/>
      <c r="BC24" s="889"/>
      <c r="BD24" s="879">
        <v>44418</v>
      </c>
      <c r="BE24" s="889">
        <v>125000</v>
      </c>
      <c r="BF24" s="879"/>
      <c r="BG24" s="889"/>
      <c r="BH24" s="879"/>
      <c r="BI24" s="889"/>
      <c r="BJ24" s="882"/>
      <c r="BK24" s="882"/>
      <c r="BL24" s="879"/>
      <c r="BM24" s="889"/>
      <c r="BN24" s="879">
        <v>44449</v>
      </c>
      <c r="BO24" s="889">
        <v>35239927</v>
      </c>
      <c r="BP24" s="879"/>
      <c r="BQ24" s="889"/>
      <c r="BR24" s="879"/>
      <c r="BS24" s="889"/>
      <c r="BT24" s="879"/>
      <c r="BU24" s="889"/>
      <c r="BV24" s="882"/>
      <c r="BW24" s="882"/>
      <c r="BX24" s="879"/>
      <c r="BY24" s="889"/>
      <c r="BZ24" s="879"/>
      <c r="CA24" s="889"/>
      <c r="CB24" s="879"/>
      <c r="CC24" s="889"/>
      <c r="CD24" s="882"/>
      <c r="CE24" s="882"/>
      <c r="CF24" s="879"/>
      <c r="CG24" s="889"/>
      <c r="CH24" s="879"/>
      <c r="CI24" s="889"/>
      <c r="CJ24" s="879"/>
      <c r="CK24" s="889"/>
      <c r="CL24" s="879"/>
      <c r="CM24" s="889"/>
      <c r="CN24" s="879"/>
      <c r="CO24" s="889"/>
      <c r="CP24" s="879"/>
      <c r="CQ24" s="881"/>
      <c r="CR24" s="879"/>
      <c r="CS24" s="881"/>
      <c r="CT24" s="879"/>
      <c r="CU24" s="881"/>
      <c r="CV24" s="879"/>
      <c r="CW24" s="881"/>
      <c r="CX24" s="879"/>
      <c r="CY24" s="881"/>
    </row>
    <row r="25" spans="2:103" x14ac:dyDescent="0.25">
      <c r="B25" s="878" t="s">
        <v>5967</v>
      </c>
      <c r="C25" s="886"/>
      <c r="D25" s="879"/>
      <c r="E25" s="1356"/>
      <c r="F25" s="879"/>
      <c r="G25" s="880"/>
      <c r="H25" s="879"/>
      <c r="I25" s="881"/>
      <c r="J25" s="879"/>
      <c r="K25" s="888"/>
      <c r="L25" s="879"/>
      <c r="M25" s="880"/>
      <c r="N25" s="879"/>
      <c r="O25" s="880"/>
      <c r="P25" s="879"/>
      <c r="Q25" s="880"/>
      <c r="R25" s="879"/>
      <c r="S25" s="880"/>
      <c r="T25" s="879"/>
      <c r="U25" s="889"/>
      <c r="V25" s="879"/>
      <c r="W25" s="889"/>
      <c r="X25" s="879"/>
      <c r="Y25" s="889"/>
      <c r="Z25" s="879"/>
      <c r="AA25" s="889"/>
      <c r="AB25" s="879">
        <v>44327</v>
      </c>
      <c r="AC25" s="889">
        <v>10061970</v>
      </c>
      <c r="AD25" s="879"/>
      <c r="AE25" s="889"/>
      <c r="AF25" s="879"/>
      <c r="AG25" s="889"/>
      <c r="AH25" s="879"/>
      <c r="AI25" s="889"/>
      <c r="AJ25" s="879"/>
      <c r="AK25" s="889"/>
      <c r="AL25" s="879"/>
      <c r="AM25" s="889"/>
      <c r="AN25" s="879"/>
      <c r="AO25" s="889"/>
      <c r="AP25" s="879"/>
      <c r="AQ25" s="889"/>
      <c r="AR25" s="879"/>
      <c r="AS25" s="889"/>
      <c r="AT25" s="879"/>
      <c r="AU25" s="889"/>
      <c r="AV25" s="879"/>
      <c r="AW25" s="889"/>
      <c r="AX25" s="879"/>
      <c r="AY25" s="889"/>
      <c r="AZ25" s="879"/>
      <c r="BA25" s="889"/>
      <c r="BB25" s="889"/>
      <c r="BC25" s="889"/>
      <c r="BD25" s="879"/>
      <c r="BE25" s="889"/>
      <c r="BF25" s="879"/>
      <c r="BG25" s="889"/>
      <c r="BH25" s="879"/>
      <c r="BI25" s="889"/>
      <c r="BJ25" s="882"/>
      <c r="BK25" s="882"/>
      <c r="BL25" s="879"/>
      <c r="BM25" s="889"/>
      <c r="BN25" s="879"/>
      <c r="BO25" s="889"/>
      <c r="BP25" s="879"/>
      <c r="BQ25" s="889"/>
      <c r="BR25" s="879"/>
      <c r="BS25" s="889"/>
      <c r="BT25" s="879"/>
      <c r="BU25" s="889"/>
      <c r="BV25" s="882"/>
      <c r="BW25" s="882"/>
      <c r="BX25" s="879"/>
      <c r="BY25" s="889"/>
      <c r="BZ25" s="879"/>
      <c r="CA25" s="889"/>
      <c r="CB25" s="879"/>
      <c r="CC25" s="889"/>
      <c r="CD25" s="882"/>
      <c r="CE25" s="882"/>
      <c r="CF25" s="879"/>
      <c r="CG25" s="889"/>
      <c r="CH25" s="879"/>
      <c r="CI25" s="889"/>
      <c r="CJ25" s="879"/>
      <c r="CK25" s="889"/>
      <c r="CL25" s="879"/>
      <c r="CM25" s="889"/>
      <c r="CN25" s="879"/>
      <c r="CO25" s="889"/>
      <c r="CP25" s="879"/>
      <c r="CQ25" s="881"/>
      <c r="CR25" s="879"/>
      <c r="CS25" s="881"/>
      <c r="CT25" s="879"/>
      <c r="CU25" s="881"/>
      <c r="CV25" s="879"/>
      <c r="CW25" s="881"/>
      <c r="CX25" s="879"/>
      <c r="CY25" s="881"/>
    </row>
    <row r="26" spans="2:103" x14ac:dyDescent="0.25">
      <c r="B26" s="878" t="s">
        <v>5968</v>
      </c>
      <c r="C26" s="886"/>
      <c r="D26" s="879">
        <v>44649</v>
      </c>
      <c r="E26" s="881">
        <v>5913897</v>
      </c>
      <c r="F26" s="882"/>
      <c r="G26" s="881"/>
      <c r="H26" s="879">
        <v>44477</v>
      </c>
      <c r="I26" s="881">
        <v>12371382</v>
      </c>
      <c r="J26" s="882"/>
      <c r="K26" s="882"/>
      <c r="L26" s="879">
        <v>44649</v>
      </c>
      <c r="M26" s="881">
        <v>12559557</v>
      </c>
      <c r="P26" s="879">
        <v>44477</v>
      </c>
      <c r="Q26" s="881">
        <v>12371382</v>
      </c>
      <c r="R26" s="882"/>
      <c r="S26" s="882"/>
      <c r="T26" s="879">
        <v>44649</v>
      </c>
      <c r="U26" s="881">
        <v>6398897</v>
      </c>
      <c r="V26" s="882"/>
      <c r="W26" s="882"/>
      <c r="X26" s="879">
        <v>44477</v>
      </c>
      <c r="Y26" s="881">
        <v>12371382</v>
      </c>
      <c r="Z26" s="882"/>
      <c r="AA26" s="882"/>
      <c r="AB26" s="879">
        <v>44649</v>
      </c>
      <c r="AC26" s="881">
        <v>27828147</v>
      </c>
      <c r="AD26" s="882"/>
      <c r="AE26" s="882"/>
      <c r="AF26" s="882"/>
      <c r="AG26" s="882"/>
      <c r="AH26" s="882"/>
      <c r="AI26" s="882"/>
      <c r="AJ26" s="879"/>
      <c r="AK26" s="881"/>
      <c r="AL26" s="879">
        <v>44649</v>
      </c>
      <c r="AM26" s="881">
        <v>5982600</v>
      </c>
      <c r="AN26" s="882"/>
      <c r="AO26" s="882"/>
      <c r="AP26" s="882"/>
      <c r="AQ26" s="882"/>
      <c r="AR26" s="882"/>
      <c r="AS26" s="882"/>
      <c r="AT26" s="879">
        <v>44649</v>
      </c>
      <c r="AU26" s="881">
        <v>8372205</v>
      </c>
      <c r="AV26" s="882"/>
      <c r="AW26" s="882"/>
      <c r="AX26" s="882"/>
      <c r="AY26" s="882"/>
      <c r="AZ26" s="882"/>
      <c r="BA26" s="882"/>
      <c r="BB26" s="882"/>
      <c r="BC26" s="882"/>
      <c r="BD26" s="879">
        <v>44649</v>
      </c>
      <c r="BE26" s="889">
        <v>7759605</v>
      </c>
      <c r="BF26" s="882"/>
      <c r="BG26" s="882"/>
      <c r="BH26" s="882"/>
      <c r="BI26" s="882"/>
      <c r="BJ26" s="882"/>
      <c r="BK26" s="882"/>
      <c r="BL26" s="879">
        <v>44649</v>
      </c>
      <c r="BM26" s="889">
        <v>8765495</v>
      </c>
      <c r="BN26" s="882"/>
      <c r="BO26" s="882"/>
      <c r="BP26" s="882"/>
      <c r="BQ26" s="882"/>
      <c r="BR26" s="882"/>
      <c r="BS26" s="882"/>
      <c r="BT26" s="879">
        <v>44649</v>
      </c>
      <c r="BU26" s="889">
        <v>9163965</v>
      </c>
      <c r="BV26" s="882"/>
      <c r="BW26" s="882"/>
      <c r="BX26" s="879">
        <v>44540</v>
      </c>
      <c r="BY26" s="889">
        <v>7378038</v>
      </c>
      <c r="BZ26" s="882"/>
      <c r="CA26" s="882"/>
      <c r="CB26" s="879">
        <v>44649</v>
      </c>
      <c r="CC26" s="881">
        <v>17225075</v>
      </c>
      <c r="CD26" s="879">
        <v>44630</v>
      </c>
      <c r="CE26" s="881">
        <v>9248</v>
      </c>
      <c r="CF26" s="882"/>
      <c r="CG26" s="882"/>
      <c r="CH26" s="882"/>
      <c r="CI26" s="882"/>
      <c r="CJ26" s="879">
        <v>44649</v>
      </c>
      <c r="CK26" s="881">
        <v>10101565</v>
      </c>
      <c r="CL26" s="882"/>
      <c r="CM26" s="882"/>
      <c r="CN26" s="882"/>
      <c r="CO26" s="882"/>
      <c r="CP26" s="882"/>
      <c r="CQ26" s="882"/>
      <c r="CR26" s="879">
        <v>44649</v>
      </c>
      <c r="CS26" s="881">
        <v>8818665</v>
      </c>
      <c r="CT26" s="879">
        <v>44630</v>
      </c>
      <c r="CU26" s="881">
        <f>267851+131395</f>
        <v>399246</v>
      </c>
      <c r="CV26" s="882"/>
      <c r="CW26" s="882"/>
      <c r="CX26" s="882"/>
      <c r="CY26" s="882"/>
    </row>
    <row r="27" spans="2:103" x14ac:dyDescent="0.25">
      <c r="B27" s="878" t="s">
        <v>5968</v>
      </c>
      <c r="C27" s="886"/>
      <c r="D27" s="879"/>
      <c r="E27" s="882"/>
      <c r="F27" s="882"/>
      <c r="G27" s="881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882"/>
      <c r="AI27" s="882"/>
      <c r="AJ27" s="882"/>
      <c r="AK27" s="882"/>
      <c r="AL27" s="882"/>
      <c r="AM27" s="882"/>
      <c r="AN27" s="882"/>
      <c r="AO27" s="882"/>
      <c r="AP27" s="882"/>
      <c r="AQ27" s="882"/>
      <c r="AR27" s="882"/>
      <c r="AS27" s="882"/>
      <c r="AT27" s="882"/>
      <c r="AV27" s="882"/>
      <c r="AW27" s="882"/>
      <c r="AX27" s="882"/>
      <c r="AY27" s="882"/>
      <c r="AZ27" s="882"/>
      <c r="BA27" s="882"/>
      <c r="BB27" s="882"/>
      <c r="BC27" s="882"/>
      <c r="BD27" s="879"/>
      <c r="BE27" s="889"/>
      <c r="BF27" s="882"/>
      <c r="BG27" s="882"/>
      <c r="BH27" s="882"/>
      <c r="BI27" s="882"/>
      <c r="BJ27" s="882"/>
      <c r="BK27" s="882"/>
      <c r="BL27" s="882"/>
      <c r="BM27" s="882"/>
      <c r="BN27" s="882"/>
      <c r="BO27" s="882"/>
      <c r="BP27" s="882"/>
      <c r="BQ27" s="882"/>
      <c r="BR27" s="882"/>
      <c r="BS27" s="882"/>
      <c r="BT27" s="882"/>
      <c r="BU27" s="882"/>
      <c r="BV27" s="882"/>
      <c r="BW27" s="882"/>
      <c r="BX27" s="882"/>
      <c r="BY27" s="882"/>
      <c r="BZ27" s="882"/>
      <c r="CA27" s="882"/>
      <c r="CB27" s="882"/>
      <c r="CC27" s="882"/>
      <c r="CD27" s="882"/>
      <c r="CE27" s="882"/>
      <c r="CF27" s="882"/>
      <c r="CG27" s="882"/>
      <c r="CH27" s="882"/>
      <c r="CI27" s="882"/>
      <c r="CJ27" s="882"/>
      <c r="CK27" s="882"/>
      <c r="CL27" s="882"/>
      <c r="CM27" s="882"/>
      <c r="CN27" s="882"/>
      <c r="CO27" s="882"/>
      <c r="CP27" s="882"/>
      <c r="CQ27" s="882"/>
      <c r="CR27" s="882"/>
      <c r="CS27" s="882"/>
      <c r="CT27" s="879">
        <v>44671</v>
      </c>
      <c r="CU27" s="881">
        <v>4013162</v>
      </c>
      <c r="CV27" s="882"/>
      <c r="CW27" s="882"/>
      <c r="CX27" s="882"/>
      <c r="CY27" s="882"/>
    </row>
    <row r="28" spans="2:103" x14ac:dyDescent="0.25">
      <c r="B28" s="878" t="s">
        <v>5969</v>
      </c>
      <c r="C28" s="886"/>
      <c r="D28" s="879"/>
      <c r="E28" s="882"/>
      <c r="F28" s="879"/>
      <c r="G28" s="881"/>
      <c r="H28" s="879"/>
      <c r="I28" s="881"/>
      <c r="J28" s="882"/>
      <c r="K28" s="882"/>
      <c r="L28" s="882"/>
      <c r="M28" s="882"/>
      <c r="N28" s="882"/>
      <c r="O28" s="882"/>
      <c r="P28" s="882"/>
      <c r="Q28" s="882"/>
      <c r="R28" s="882"/>
      <c r="S28" s="882"/>
      <c r="T28" s="882"/>
      <c r="U28" s="882"/>
      <c r="V28" s="882"/>
      <c r="W28" s="882"/>
      <c r="X28" s="882"/>
      <c r="Y28" s="882"/>
      <c r="Z28" s="882"/>
      <c r="AA28" s="882"/>
      <c r="AB28" s="882"/>
      <c r="AC28" s="882"/>
      <c r="AD28" s="882"/>
      <c r="AE28" s="882"/>
      <c r="AF28" s="882"/>
      <c r="AG28" s="882"/>
      <c r="AH28" s="882"/>
      <c r="AI28" s="882"/>
      <c r="AJ28" s="882"/>
      <c r="AK28" s="882"/>
      <c r="AL28" s="882"/>
      <c r="AM28" s="882"/>
      <c r="AN28" s="882"/>
      <c r="AO28" s="882"/>
      <c r="AP28" s="882"/>
      <c r="AQ28" s="882"/>
      <c r="AR28" s="882"/>
      <c r="AS28" s="882"/>
      <c r="AT28" s="879"/>
      <c r="AU28" s="881"/>
      <c r="AV28" s="882"/>
      <c r="AW28" s="882"/>
      <c r="AX28" s="882"/>
      <c r="AY28" s="882"/>
      <c r="AZ28" s="882"/>
      <c r="BA28" s="882"/>
      <c r="BB28" s="882"/>
      <c r="BC28" s="882"/>
      <c r="BD28" s="879"/>
      <c r="BE28" s="881"/>
      <c r="BF28" s="882"/>
      <c r="BG28" s="882"/>
      <c r="BH28" s="882"/>
      <c r="BI28" s="882"/>
      <c r="BJ28" s="882"/>
      <c r="BK28" s="882"/>
      <c r="BL28" s="879"/>
      <c r="BM28" s="889"/>
      <c r="BN28" s="882"/>
      <c r="BO28" s="882"/>
      <c r="BP28" s="882"/>
      <c r="BQ28" s="882"/>
      <c r="BR28" s="882"/>
      <c r="BS28" s="882"/>
      <c r="BT28" s="882"/>
      <c r="BU28" s="882"/>
      <c r="BV28" s="882"/>
      <c r="BW28" s="882"/>
      <c r="BX28" s="882"/>
      <c r="BY28" s="882"/>
      <c r="BZ28" s="882"/>
      <c r="CA28" s="882"/>
      <c r="CB28" s="882"/>
      <c r="CC28" s="882"/>
      <c r="CD28" s="882"/>
      <c r="CE28" s="882"/>
      <c r="CF28" s="882"/>
      <c r="CG28" s="882"/>
      <c r="CH28" s="882"/>
      <c r="CI28" s="882"/>
      <c r="CJ28" s="882"/>
      <c r="CK28" s="882"/>
      <c r="CL28" s="882"/>
      <c r="CM28" s="882"/>
      <c r="CN28" s="882"/>
      <c r="CO28" s="882"/>
      <c r="CP28" s="882"/>
      <c r="CQ28" s="882"/>
      <c r="CR28" s="882"/>
      <c r="CS28" s="882"/>
      <c r="CT28" s="882"/>
      <c r="CU28" s="882"/>
      <c r="CV28" s="882"/>
      <c r="CW28" s="882"/>
      <c r="CX28" s="882"/>
      <c r="CY28" s="882"/>
    </row>
    <row r="29" spans="2:103" x14ac:dyDescent="0.25">
      <c r="B29" s="878" t="s">
        <v>5970</v>
      </c>
      <c r="C29" s="886"/>
      <c r="D29" s="879"/>
      <c r="E29" s="882"/>
      <c r="F29" s="882"/>
      <c r="G29" s="881"/>
      <c r="H29" s="879">
        <v>44650</v>
      </c>
      <c r="I29" s="881">
        <v>910533</v>
      </c>
      <c r="J29" s="882"/>
      <c r="K29" s="882"/>
      <c r="L29" s="879">
        <v>44265</v>
      </c>
      <c r="M29" s="881">
        <v>129707</v>
      </c>
      <c r="N29" s="882"/>
      <c r="O29" s="882"/>
      <c r="P29" s="879">
        <v>44650</v>
      </c>
      <c r="Q29" s="881">
        <v>814036</v>
      </c>
      <c r="R29" s="882"/>
      <c r="S29" s="882"/>
      <c r="T29" s="882"/>
      <c r="U29" s="882"/>
      <c r="V29" s="882"/>
      <c r="W29" s="882"/>
      <c r="X29" s="879">
        <v>44650</v>
      </c>
      <c r="Y29" s="881">
        <v>720014</v>
      </c>
      <c r="Z29" s="882"/>
      <c r="AA29" s="882"/>
      <c r="AB29" s="882"/>
      <c r="AC29" s="882"/>
      <c r="AD29" s="882"/>
      <c r="AE29" s="882"/>
      <c r="AF29" s="882"/>
      <c r="AG29" s="882"/>
      <c r="AH29" s="882"/>
      <c r="AI29" s="882"/>
      <c r="AJ29" s="882"/>
      <c r="AK29" s="882"/>
      <c r="AL29" s="882"/>
      <c r="AM29" s="882"/>
      <c r="AN29" s="882"/>
      <c r="AO29" s="882"/>
      <c r="AP29" s="882"/>
      <c r="AQ29" s="882"/>
      <c r="AR29" s="882"/>
      <c r="AS29" s="882"/>
      <c r="AT29" s="882"/>
      <c r="AU29" s="882"/>
      <c r="AV29" s="882"/>
      <c r="AW29" s="882"/>
      <c r="AX29" s="882"/>
      <c r="AY29" s="882"/>
      <c r="AZ29" s="882"/>
      <c r="BA29" s="882"/>
      <c r="BB29" s="882"/>
      <c r="BC29" s="882"/>
      <c r="BD29" s="882"/>
      <c r="BE29" s="882"/>
      <c r="BF29" s="882"/>
      <c r="BG29" s="882"/>
      <c r="BH29" s="882"/>
      <c r="BI29" s="882"/>
      <c r="BJ29" s="882"/>
      <c r="BK29" s="882"/>
      <c r="BL29" s="882"/>
      <c r="BM29" s="882"/>
      <c r="BN29" s="882"/>
      <c r="BO29" s="882"/>
      <c r="BP29" s="882"/>
      <c r="BQ29" s="882"/>
      <c r="BR29" s="882"/>
      <c r="BS29" s="882"/>
      <c r="BT29" s="882"/>
      <c r="BU29" s="882"/>
      <c r="BV29" s="882"/>
      <c r="BW29" s="882"/>
      <c r="BX29" s="879">
        <v>44650</v>
      </c>
      <c r="BY29" s="881">
        <v>137231</v>
      </c>
      <c r="BZ29" s="882"/>
      <c r="CA29" s="882"/>
      <c r="CB29" s="882"/>
      <c r="CC29" s="882"/>
      <c r="CD29" s="882"/>
      <c r="CE29" s="882"/>
      <c r="CF29" s="882"/>
      <c r="CG29" s="882"/>
      <c r="CH29" s="882"/>
      <c r="CI29" s="882"/>
      <c r="CJ29" s="882"/>
      <c r="CK29" s="882"/>
      <c r="CL29" s="882"/>
      <c r="CM29" s="882"/>
      <c r="CN29" s="882"/>
      <c r="CO29" s="882"/>
      <c r="CP29" s="882"/>
      <c r="CQ29" s="882"/>
      <c r="CR29" s="882"/>
      <c r="CS29" s="882"/>
      <c r="CT29" s="882"/>
      <c r="CU29" s="882"/>
      <c r="CV29" s="882"/>
      <c r="CW29" s="882"/>
      <c r="CX29" s="882"/>
      <c r="CY29" s="882"/>
    </row>
    <row r="30" spans="2:103" x14ac:dyDescent="0.25">
      <c r="B30" s="878" t="s">
        <v>5963</v>
      </c>
      <c r="C30" s="886"/>
      <c r="D30" s="890"/>
      <c r="E30" s="891">
        <f>SUM(E23:E29)</f>
        <v>14271484</v>
      </c>
      <c r="F30" s="878"/>
      <c r="G30" s="892">
        <f>SUM(G23:G29)</f>
        <v>0</v>
      </c>
      <c r="H30" s="878"/>
      <c r="I30" s="893">
        <f>SUM(I23:I29)</f>
        <v>91606533</v>
      </c>
      <c r="J30" s="878"/>
      <c r="K30" s="894">
        <f>SUM(K23:K29)</f>
        <v>0</v>
      </c>
      <c r="L30" s="878"/>
      <c r="M30" s="891">
        <f>SUM(M23:M29)</f>
        <v>21046851</v>
      </c>
      <c r="N30" s="878"/>
      <c r="O30" s="891">
        <f>SUM(O23:O29)</f>
        <v>1410830</v>
      </c>
      <c r="P30" s="878"/>
      <c r="Q30" s="891">
        <f>SUM(Q23:Q29)</f>
        <v>91510036</v>
      </c>
      <c r="R30" s="878"/>
      <c r="S30" s="891">
        <f>SUM(S23:S29)</f>
        <v>0</v>
      </c>
      <c r="T30" s="878"/>
      <c r="U30" s="891">
        <f>SUM(U23:U29)</f>
        <v>14756484</v>
      </c>
      <c r="V30" s="878"/>
      <c r="W30" s="891">
        <f>SUM(W23:W29)</f>
        <v>218963</v>
      </c>
      <c r="X30" s="878"/>
      <c r="Y30" s="891">
        <f>SUM(Y23:Y29)</f>
        <v>91416014</v>
      </c>
      <c r="Z30" s="878"/>
      <c r="AA30" s="891">
        <f>SUM(AA23:AA29)</f>
        <v>0</v>
      </c>
      <c r="AB30" s="878"/>
      <c r="AC30" s="891">
        <f>SUM(AC23:AC29)</f>
        <v>48441434</v>
      </c>
      <c r="AD30" s="878"/>
      <c r="AE30" s="891">
        <f>SUM(AE23:AE29)</f>
        <v>31332913</v>
      </c>
      <c r="AF30" s="878"/>
      <c r="AG30" s="891">
        <f>SUM(AG23:AG29)</f>
        <v>47322000</v>
      </c>
      <c r="AH30" s="878"/>
      <c r="AI30" s="891">
        <f>SUM(AI23:AI29)</f>
        <v>847905861</v>
      </c>
      <c r="AJ30" s="878"/>
      <c r="AK30" s="891">
        <f>SUM(AK23:AK29)</f>
        <v>0</v>
      </c>
      <c r="AL30" s="878"/>
      <c r="AM30" s="891">
        <f>SUM(AM23:AM29)</f>
        <v>15463728</v>
      </c>
      <c r="AN30" s="878"/>
      <c r="AO30" s="891">
        <f>SUM(AO23:AO29)</f>
        <v>1322513</v>
      </c>
      <c r="AP30" s="878"/>
      <c r="AQ30" s="891">
        <f>SUM(AQ23:AQ29)</f>
        <v>47322000</v>
      </c>
      <c r="AR30" s="878"/>
      <c r="AS30" s="891">
        <f>SUM(AS23:AS29)</f>
        <v>517943949</v>
      </c>
      <c r="AT30" s="878"/>
      <c r="AU30" s="891">
        <f>SUM(AU23:AU29)</f>
        <v>18535533</v>
      </c>
      <c r="AV30" s="878"/>
      <c r="AW30" s="891">
        <f>SUM(AW23:AW29)</f>
        <v>3441480</v>
      </c>
      <c r="AX30" s="878"/>
      <c r="AY30" s="891">
        <f>SUM(AY23:AY29)</f>
        <v>47322000</v>
      </c>
      <c r="AZ30" s="878"/>
      <c r="BA30" s="891">
        <f>SUM(BA23:BA29)</f>
        <v>0</v>
      </c>
      <c r="BB30" s="891"/>
      <c r="BC30" s="891"/>
      <c r="BD30" s="878"/>
      <c r="BE30" s="891">
        <f>SUM(BE23:BE29)</f>
        <v>17420933</v>
      </c>
      <c r="BF30" s="878"/>
      <c r="BG30" s="891">
        <f>SUM(BG23:BG29)</f>
        <v>23172156</v>
      </c>
      <c r="BH30" s="878"/>
      <c r="BI30" s="891">
        <f>SUM(BI23:BI29)</f>
        <v>94644000</v>
      </c>
      <c r="BJ30" s="878"/>
      <c r="BK30" s="878"/>
      <c r="BL30" s="878"/>
      <c r="BM30" s="891">
        <f>SUM(BM23:BM29)</f>
        <v>18301823</v>
      </c>
      <c r="BN30" s="878"/>
      <c r="BO30" s="891">
        <f>SUM(BO23:BO29)</f>
        <v>35329927</v>
      </c>
      <c r="BP30" s="878"/>
      <c r="BQ30" s="891">
        <f>SUM(BQ23:BQ29)</f>
        <v>94644000</v>
      </c>
      <c r="BR30" s="878"/>
      <c r="BS30" s="891">
        <f>SUM(BS23:BS29)</f>
        <v>0</v>
      </c>
      <c r="BT30" s="878"/>
      <c r="BU30" s="891">
        <f>SUM(BU23:BU29)</f>
        <v>18700293</v>
      </c>
      <c r="BV30" s="878"/>
      <c r="BW30" s="878"/>
      <c r="BX30" s="878"/>
      <c r="BY30" s="891">
        <f>SUM(BY23:BY29)</f>
        <v>102159269</v>
      </c>
      <c r="BZ30" s="878"/>
      <c r="CA30" s="891">
        <f>SUM(CA23:CA29)</f>
        <v>0</v>
      </c>
      <c r="CB30" s="878"/>
      <c r="CC30" s="891">
        <f>SUM(CC23:CC29)</f>
        <v>26761403</v>
      </c>
      <c r="CD30" s="878"/>
      <c r="CE30" s="878"/>
      <c r="CF30" s="878"/>
      <c r="CG30" s="891">
        <f>SUM(CG23:CG29)</f>
        <v>102022038</v>
      </c>
      <c r="CH30" s="878"/>
      <c r="CI30" s="891">
        <f>SUM(CI23:CI29)</f>
        <v>0</v>
      </c>
      <c r="CJ30" s="878"/>
      <c r="CK30" s="891">
        <f>SUM(CK23:CK29)</f>
        <v>19637893</v>
      </c>
      <c r="CL30" s="878"/>
      <c r="CM30" s="891">
        <f>SUM(CM23:CM29)</f>
        <v>5099439</v>
      </c>
      <c r="CN30" s="878"/>
      <c r="CO30" s="891">
        <f>SUM(CO23:CO29)</f>
        <v>102022038</v>
      </c>
      <c r="CP30" s="878"/>
      <c r="CQ30" s="878"/>
      <c r="CR30" s="878"/>
      <c r="CS30" s="878"/>
      <c r="CT30" s="878"/>
      <c r="CU30" s="878"/>
      <c r="CV30" s="878"/>
      <c r="CW30" s="878"/>
      <c r="CX30" s="878"/>
      <c r="CY30" s="878"/>
    </row>
    <row r="32" spans="2:103" x14ac:dyDescent="0.25">
      <c r="B32" s="1644" t="s">
        <v>5972</v>
      </c>
      <c r="C32" s="1644"/>
      <c r="D32" s="1644"/>
      <c r="E32" s="1644"/>
      <c r="F32" s="1644"/>
      <c r="G32" s="1644"/>
      <c r="H32" s="1644"/>
      <c r="I32" s="1644"/>
      <c r="J32" s="1644"/>
      <c r="K32" s="1644"/>
      <c r="L32" s="1644"/>
      <c r="M32" s="1644"/>
      <c r="N32" s="1644"/>
      <c r="O32" s="1644"/>
      <c r="P32" s="1644"/>
      <c r="Q32" s="1644"/>
      <c r="R32" s="1644"/>
      <c r="S32" s="1644"/>
      <c r="T32" s="1644"/>
      <c r="U32" s="1644"/>
      <c r="V32" s="1644"/>
      <c r="W32" s="1644"/>
      <c r="X32" s="1644"/>
      <c r="Y32" s="1644"/>
      <c r="Z32" s="1644"/>
      <c r="AA32" s="1644"/>
      <c r="AB32" s="1644"/>
      <c r="AC32" s="1644"/>
      <c r="AD32" s="1644"/>
      <c r="AE32" s="1644"/>
      <c r="AF32" s="1644"/>
      <c r="AG32" s="1644"/>
      <c r="AH32" s="1644"/>
      <c r="AI32" s="1644"/>
      <c r="AJ32" s="1644"/>
      <c r="AK32" s="1644"/>
      <c r="AL32" s="1644"/>
      <c r="AM32" s="1644"/>
      <c r="AN32" s="1644"/>
      <c r="AO32" s="1644"/>
      <c r="AP32" s="1644"/>
      <c r="AQ32" s="1644"/>
      <c r="AR32" s="1644"/>
      <c r="AS32" s="1644"/>
      <c r="AT32" s="1644"/>
      <c r="AU32" s="1644"/>
      <c r="AV32" s="1644"/>
      <c r="AW32" s="1644"/>
      <c r="AX32" s="1644"/>
      <c r="AY32" s="1644"/>
      <c r="AZ32" s="1644"/>
      <c r="BA32" s="1644"/>
      <c r="BB32" s="1644"/>
      <c r="BC32" s="1644"/>
      <c r="BD32" s="1644"/>
      <c r="BE32" s="1644"/>
      <c r="BF32" s="1644"/>
      <c r="BG32" s="1644"/>
      <c r="BH32" s="1644"/>
      <c r="BI32" s="1644"/>
      <c r="BJ32" s="1644"/>
      <c r="BK32" s="1644"/>
      <c r="BL32" s="1644"/>
      <c r="BM32" s="1644"/>
      <c r="BN32" s="1644"/>
      <c r="BO32" s="1644"/>
      <c r="BP32" s="1644"/>
      <c r="BQ32" s="1644"/>
      <c r="BR32" s="1644"/>
      <c r="BS32" s="1644"/>
      <c r="BT32" s="1644"/>
      <c r="BU32" s="1644"/>
      <c r="BV32" s="1644"/>
      <c r="BW32" s="1644"/>
      <c r="BX32" s="1644"/>
      <c r="BY32" s="1644"/>
      <c r="BZ32" s="1644"/>
      <c r="CA32" s="1644"/>
      <c r="CB32" s="1644"/>
      <c r="CC32" s="1644"/>
      <c r="CD32" s="1644"/>
      <c r="CE32" s="1644"/>
      <c r="CF32" s="1644"/>
      <c r="CG32" s="1644"/>
      <c r="CH32" s="1644"/>
      <c r="CI32" s="1644"/>
      <c r="CJ32" s="1644"/>
      <c r="CK32" s="1644"/>
      <c r="CL32" s="1644"/>
      <c r="CM32" s="1644"/>
      <c r="CN32" s="1644"/>
      <c r="CO32" s="1644"/>
      <c r="CP32" s="1644"/>
      <c r="CQ32" s="1644"/>
      <c r="CR32" s="1644"/>
      <c r="CS32" s="1644"/>
      <c r="CT32" s="1644"/>
      <c r="CU32" s="1644"/>
      <c r="CV32" s="1644"/>
      <c r="CW32" s="1644"/>
      <c r="CX32" s="1644"/>
      <c r="CY32" s="1644"/>
    </row>
    <row r="33" spans="2:103" x14ac:dyDescent="0.25">
      <c r="B33" s="1644" t="s">
        <v>6257</v>
      </c>
      <c r="C33" s="1644"/>
      <c r="D33" s="1644"/>
      <c r="E33" s="1644"/>
      <c r="F33" s="1644"/>
      <c r="G33" s="1644"/>
      <c r="H33" s="1644"/>
      <c r="I33" s="1644"/>
      <c r="J33" s="1644"/>
      <c r="K33" s="1644"/>
      <c r="L33" s="1644"/>
      <c r="M33" s="1644"/>
      <c r="N33" s="1644"/>
      <c r="O33" s="1644"/>
      <c r="P33" s="1644"/>
      <c r="Q33" s="1644"/>
      <c r="R33" s="1644"/>
      <c r="S33" s="1644"/>
      <c r="T33" s="1644"/>
      <c r="U33" s="1644"/>
      <c r="V33" s="1644"/>
      <c r="W33" s="1644"/>
      <c r="X33" s="1644"/>
      <c r="Y33" s="1644"/>
      <c r="Z33" s="1644"/>
      <c r="AA33" s="1644"/>
      <c r="AB33" s="1644"/>
      <c r="AC33" s="1644"/>
      <c r="AD33" s="1644"/>
      <c r="AE33" s="1644"/>
      <c r="AF33" s="1644"/>
      <c r="AG33" s="1644"/>
      <c r="AH33" s="1644"/>
      <c r="AI33" s="1644"/>
      <c r="AJ33" s="1644"/>
      <c r="AK33" s="1644"/>
      <c r="AL33" s="1644"/>
      <c r="AM33" s="1644"/>
      <c r="AN33" s="1644"/>
      <c r="AO33" s="1644"/>
      <c r="AP33" s="1644"/>
      <c r="AQ33" s="1644"/>
      <c r="AR33" s="1644"/>
      <c r="AS33" s="1644"/>
      <c r="AT33" s="1644"/>
      <c r="AU33" s="1644"/>
      <c r="AV33" s="1644"/>
      <c r="AW33" s="1644"/>
      <c r="AX33" s="1644"/>
      <c r="AY33" s="1644"/>
      <c r="AZ33" s="1644"/>
      <c r="BA33" s="1644"/>
      <c r="BB33" s="1644"/>
      <c r="BC33" s="1644"/>
      <c r="BD33" s="1644"/>
      <c r="BE33" s="1644"/>
      <c r="BF33" s="1644"/>
      <c r="BG33" s="1644"/>
      <c r="BH33" s="1644"/>
      <c r="BI33" s="1644"/>
      <c r="BJ33" s="1644"/>
      <c r="BK33" s="1644"/>
      <c r="BL33" s="1644"/>
      <c r="BM33" s="1644"/>
      <c r="BN33" s="1644"/>
      <c r="BO33" s="1644"/>
      <c r="BP33" s="1644"/>
      <c r="BQ33" s="1644"/>
      <c r="BR33" s="1644"/>
      <c r="BS33" s="1644"/>
      <c r="BT33" s="1644"/>
      <c r="BU33" s="1644"/>
      <c r="BV33" s="1644"/>
      <c r="BW33" s="1644"/>
      <c r="BX33" s="1644"/>
      <c r="BY33" s="1644"/>
      <c r="BZ33" s="1644"/>
      <c r="CA33" s="1644"/>
      <c r="CB33" s="1644"/>
      <c r="CC33" s="1644"/>
      <c r="CD33" s="1644"/>
      <c r="CE33" s="1644"/>
      <c r="CF33" s="1644"/>
      <c r="CG33" s="1644"/>
      <c r="CH33" s="1644"/>
      <c r="CI33" s="1644"/>
      <c r="CJ33" s="1644"/>
      <c r="CK33" s="1644"/>
      <c r="CL33" s="1644"/>
      <c r="CM33" s="1644"/>
      <c r="CN33" s="1644"/>
      <c r="CO33" s="1644"/>
      <c r="CP33" s="1644"/>
      <c r="CQ33" s="1644"/>
      <c r="CR33" s="1644"/>
      <c r="CS33" s="1644"/>
      <c r="CT33" s="1644"/>
      <c r="CU33" s="1644"/>
      <c r="CV33" s="1644"/>
      <c r="CW33" s="1644"/>
      <c r="CX33" s="1644"/>
      <c r="CY33" s="1644"/>
    </row>
    <row r="35" spans="2:103" x14ac:dyDescent="0.25">
      <c r="B35" s="1645" t="s">
        <v>5961</v>
      </c>
      <c r="C35" s="885"/>
      <c r="D35" s="1646">
        <v>44562</v>
      </c>
      <c r="E35" s="1647"/>
      <c r="F35" s="1647"/>
      <c r="G35" s="1647"/>
      <c r="H35" s="1647"/>
      <c r="I35" s="1647"/>
      <c r="J35" s="1647"/>
      <c r="K35" s="1641"/>
      <c r="L35" s="1646">
        <v>44593</v>
      </c>
      <c r="M35" s="1647"/>
      <c r="N35" s="1647"/>
      <c r="O35" s="1647"/>
      <c r="P35" s="1647"/>
      <c r="Q35" s="1647"/>
      <c r="R35" s="1647"/>
      <c r="S35" s="1641"/>
      <c r="T35" s="1646">
        <v>44621</v>
      </c>
      <c r="U35" s="1647"/>
      <c r="V35" s="1647"/>
      <c r="W35" s="1647"/>
      <c r="X35" s="1647"/>
      <c r="Y35" s="1647"/>
      <c r="Z35" s="1647"/>
      <c r="AA35" s="1641"/>
      <c r="AB35" s="1646">
        <v>44652</v>
      </c>
      <c r="AC35" s="1647"/>
      <c r="AD35" s="1647"/>
      <c r="AE35" s="1647"/>
      <c r="AF35" s="1647"/>
      <c r="AG35" s="1647"/>
      <c r="AH35" s="1647"/>
      <c r="AI35" s="1641"/>
      <c r="AJ35" s="1420"/>
      <c r="AK35" s="1420"/>
      <c r="AL35" s="1646">
        <v>44682</v>
      </c>
      <c r="AM35" s="1647"/>
      <c r="AN35" s="1647"/>
      <c r="AO35" s="1647"/>
      <c r="AP35" s="1647"/>
      <c r="AQ35" s="1647"/>
      <c r="AR35" s="1647"/>
      <c r="AS35" s="1641"/>
      <c r="AT35" s="1648">
        <v>44713</v>
      </c>
      <c r="AU35" s="1649"/>
      <c r="AV35" s="1649"/>
      <c r="AW35" s="1649"/>
      <c r="AX35" s="1649"/>
      <c r="AY35" s="1649"/>
      <c r="AZ35" s="1649"/>
      <c r="BA35" s="1649"/>
      <c r="BB35" s="1649"/>
      <c r="BC35" s="1650"/>
      <c r="BD35" s="1646">
        <v>44743</v>
      </c>
      <c r="BE35" s="1647"/>
      <c r="BF35" s="1647"/>
      <c r="BG35" s="1647"/>
      <c r="BH35" s="1647"/>
      <c r="BI35" s="1647"/>
      <c r="BJ35" s="1647"/>
      <c r="BK35" s="1641"/>
      <c r="BL35" s="1648">
        <v>44774</v>
      </c>
      <c r="BM35" s="1651"/>
      <c r="BN35" s="1651"/>
      <c r="BO35" s="1651"/>
      <c r="BP35" s="1651"/>
      <c r="BQ35" s="1651"/>
      <c r="BR35" s="1651"/>
      <c r="BS35" s="1643"/>
      <c r="BT35" s="1646">
        <v>44805</v>
      </c>
      <c r="BU35" s="1647"/>
      <c r="BV35" s="1647"/>
      <c r="BW35" s="1647"/>
      <c r="BX35" s="1647"/>
      <c r="BY35" s="1647"/>
      <c r="BZ35" s="1647"/>
      <c r="CA35" s="1641"/>
      <c r="CB35" s="1648">
        <v>44835</v>
      </c>
      <c r="CC35" s="1651"/>
      <c r="CD35" s="1651"/>
      <c r="CE35" s="1651"/>
      <c r="CF35" s="1651"/>
      <c r="CG35" s="1651"/>
      <c r="CH35" s="1651"/>
      <c r="CI35" s="1643"/>
      <c r="CJ35" s="1646">
        <v>44866</v>
      </c>
      <c r="CK35" s="1647"/>
      <c r="CL35" s="1647"/>
      <c r="CM35" s="1647"/>
      <c r="CN35" s="1647"/>
      <c r="CO35" s="1647"/>
      <c r="CP35" s="1647"/>
      <c r="CQ35" s="1641"/>
      <c r="CR35" s="1648">
        <v>44896</v>
      </c>
      <c r="CS35" s="1651"/>
      <c r="CT35" s="1651"/>
      <c r="CU35" s="1651"/>
      <c r="CV35" s="1651"/>
      <c r="CW35" s="1651"/>
      <c r="CX35" s="1651"/>
      <c r="CY35" s="1643"/>
    </row>
    <row r="36" spans="2:103" x14ac:dyDescent="0.25">
      <c r="B36" s="1645"/>
      <c r="C36" s="885"/>
      <c r="D36" s="1640" t="s">
        <v>3441</v>
      </c>
      <c r="E36" s="1641"/>
      <c r="F36" s="1640" t="s">
        <v>5964</v>
      </c>
      <c r="G36" s="1641"/>
      <c r="H36" s="1640" t="s">
        <v>5965</v>
      </c>
      <c r="I36" s="1641"/>
      <c r="J36" s="1640" t="s">
        <v>5966</v>
      </c>
      <c r="K36" s="1641"/>
      <c r="L36" s="1642" t="s">
        <v>3441</v>
      </c>
      <c r="M36" s="1643"/>
      <c r="N36" s="1642" t="s">
        <v>5964</v>
      </c>
      <c r="O36" s="1643"/>
      <c r="P36" s="1642" t="s">
        <v>5965</v>
      </c>
      <c r="Q36" s="1643"/>
      <c r="R36" s="1642" t="s">
        <v>5966</v>
      </c>
      <c r="S36" s="1643"/>
      <c r="T36" s="1640" t="s">
        <v>3441</v>
      </c>
      <c r="U36" s="1641"/>
      <c r="V36" s="1640" t="s">
        <v>5964</v>
      </c>
      <c r="W36" s="1641"/>
      <c r="X36" s="1640" t="s">
        <v>5965</v>
      </c>
      <c r="Y36" s="1641"/>
      <c r="Z36" s="1640" t="s">
        <v>5966</v>
      </c>
      <c r="AA36" s="1641"/>
      <c r="AB36" s="1642" t="s">
        <v>3441</v>
      </c>
      <c r="AC36" s="1643"/>
      <c r="AD36" s="1642" t="s">
        <v>5964</v>
      </c>
      <c r="AE36" s="1643"/>
      <c r="AF36" s="1642" t="s">
        <v>5965</v>
      </c>
      <c r="AG36" s="1643"/>
      <c r="AH36" s="1642" t="s">
        <v>5966</v>
      </c>
      <c r="AI36" s="1643"/>
      <c r="AJ36" s="1640" t="s">
        <v>5971</v>
      </c>
      <c r="AK36" s="1641"/>
      <c r="AL36" s="1640" t="s">
        <v>3441</v>
      </c>
      <c r="AM36" s="1641"/>
      <c r="AN36" s="1640" t="s">
        <v>5964</v>
      </c>
      <c r="AO36" s="1641"/>
      <c r="AP36" s="1640" t="s">
        <v>5965</v>
      </c>
      <c r="AQ36" s="1641"/>
      <c r="AR36" s="1640" t="s">
        <v>5966</v>
      </c>
      <c r="AS36" s="1641"/>
      <c r="AT36" s="1642" t="s">
        <v>3441</v>
      </c>
      <c r="AU36" s="1643"/>
      <c r="AV36" s="1642" t="s">
        <v>5964</v>
      </c>
      <c r="AW36" s="1643"/>
      <c r="AX36" s="1642" t="s">
        <v>5965</v>
      </c>
      <c r="AY36" s="1643"/>
      <c r="AZ36" s="1642" t="s">
        <v>5966</v>
      </c>
      <c r="BA36" s="1643"/>
      <c r="BB36" s="1642" t="s">
        <v>6123</v>
      </c>
      <c r="BC36" s="1643"/>
      <c r="BD36" s="1640" t="s">
        <v>3441</v>
      </c>
      <c r="BE36" s="1641"/>
      <c r="BF36" s="1640" t="s">
        <v>5964</v>
      </c>
      <c r="BG36" s="1641"/>
      <c r="BH36" s="1640" t="s">
        <v>5965</v>
      </c>
      <c r="BI36" s="1641"/>
      <c r="BJ36" s="1640" t="s">
        <v>5966</v>
      </c>
      <c r="BK36" s="1641"/>
      <c r="BL36" s="1642" t="s">
        <v>3441</v>
      </c>
      <c r="BM36" s="1643"/>
      <c r="BN36" s="1642" t="s">
        <v>5964</v>
      </c>
      <c r="BO36" s="1643"/>
      <c r="BP36" s="1642" t="s">
        <v>5965</v>
      </c>
      <c r="BQ36" s="1643"/>
      <c r="BR36" s="1642" t="s">
        <v>5966</v>
      </c>
      <c r="BS36" s="1643"/>
      <c r="BT36" s="1640" t="s">
        <v>3441</v>
      </c>
      <c r="BU36" s="1641"/>
      <c r="BV36" s="1640" t="s">
        <v>5964</v>
      </c>
      <c r="BW36" s="1641"/>
      <c r="BX36" s="1640" t="s">
        <v>5965</v>
      </c>
      <c r="BY36" s="1641"/>
      <c r="BZ36" s="1640" t="s">
        <v>5966</v>
      </c>
      <c r="CA36" s="1641"/>
      <c r="CB36" s="1642" t="s">
        <v>3441</v>
      </c>
      <c r="CC36" s="1643"/>
      <c r="CD36" s="1642" t="s">
        <v>5964</v>
      </c>
      <c r="CE36" s="1643"/>
      <c r="CF36" s="1642" t="s">
        <v>5965</v>
      </c>
      <c r="CG36" s="1643"/>
      <c r="CH36" s="1642" t="s">
        <v>5966</v>
      </c>
      <c r="CI36" s="1643"/>
      <c r="CJ36" s="1640" t="s">
        <v>3441</v>
      </c>
      <c r="CK36" s="1641"/>
      <c r="CL36" s="1640" t="s">
        <v>5964</v>
      </c>
      <c r="CM36" s="1641"/>
      <c r="CN36" s="1640" t="s">
        <v>5965</v>
      </c>
      <c r="CO36" s="1641"/>
      <c r="CP36" s="1640" t="s">
        <v>5966</v>
      </c>
      <c r="CQ36" s="1641"/>
      <c r="CR36" s="1642" t="s">
        <v>3441</v>
      </c>
      <c r="CS36" s="1643"/>
      <c r="CT36" s="1642" t="s">
        <v>5964</v>
      </c>
      <c r="CU36" s="1643"/>
      <c r="CV36" s="1642" t="s">
        <v>5965</v>
      </c>
      <c r="CW36" s="1643"/>
      <c r="CX36" s="1642" t="s">
        <v>5966</v>
      </c>
      <c r="CY36" s="1643"/>
    </row>
    <row r="37" spans="2:103" x14ac:dyDescent="0.25">
      <c r="B37" s="1645"/>
      <c r="C37" s="885"/>
      <c r="D37" s="877" t="s">
        <v>5962</v>
      </c>
      <c r="E37" s="878" t="s">
        <v>5963</v>
      </c>
      <c r="F37" s="878" t="s">
        <v>5962</v>
      </c>
      <c r="G37" s="878" t="s">
        <v>5963</v>
      </c>
      <c r="H37" s="878" t="s">
        <v>5962</v>
      </c>
      <c r="I37" s="878" t="s">
        <v>5963</v>
      </c>
      <c r="J37" s="878" t="s">
        <v>5962</v>
      </c>
      <c r="K37" s="878" t="s">
        <v>5963</v>
      </c>
      <c r="L37" s="878" t="s">
        <v>5962</v>
      </c>
      <c r="M37" s="878" t="s">
        <v>5963</v>
      </c>
      <c r="N37" s="878" t="s">
        <v>5962</v>
      </c>
      <c r="O37" s="878" t="s">
        <v>5963</v>
      </c>
      <c r="P37" s="878" t="s">
        <v>5962</v>
      </c>
      <c r="Q37" s="878" t="s">
        <v>5963</v>
      </c>
      <c r="R37" s="878" t="s">
        <v>5962</v>
      </c>
      <c r="S37" s="878" t="s">
        <v>5963</v>
      </c>
      <c r="T37" s="878" t="s">
        <v>5962</v>
      </c>
      <c r="U37" s="878" t="s">
        <v>5963</v>
      </c>
      <c r="V37" s="878" t="s">
        <v>5962</v>
      </c>
      <c r="W37" s="878" t="s">
        <v>5963</v>
      </c>
      <c r="X37" s="878" t="s">
        <v>5962</v>
      </c>
      <c r="Y37" s="878" t="s">
        <v>5963</v>
      </c>
      <c r="Z37" s="878" t="s">
        <v>5962</v>
      </c>
      <c r="AA37" s="878" t="s">
        <v>5963</v>
      </c>
      <c r="AB37" s="878" t="s">
        <v>5962</v>
      </c>
      <c r="AC37" s="878" t="s">
        <v>5963</v>
      </c>
      <c r="AD37" s="878" t="s">
        <v>5962</v>
      </c>
      <c r="AE37" s="878" t="s">
        <v>5963</v>
      </c>
      <c r="AF37" s="878" t="s">
        <v>5962</v>
      </c>
      <c r="AG37" s="878" t="s">
        <v>5963</v>
      </c>
      <c r="AH37" s="878" t="s">
        <v>5962</v>
      </c>
      <c r="AI37" s="878" t="s">
        <v>5963</v>
      </c>
      <c r="AJ37" s="878" t="s">
        <v>5962</v>
      </c>
      <c r="AK37" s="878" t="s">
        <v>5963</v>
      </c>
      <c r="AL37" s="878" t="s">
        <v>5962</v>
      </c>
      <c r="AM37" s="878" t="s">
        <v>5963</v>
      </c>
      <c r="AN37" s="878" t="s">
        <v>5962</v>
      </c>
      <c r="AO37" s="878" t="s">
        <v>5963</v>
      </c>
      <c r="AP37" s="878" t="s">
        <v>5962</v>
      </c>
      <c r="AQ37" s="878" t="s">
        <v>5963</v>
      </c>
      <c r="AR37" s="878" t="s">
        <v>5962</v>
      </c>
      <c r="AS37" s="878" t="s">
        <v>5963</v>
      </c>
      <c r="AT37" s="878" t="s">
        <v>5962</v>
      </c>
      <c r="AU37" s="878" t="s">
        <v>5963</v>
      </c>
      <c r="AV37" s="878" t="s">
        <v>5962</v>
      </c>
      <c r="AW37" s="878" t="s">
        <v>5963</v>
      </c>
      <c r="AX37" s="878" t="s">
        <v>5962</v>
      </c>
      <c r="AY37" s="878" t="s">
        <v>5963</v>
      </c>
      <c r="AZ37" s="878" t="s">
        <v>5962</v>
      </c>
      <c r="BA37" s="878" t="s">
        <v>5963</v>
      </c>
      <c r="BB37" s="878" t="s">
        <v>5962</v>
      </c>
      <c r="BC37" s="878" t="s">
        <v>5963</v>
      </c>
      <c r="BD37" s="878" t="s">
        <v>5962</v>
      </c>
      <c r="BE37" s="878" t="s">
        <v>5963</v>
      </c>
      <c r="BF37" s="878" t="s">
        <v>5962</v>
      </c>
      <c r="BG37" s="878" t="s">
        <v>5963</v>
      </c>
      <c r="BH37" s="878" t="s">
        <v>5962</v>
      </c>
      <c r="BI37" s="878" t="s">
        <v>5963</v>
      </c>
      <c r="BJ37" s="878" t="s">
        <v>5962</v>
      </c>
      <c r="BK37" s="878" t="s">
        <v>5963</v>
      </c>
      <c r="BL37" s="878" t="s">
        <v>5962</v>
      </c>
      <c r="BM37" s="878" t="s">
        <v>5963</v>
      </c>
      <c r="BN37" s="878" t="s">
        <v>5962</v>
      </c>
      <c r="BO37" s="878" t="s">
        <v>5963</v>
      </c>
      <c r="BP37" s="878" t="s">
        <v>5962</v>
      </c>
      <c r="BQ37" s="878" t="s">
        <v>5963</v>
      </c>
      <c r="BR37" s="878" t="s">
        <v>5962</v>
      </c>
      <c r="BS37" s="878" t="s">
        <v>5963</v>
      </c>
      <c r="BT37" s="878" t="s">
        <v>5962</v>
      </c>
      <c r="BU37" s="878" t="s">
        <v>5963</v>
      </c>
      <c r="BV37" s="878" t="s">
        <v>5962</v>
      </c>
      <c r="BW37" s="878" t="s">
        <v>5963</v>
      </c>
      <c r="BX37" s="878" t="s">
        <v>5962</v>
      </c>
      <c r="BY37" s="878" t="s">
        <v>5963</v>
      </c>
      <c r="BZ37" s="878" t="s">
        <v>5962</v>
      </c>
      <c r="CA37" s="878" t="s">
        <v>5963</v>
      </c>
      <c r="CB37" s="878" t="s">
        <v>5962</v>
      </c>
      <c r="CC37" s="878" t="s">
        <v>5963</v>
      </c>
      <c r="CD37" s="878" t="s">
        <v>5962</v>
      </c>
      <c r="CE37" s="878" t="s">
        <v>5963</v>
      </c>
      <c r="CF37" s="878" t="s">
        <v>5962</v>
      </c>
      <c r="CG37" s="878" t="s">
        <v>5963</v>
      </c>
      <c r="CH37" s="878" t="s">
        <v>5962</v>
      </c>
      <c r="CI37" s="878" t="s">
        <v>5963</v>
      </c>
      <c r="CJ37" s="878" t="s">
        <v>5962</v>
      </c>
      <c r="CK37" s="878" t="s">
        <v>5963</v>
      </c>
      <c r="CL37" s="878" t="s">
        <v>5962</v>
      </c>
      <c r="CM37" s="878" t="s">
        <v>5963</v>
      </c>
      <c r="CN37" s="878" t="s">
        <v>5962</v>
      </c>
      <c r="CO37" s="878" t="s">
        <v>5963</v>
      </c>
      <c r="CP37" s="878" t="s">
        <v>5962</v>
      </c>
      <c r="CQ37" s="878" t="s">
        <v>5963</v>
      </c>
      <c r="CR37" s="878" t="s">
        <v>5962</v>
      </c>
      <c r="CS37" s="878" t="s">
        <v>5963</v>
      </c>
      <c r="CT37" s="878" t="s">
        <v>5962</v>
      </c>
      <c r="CU37" s="878" t="s">
        <v>5963</v>
      </c>
      <c r="CV37" s="878" t="s">
        <v>5962</v>
      </c>
      <c r="CW37" s="878" t="s">
        <v>5963</v>
      </c>
      <c r="CX37" s="878" t="s">
        <v>5962</v>
      </c>
      <c r="CY37" s="878" t="s">
        <v>5963</v>
      </c>
    </row>
    <row r="38" spans="2:103" x14ac:dyDescent="0.25">
      <c r="B38" s="878" t="s">
        <v>5967</v>
      </c>
      <c r="C38" s="886"/>
      <c r="D38" s="879">
        <v>44602</v>
      </c>
      <c r="E38" s="880">
        <v>9685742</v>
      </c>
      <c r="F38" s="879"/>
      <c r="G38" s="880"/>
      <c r="H38" s="879">
        <v>44602</v>
      </c>
      <c r="I38" s="881">
        <v>102022038</v>
      </c>
      <c r="J38" s="879">
        <v>44621</v>
      </c>
      <c r="K38" s="888">
        <v>977145094</v>
      </c>
      <c r="L38" s="879">
        <v>44630</v>
      </c>
      <c r="M38" s="880">
        <v>9735803</v>
      </c>
      <c r="N38" s="879">
        <v>44630</v>
      </c>
      <c r="O38" s="880">
        <f>43458433+342711</f>
        <v>43801144</v>
      </c>
      <c r="P38" s="879"/>
      <c r="Q38" s="880"/>
      <c r="R38" s="879">
        <v>44650</v>
      </c>
      <c r="S38" s="880">
        <v>187574977</v>
      </c>
      <c r="T38" s="879">
        <v>44659</v>
      </c>
      <c r="U38" s="889">
        <v>9755516</v>
      </c>
      <c r="V38" s="879">
        <v>44662</v>
      </c>
      <c r="W38" s="866">
        <f>1746786+1453984</f>
        <v>3200770</v>
      </c>
      <c r="X38" s="879">
        <v>44659</v>
      </c>
      <c r="Y38" s="889">
        <v>102022038</v>
      </c>
      <c r="Z38" s="879">
        <v>44677</v>
      </c>
      <c r="AA38" s="889">
        <v>859748511</v>
      </c>
      <c r="AB38" s="879">
        <v>44690</v>
      </c>
      <c r="AC38" s="889">
        <f>9786724+11175014</f>
        <v>20961738</v>
      </c>
      <c r="AD38" s="879">
        <v>44691</v>
      </c>
      <c r="AE38" s="889">
        <v>4919319</v>
      </c>
      <c r="AF38" s="879">
        <v>44690</v>
      </c>
      <c r="AG38" s="889">
        <v>196049318</v>
      </c>
      <c r="AH38" s="879">
        <v>44705</v>
      </c>
      <c r="AI38" s="889">
        <v>877014107</v>
      </c>
      <c r="AJ38" s="879"/>
      <c r="AK38" s="889"/>
      <c r="AL38" s="879"/>
      <c r="AM38" s="889"/>
      <c r="AN38" s="879"/>
      <c r="AO38" s="889"/>
      <c r="AP38" s="879"/>
      <c r="AQ38" s="889"/>
      <c r="AR38" s="879"/>
      <c r="AS38" s="889"/>
      <c r="AT38" s="879"/>
      <c r="AU38" s="889"/>
      <c r="AV38" s="879"/>
      <c r="AW38" s="889"/>
      <c r="AX38" s="879"/>
      <c r="AY38" s="889"/>
      <c r="AZ38" s="879"/>
      <c r="BA38" s="889"/>
      <c r="BB38" s="879"/>
      <c r="BC38" s="889"/>
      <c r="BD38" s="879"/>
      <c r="BE38" s="889"/>
      <c r="BF38" s="879"/>
      <c r="BG38" s="889"/>
      <c r="BH38" s="879"/>
      <c r="BI38" s="889"/>
      <c r="BJ38" s="879"/>
      <c r="BK38" s="881"/>
      <c r="BL38" s="879"/>
      <c r="BM38" s="889"/>
      <c r="BN38" s="879"/>
      <c r="BO38" s="889"/>
      <c r="BP38" s="879"/>
      <c r="BQ38" s="889"/>
      <c r="BR38" s="879"/>
      <c r="BS38" s="889"/>
      <c r="BT38" s="879"/>
      <c r="BU38" s="889"/>
      <c r="BV38" s="879"/>
      <c r="BW38" s="881"/>
      <c r="BX38" s="879"/>
      <c r="BY38" s="889"/>
      <c r="BZ38" s="879"/>
      <c r="CA38" s="889"/>
      <c r="CB38" s="879"/>
      <c r="CC38" s="889"/>
      <c r="CD38" s="879"/>
      <c r="CE38" s="881"/>
      <c r="CF38" s="879"/>
      <c r="CG38" s="889"/>
      <c r="CH38" s="879"/>
      <c r="CI38" s="889"/>
      <c r="CJ38" s="879"/>
      <c r="CK38" s="889"/>
      <c r="CL38" s="879"/>
      <c r="CM38" s="866"/>
      <c r="CN38" s="879"/>
      <c r="CO38" s="889"/>
      <c r="CP38" s="879"/>
      <c r="CQ38" s="881"/>
      <c r="CR38" s="879"/>
      <c r="CS38" s="881"/>
      <c r="CT38" s="879"/>
      <c r="CU38" s="881"/>
      <c r="CV38" s="879"/>
      <c r="CW38" s="881"/>
      <c r="CX38" s="879"/>
      <c r="CY38" s="881"/>
    </row>
    <row r="39" spans="2:103" x14ac:dyDescent="0.25">
      <c r="B39" s="878" t="s">
        <v>5968</v>
      </c>
      <c r="C39" s="886"/>
      <c r="D39" s="879"/>
      <c r="E39" s="882"/>
      <c r="F39" s="882"/>
      <c r="G39" s="881"/>
      <c r="H39" s="879"/>
      <c r="I39" s="881"/>
      <c r="J39" s="882"/>
      <c r="K39" s="882"/>
      <c r="L39" s="882"/>
      <c r="M39" s="882"/>
      <c r="N39" s="882"/>
      <c r="P39" s="879"/>
      <c r="Q39" s="881"/>
      <c r="R39" s="882"/>
      <c r="S39" s="882"/>
      <c r="T39" s="882"/>
      <c r="U39" s="882"/>
      <c r="V39" s="882"/>
      <c r="W39" s="882"/>
      <c r="X39" s="879"/>
      <c r="Y39" s="881"/>
      <c r="Z39" s="882"/>
      <c r="AA39" s="882"/>
      <c r="AB39" s="882"/>
      <c r="AC39" s="882"/>
      <c r="AD39" s="882"/>
      <c r="AE39" s="882"/>
      <c r="AF39" s="882"/>
      <c r="AG39" s="882"/>
      <c r="AH39" s="882"/>
      <c r="AI39" s="882"/>
      <c r="AJ39" s="879"/>
      <c r="AK39" s="881"/>
      <c r="AL39" s="879"/>
      <c r="AM39" s="881"/>
      <c r="AN39" s="882"/>
      <c r="AO39" s="882"/>
      <c r="AP39" s="882"/>
      <c r="AQ39" s="882"/>
      <c r="AR39" s="882"/>
      <c r="AS39" s="882"/>
      <c r="AT39" s="879"/>
      <c r="AU39" s="881"/>
      <c r="AV39" s="882"/>
      <c r="AW39" s="882"/>
      <c r="AX39" s="882"/>
      <c r="AY39" s="882"/>
      <c r="AZ39" s="882"/>
      <c r="BA39" s="882"/>
      <c r="BB39" s="882"/>
      <c r="BC39" s="882"/>
      <c r="BD39" s="879"/>
      <c r="BE39" s="889"/>
      <c r="BF39" s="882"/>
      <c r="BG39" s="882"/>
      <c r="BH39" s="882"/>
      <c r="BI39" s="882"/>
      <c r="BJ39" s="882"/>
      <c r="BK39" s="882"/>
      <c r="BL39" s="879"/>
      <c r="BM39" s="889"/>
      <c r="BN39" s="882"/>
      <c r="BO39" s="882"/>
      <c r="BP39" s="882"/>
      <c r="BQ39" s="882"/>
      <c r="BR39" s="882"/>
      <c r="BS39" s="882"/>
      <c r="BT39" s="879"/>
      <c r="BU39" s="889"/>
      <c r="BV39" s="882"/>
      <c r="BW39" s="882"/>
      <c r="BX39" s="879"/>
      <c r="BY39" s="889"/>
      <c r="BZ39" s="882"/>
      <c r="CA39" s="882"/>
      <c r="CB39" s="882"/>
      <c r="CC39" s="882"/>
      <c r="CD39" s="882"/>
      <c r="CE39" s="882"/>
      <c r="CF39" s="882"/>
      <c r="CG39" s="882"/>
      <c r="CH39" s="882"/>
      <c r="CI39" s="882"/>
      <c r="CJ39" s="882"/>
      <c r="CK39" s="882"/>
      <c r="CL39" s="882"/>
      <c r="CM39" s="882"/>
      <c r="CN39" s="882"/>
      <c r="CO39" s="882"/>
      <c r="CP39" s="882"/>
      <c r="CQ39" s="882"/>
      <c r="CR39" s="882"/>
      <c r="CS39" s="882"/>
      <c r="CT39" s="882"/>
      <c r="CU39" s="882"/>
      <c r="CV39" s="882"/>
      <c r="CW39" s="882"/>
      <c r="CX39" s="882"/>
      <c r="CY39" s="882"/>
    </row>
    <row r="40" spans="2:103" x14ac:dyDescent="0.25">
      <c r="B40" s="878" t="s">
        <v>5969</v>
      </c>
      <c r="C40" s="886"/>
      <c r="D40" s="879"/>
      <c r="E40" s="882"/>
      <c r="F40" s="879"/>
      <c r="G40" s="881"/>
      <c r="H40" s="879"/>
      <c r="I40" s="881"/>
      <c r="J40" s="882"/>
      <c r="K40" s="882"/>
      <c r="L40" s="882"/>
      <c r="M40" s="882"/>
      <c r="N40" s="882"/>
      <c r="O40" s="882"/>
      <c r="P40" s="882"/>
      <c r="Q40" s="882"/>
      <c r="R40" s="882"/>
      <c r="S40" s="882"/>
      <c r="T40" s="882"/>
      <c r="U40" s="882"/>
      <c r="V40" s="882"/>
      <c r="W40" s="882"/>
      <c r="X40" s="882"/>
      <c r="Y40" s="882"/>
      <c r="Z40" s="882"/>
      <c r="AA40" s="882"/>
      <c r="AB40" s="882"/>
      <c r="AC40" s="882"/>
      <c r="AD40" s="882"/>
      <c r="AE40" s="882"/>
      <c r="AF40" s="882"/>
      <c r="AG40" s="882"/>
      <c r="AH40" s="882"/>
      <c r="AI40" s="882"/>
      <c r="AJ40" s="882"/>
      <c r="AK40" s="882"/>
      <c r="AL40" s="882"/>
      <c r="AM40" s="882"/>
      <c r="AN40" s="882"/>
      <c r="AO40" s="882"/>
      <c r="AP40" s="882"/>
      <c r="AQ40" s="882"/>
      <c r="AR40" s="882"/>
      <c r="AS40" s="882"/>
      <c r="AT40" s="879"/>
      <c r="AU40" s="881"/>
      <c r="AV40" s="882"/>
      <c r="AW40" s="882"/>
      <c r="AX40" s="882"/>
      <c r="AY40" s="882"/>
      <c r="AZ40" s="882"/>
      <c r="BA40" s="882"/>
      <c r="BB40" s="882"/>
      <c r="BC40" s="882"/>
      <c r="BD40" s="879"/>
      <c r="BE40" s="881"/>
      <c r="BF40" s="882"/>
      <c r="BG40" s="882"/>
      <c r="BH40" s="882"/>
      <c r="BI40" s="882"/>
      <c r="BJ40" s="882"/>
      <c r="BK40" s="882"/>
      <c r="BL40" s="879"/>
      <c r="BM40" s="889"/>
      <c r="BN40" s="882"/>
      <c r="BO40" s="882"/>
      <c r="BP40" s="882"/>
      <c r="BQ40" s="882"/>
      <c r="BR40" s="882"/>
      <c r="BS40" s="882"/>
      <c r="BT40" s="882"/>
      <c r="BU40" s="882"/>
      <c r="BV40" s="882"/>
      <c r="BW40" s="882"/>
      <c r="BX40" s="882"/>
      <c r="BY40" s="882"/>
      <c r="BZ40" s="882"/>
      <c r="CA40" s="882"/>
      <c r="CB40" s="882"/>
      <c r="CC40" s="882"/>
      <c r="CD40" s="882"/>
      <c r="CE40" s="882"/>
      <c r="CF40" s="882"/>
      <c r="CG40" s="882"/>
      <c r="CH40" s="882"/>
      <c r="CI40" s="882"/>
      <c r="CJ40" s="882"/>
      <c r="CK40" s="882"/>
      <c r="CL40" s="882"/>
      <c r="CM40" s="882"/>
      <c r="CN40" s="882"/>
      <c r="CO40" s="882"/>
      <c r="CP40" s="882"/>
      <c r="CQ40" s="882"/>
      <c r="CR40" s="882"/>
      <c r="CS40" s="882"/>
      <c r="CT40" s="882"/>
      <c r="CU40" s="882"/>
      <c r="CV40" s="882"/>
      <c r="CW40" s="882"/>
      <c r="CX40" s="882"/>
      <c r="CY40" s="882"/>
    </row>
    <row r="41" spans="2:103" x14ac:dyDescent="0.25">
      <c r="B41" s="878" t="s">
        <v>5970</v>
      </c>
      <c r="C41" s="886"/>
      <c r="D41" s="879"/>
      <c r="E41" s="882"/>
      <c r="F41" s="882"/>
      <c r="G41" s="881"/>
      <c r="H41" s="882"/>
      <c r="I41" s="882"/>
      <c r="J41" s="882"/>
      <c r="K41" s="882"/>
      <c r="L41" s="879"/>
      <c r="M41" s="881"/>
      <c r="N41" s="882"/>
      <c r="O41" s="882"/>
      <c r="P41" s="882"/>
      <c r="Q41" s="882"/>
      <c r="R41" s="882"/>
      <c r="S41" s="882"/>
      <c r="T41" s="882"/>
      <c r="U41" s="882"/>
      <c r="V41" s="882"/>
      <c r="W41" s="882"/>
      <c r="X41" s="882"/>
      <c r="Y41" s="882"/>
      <c r="Z41" s="882"/>
      <c r="AA41" s="882"/>
      <c r="AB41" s="882"/>
      <c r="AC41" s="882"/>
      <c r="AD41" s="882"/>
      <c r="AE41" s="882"/>
      <c r="AF41" s="882"/>
      <c r="AG41" s="882"/>
      <c r="AH41" s="882"/>
      <c r="AI41" s="882"/>
      <c r="AJ41" s="882"/>
      <c r="AK41" s="882"/>
      <c r="AL41" s="882"/>
      <c r="AM41" s="882"/>
      <c r="AN41" s="882"/>
      <c r="AO41" s="882"/>
      <c r="AP41" s="882"/>
      <c r="AQ41" s="882"/>
      <c r="AR41" s="882"/>
      <c r="AS41" s="882"/>
      <c r="AT41" s="882"/>
      <c r="AU41" s="882"/>
      <c r="AV41" s="882"/>
      <c r="AW41" s="882"/>
      <c r="AX41" s="882"/>
      <c r="AY41" s="882"/>
      <c r="AZ41" s="882"/>
      <c r="BA41" s="882"/>
      <c r="BB41" s="882"/>
      <c r="BC41" s="882"/>
      <c r="BD41" s="882"/>
      <c r="BE41" s="882"/>
      <c r="BF41" s="882"/>
      <c r="BG41" s="882"/>
      <c r="BH41" s="882"/>
      <c r="BI41" s="882"/>
      <c r="BJ41" s="882"/>
      <c r="BK41" s="882"/>
      <c r="BL41" s="882"/>
      <c r="BM41" s="882"/>
      <c r="BN41" s="882"/>
      <c r="BO41" s="882"/>
      <c r="BP41" s="882"/>
      <c r="BQ41" s="882"/>
      <c r="BR41" s="882"/>
      <c r="BS41" s="882"/>
      <c r="BT41" s="882"/>
      <c r="BU41" s="882"/>
      <c r="BV41" s="882"/>
      <c r="BW41" s="882"/>
      <c r="BX41" s="882"/>
      <c r="BY41" s="882"/>
      <c r="BZ41" s="882"/>
      <c r="CA41" s="882"/>
      <c r="CB41" s="882"/>
      <c r="CC41" s="882"/>
      <c r="CD41" s="882"/>
      <c r="CE41" s="882"/>
      <c r="CF41" s="882"/>
      <c r="CG41" s="882"/>
      <c r="CH41" s="882"/>
      <c r="CI41" s="882"/>
      <c r="CJ41" s="882"/>
      <c r="CK41" s="882"/>
      <c r="CL41" s="882"/>
      <c r="CM41" s="882"/>
      <c r="CN41" s="882"/>
      <c r="CO41" s="882"/>
      <c r="CP41" s="882"/>
      <c r="CQ41" s="882"/>
      <c r="CR41" s="882"/>
      <c r="CS41" s="882"/>
      <c r="CT41" s="882"/>
      <c r="CU41" s="882"/>
      <c r="CV41" s="882"/>
      <c r="CW41" s="882"/>
      <c r="CX41" s="882"/>
      <c r="CY41" s="882"/>
    </row>
    <row r="42" spans="2:103" x14ac:dyDescent="0.25">
      <c r="B42" s="878" t="s">
        <v>5963</v>
      </c>
      <c r="C42" s="886"/>
      <c r="D42" s="890"/>
      <c r="E42" s="891">
        <f>SUM(E38:E41)</f>
        <v>9685742</v>
      </c>
      <c r="F42" s="878"/>
      <c r="G42" s="892">
        <f>SUM(G38:G41)</f>
        <v>0</v>
      </c>
      <c r="H42" s="878"/>
      <c r="I42" s="893">
        <f>SUM(I38:I41)</f>
        <v>102022038</v>
      </c>
      <c r="J42" s="878"/>
      <c r="K42" s="894">
        <f>SUM(K38:K41)</f>
        <v>977145094</v>
      </c>
      <c r="L42" s="878"/>
      <c r="M42" s="891">
        <f>SUM(M38:M41)</f>
        <v>9735803</v>
      </c>
      <c r="N42" s="878"/>
      <c r="O42" s="891">
        <f>SUM(O38:O41)</f>
        <v>43801144</v>
      </c>
      <c r="P42" s="878"/>
      <c r="Q42" s="891">
        <f>SUM(Q38:Q41)</f>
        <v>0</v>
      </c>
      <c r="R42" s="878"/>
      <c r="S42" s="891">
        <f>SUM(S38:S41)</f>
        <v>187574977</v>
      </c>
      <c r="T42" s="878"/>
      <c r="U42" s="891">
        <f>SUM(U38:U41)</f>
        <v>9755516</v>
      </c>
      <c r="V42" s="878"/>
      <c r="W42" s="891">
        <f>SUM(W38:W41)</f>
        <v>3200770</v>
      </c>
      <c r="X42" s="878"/>
      <c r="Y42" s="891">
        <f>SUM(Y38:Y41)</f>
        <v>102022038</v>
      </c>
      <c r="Z42" s="878"/>
      <c r="AA42" s="891">
        <f>SUM(AA38:AA41)</f>
        <v>859748511</v>
      </c>
      <c r="AB42" s="878"/>
      <c r="AC42" s="891">
        <f>SUM(AC38:AC41)</f>
        <v>20961738</v>
      </c>
      <c r="AD42" s="878"/>
      <c r="AE42" s="891">
        <f>SUM(AE38:AE41)</f>
        <v>4919319</v>
      </c>
      <c r="AF42" s="878"/>
      <c r="AG42" s="891">
        <f>SUM(AG38:AG41)</f>
        <v>196049318</v>
      </c>
      <c r="AH42" s="878"/>
      <c r="AI42" s="891">
        <f>SUM(AI38:AI41)</f>
        <v>877014107</v>
      </c>
      <c r="AJ42" s="878"/>
      <c r="AK42" s="891">
        <f>SUM(AK38:AK41)</f>
        <v>0</v>
      </c>
      <c r="AL42" s="878"/>
      <c r="AM42" s="891">
        <f>SUM(AM38:AM41)</f>
        <v>0</v>
      </c>
      <c r="AN42" s="878"/>
      <c r="AO42" s="891">
        <f>SUM(AO38:AO41)</f>
        <v>0</v>
      </c>
      <c r="AP42" s="878"/>
      <c r="AQ42" s="891">
        <f>SUM(AQ38:AQ41)</f>
        <v>0</v>
      </c>
      <c r="AR42" s="878"/>
      <c r="AS42" s="891">
        <f>SUM(AS38:AS41)</f>
        <v>0</v>
      </c>
      <c r="AT42" s="878"/>
      <c r="AU42" s="891">
        <f>SUM(AU38:AU41)</f>
        <v>0</v>
      </c>
      <c r="AV42" s="878"/>
      <c r="AW42" s="891">
        <f>SUM(AW38:AW41)</f>
        <v>0</v>
      </c>
      <c r="AX42" s="878"/>
      <c r="AY42" s="891">
        <f>SUM(AY38:AY41)</f>
        <v>0</v>
      </c>
      <c r="AZ42" s="878"/>
      <c r="BA42" s="891">
        <f>SUM(BA38:BA41)</f>
        <v>0</v>
      </c>
      <c r="BB42" s="891"/>
      <c r="BC42" s="891"/>
      <c r="BD42" s="878"/>
      <c r="BE42" s="891">
        <f>SUM(BE38:BE41)</f>
        <v>0</v>
      </c>
      <c r="BF42" s="878"/>
      <c r="BG42" s="891">
        <f>SUM(BG38:BG41)</f>
        <v>0</v>
      </c>
      <c r="BH42" s="878"/>
      <c r="BI42" s="891">
        <f>SUM(BI38:BI41)</f>
        <v>0</v>
      </c>
      <c r="BJ42" s="878"/>
      <c r="BK42" s="878"/>
      <c r="BL42" s="878"/>
      <c r="BM42" s="891">
        <f>SUM(BM38:BM41)</f>
        <v>0</v>
      </c>
      <c r="BN42" s="878"/>
      <c r="BO42" s="891">
        <f>SUM(BO38:BO41)</f>
        <v>0</v>
      </c>
      <c r="BP42" s="878"/>
      <c r="BQ42" s="891">
        <f>SUM(BQ38:BQ41)</f>
        <v>0</v>
      </c>
      <c r="BR42" s="878"/>
      <c r="BS42" s="891">
        <f>SUM(BS38:BS41)</f>
        <v>0</v>
      </c>
      <c r="BT42" s="878"/>
      <c r="BU42" s="891">
        <f>SUM(BU38:BU41)</f>
        <v>0</v>
      </c>
      <c r="BV42" s="878"/>
      <c r="BW42" s="878"/>
      <c r="BX42" s="878"/>
      <c r="BY42" s="891">
        <f>SUM(BY38:BY41)</f>
        <v>0</v>
      </c>
      <c r="BZ42" s="878"/>
      <c r="CA42" s="891">
        <f>SUM(CA38:CA41)</f>
        <v>0</v>
      </c>
      <c r="CB42" s="878"/>
      <c r="CC42" s="891">
        <f>SUM(CC38:CC41)</f>
        <v>0</v>
      </c>
      <c r="CD42" s="878"/>
      <c r="CE42" s="878"/>
      <c r="CF42" s="878"/>
      <c r="CG42" s="891">
        <f>SUM(CG38:CG41)</f>
        <v>0</v>
      </c>
      <c r="CH42" s="878"/>
      <c r="CI42" s="891">
        <f>SUM(CI38:CI41)</f>
        <v>0</v>
      </c>
      <c r="CJ42" s="878"/>
      <c r="CK42" s="891">
        <f>SUM(CK38:CK41)</f>
        <v>0</v>
      </c>
      <c r="CL42" s="878"/>
      <c r="CM42" s="891">
        <f>SUM(CM38:CM41)</f>
        <v>0</v>
      </c>
      <c r="CN42" s="878"/>
      <c r="CO42" s="891">
        <f>SUM(CO38:CO41)</f>
        <v>0</v>
      </c>
      <c r="CP42" s="878"/>
      <c r="CQ42" s="878"/>
      <c r="CR42" s="878"/>
      <c r="CS42" s="878"/>
      <c r="CT42" s="878"/>
      <c r="CU42" s="878"/>
      <c r="CV42" s="878"/>
      <c r="CW42" s="878"/>
      <c r="CX42" s="878"/>
      <c r="CY42" s="878"/>
    </row>
    <row r="46" spans="2:103" x14ac:dyDescent="0.25">
      <c r="C46" s="876"/>
      <c r="E46" s="876" t="s">
        <v>6210</v>
      </c>
      <c r="I46" s="876" t="s">
        <v>6240</v>
      </c>
      <c r="M46" s="876" t="s">
        <v>6101</v>
      </c>
      <c r="AB46" s="876" t="s">
        <v>6210</v>
      </c>
    </row>
    <row r="47" spans="2:103" x14ac:dyDescent="0.25">
      <c r="C47" s="876"/>
      <c r="E47" s="883">
        <v>44510</v>
      </c>
      <c r="F47" s="876" t="s">
        <v>6211</v>
      </c>
      <c r="G47" s="884">
        <v>30000000</v>
      </c>
      <c r="I47" s="883">
        <v>44571</v>
      </c>
      <c r="J47" s="876" t="s">
        <v>6241</v>
      </c>
      <c r="K47" s="884">
        <v>31250</v>
      </c>
      <c r="M47" s="876">
        <v>2021</v>
      </c>
      <c r="N47" s="884">
        <v>1341161662</v>
      </c>
      <c r="AB47" s="883">
        <v>44510</v>
      </c>
      <c r="AC47" s="876" t="s">
        <v>6211</v>
      </c>
      <c r="AD47" s="884">
        <v>30000000</v>
      </c>
    </row>
    <row r="48" spans="2:103" x14ac:dyDescent="0.25">
      <c r="C48" s="876"/>
      <c r="E48" s="883">
        <v>44510</v>
      </c>
      <c r="F48" s="876" t="s">
        <v>6212</v>
      </c>
      <c r="G48" s="884">
        <v>57000000</v>
      </c>
      <c r="I48" s="883">
        <v>44571</v>
      </c>
      <c r="J48" s="876" t="s">
        <v>6242</v>
      </c>
      <c r="K48" s="884">
        <v>31250</v>
      </c>
      <c r="AB48" s="883">
        <v>44510</v>
      </c>
      <c r="AC48" s="876" t="s">
        <v>6212</v>
      </c>
      <c r="AD48" s="884">
        <v>57000000</v>
      </c>
    </row>
    <row r="49" spans="3:30" x14ac:dyDescent="0.25">
      <c r="C49" s="876"/>
      <c r="E49" s="883">
        <v>44510</v>
      </c>
      <c r="F49" s="876" t="s">
        <v>6213</v>
      </c>
      <c r="G49" s="884">
        <v>25000000</v>
      </c>
      <c r="I49" s="883">
        <v>44571</v>
      </c>
      <c r="J49" s="876" t="s">
        <v>6243</v>
      </c>
      <c r="K49" s="884">
        <v>75000</v>
      </c>
      <c r="AB49" s="883">
        <v>44510</v>
      </c>
      <c r="AC49" s="876" t="s">
        <v>6213</v>
      </c>
      <c r="AD49" s="884">
        <v>25000000</v>
      </c>
    </row>
    <row r="50" spans="3:30" x14ac:dyDescent="0.25">
      <c r="C50" s="876"/>
      <c r="E50" s="883">
        <v>44540</v>
      </c>
      <c r="F50" s="876" t="s">
        <v>6230</v>
      </c>
      <c r="G50" s="884">
        <v>25000000</v>
      </c>
      <c r="K50" s="884"/>
      <c r="AD50" s="884"/>
    </row>
    <row r="51" spans="3:30" x14ac:dyDescent="0.25">
      <c r="C51" s="876"/>
      <c r="E51" s="883">
        <v>44571</v>
      </c>
      <c r="F51" s="876" t="s">
        <v>6244</v>
      </c>
      <c r="G51" s="884">
        <v>80000000</v>
      </c>
      <c r="AD51" s="884"/>
    </row>
    <row r="52" spans="3:30" x14ac:dyDescent="0.25">
      <c r="C52" s="876"/>
      <c r="E52" s="883">
        <v>44571</v>
      </c>
      <c r="F52" s="876" t="s">
        <v>6245</v>
      </c>
      <c r="G52" s="884">
        <v>23000000</v>
      </c>
      <c r="AD52" s="884"/>
    </row>
    <row r="53" spans="3:30" x14ac:dyDescent="0.25">
      <c r="C53" s="876"/>
      <c r="E53" s="883">
        <v>44571</v>
      </c>
      <c r="F53" s="876" t="s">
        <v>6246</v>
      </c>
      <c r="G53" s="884">
        <v>53333333</v>
      </c>
      <c r="AD53" s="884"/>
    </row>
    <row r="54" spans="3:30" x14ac:dyDescent="0.25">
      <c r="C54" s="876"/>
      <c r="E54" s="883">
        <v>44571</v>
      </c>
      <c r="F54" s="876" t="s">
        <v>6247</v>
      </c>
      <c r="G54" s="884">
        <v>3333333</v>
      </c>
      <c r="AD54" s="884"/>
    </row>
    <row r="55" spans="3:30" x14ac:dyDescent="0.25">
      <c r="C55" s="876"/>
      <c r="E55" s="883">
        <v>44571</v>
      </c>
      <c r="F55" s="876" t="s">
        <v>6248</v>
      </c>
      <c r="G55" s="884">
        <v>2777778</v>
      </c>
      <c r="AD55" s="884"/>
    </row>
    <row r="56" spans="3:30" x14ac:dyDescent="0.25">
      <c r="E56" s="883">
        <v>44571</v>
      </c>
      <c r="F56" s="876" t="s">
        <v>6249</v>
      </c>
      <c r="G56" s="884">
        <v>2777778</v>
      </c>
    </row>
  </sheetData>
  <mergeCells count="194"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tabSelected="1" zoomScaleNormal="100" workbookViewId="0">
      <pane xSplit="2" ySplit="7" topLeftCell="AO93" activePane="bottomRight" state="frozen"/>
      <selection pane="topRight" activeCell="C1" sqref="C1"/>
      <selection pane="bottomLeft" activeCell="A8" sqref="A8"/>
      <selection pane="bottomRight" activeCell="AY96" sqref="AY96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4.8554687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44682</v>
      </c>
      <c r="C4" s="267"/>
      <c r="F4" s="265"/>
    </row>
    <row r="6" spans="1:53" s="269" customFormat="1" x14ac:dyDescent="0.25">
      <c r="A6" s="1433" t="s">
        <v>139</v>
      </c>
      <c r="B6" s="1433" t="s">
        <v>163</v>
      </c>
      <c r="C6" s="1146"/>
      <c r="D6" s="319"/>
      <c r="E6" s="319"/>
      <c r="F6" s="1434" t="s">
        <v>109</v>
      </c>
      <c r="G6" s="1435"/>
      <c r="H6" s="1435"/>
      <c r="I6" s="1435"/>
      <c r="J6" s="1435"/>
      <c r="K6" s="1435"/>
      <c r="L6" s="1435"/>
      <c r="M6" s="1435"/>
      <c r="N6" s="1435"/>
      <c r="O6" s="1435"/>
      <c r="P6" s="1435"/>
      <c r="Q6" s="1435"/>
      <c r="R6" s="1435"/>
      <c r="S6" s="1435"/>
      <c r="T6" s="1435"/>
      <c r="U6" s="1435"/>
      <c r="V6" s="1435"/>
      <c r="W6" s="1435"/>
      <c r="X6" s="1435"/>
      <c r="Y6" s="1435"/>
      <c r="Z6" s="1435"/>
      <c r="AA6" s="1435"/>
      <c r="AB6" s="1435"/>
      <c r="AC6" s="1435"/>
      <c r="AD6" s="1435"/>
      <c r="AE6" s="1435"/>
      <c r="AF6" s="946"/>
      <c r="AG6" s="946"/>
      <c r="AH6" s="946"/>
      <c r="AI6" s="946"/>
      <c r="AJ6" s="946"/>
      <c r="AK6" s="946"/>
      <c r="AL6" s="946"/>
      <c r="AM6" s="1429" t="s">
        <v>24</v>
      </c>
      <c r="AN6" s="268"/>
      <c r="AO6" s="1429" t="s">
        <v>133</v>
      </c>
      <c r="AP6" s="268"/>
      <c r="AQ6" s="1429" t="s">
        <v>136</v>
      </c>
      <c r="AR6" s="268"/>
      <c r="AS6" s="1429" t="s">
        <v>137</v>
      </c>
      <c r="AT6" s="268"/>
      <c r="AU6" s="1429" t="s">
        <v>164</v>
      </c>
      <c r="AV6" s="268"/>
      <c r="AW6" s="1429" t="s">
        <v>138</v>
      </c>
      <c r="AX6" s="268"/>
      <c r="AY6" s="1429" t="s">
        <v>24</v>
      </c>
    </row>
    <row r="7" spans="1:53" s="271" customFormat="1" x14ac:dyDescent="0.25">
      <c r="A7" s="1433"/>
      <c r="B7" s="1433"/>
      <c r="C7" s="1146"/>
      <c r="D7" s="1147">
        <v>2</v>
      </c>
      <c r="E7" s="1147">
        <v>3</v>
      </c>
      <c r="F7" s="1147">
        <v>4</v>
      </c>
      <c r="G7" s="1147">
        <v>5</v>
      </c>
      <c r="H7" s="1147">
        <v>6</v>
      </c>
      <c r="I7" s="1147">
        <v>7</v>
      </c>
      <c r="J7" s="1147">
        <v>8</v>
      </c>
      <c r="K7" s="1147">
        <v>9</v>
      </c>
      <c r="L7" s="1147">
        <v>10</v>
      </c>
      <c r="M7" s="1147">
        <v>11</v>
      </c>
      <c r="N7" s="1147">
        <v>12</v>
      </c>
      <c r="O7" s="1147">
        <v>13</v>
      </c>
      <c r="P7" s="1147">
        <v>14</v>
      </c>
      <c r="Q7" s="1147">
        <v>15</v>
      </c>
      <c r="R7" s="1147">
        <v>16</v>
      </c>
      <c r="S7" s="1147">
        <v>17</v>
      </c>
      <c r="T7" s="1147">
        <v>18</v>
      </c>
      <c r="U7" s="1147">
        <v>19</v>
      </c>
      <c r="V7" s="1147">
        <v>20</v>
      </c>
      <c r="W7" s="1147">
        <v>21</v>
      </c>
      <c r="X7" s="1147">
        <v>22</v>
      </c>
      <c r="Y7" s="1147">
        <v>23</v>
      </c>
      <c r="Z7" s="1147">
        <v>24</v>
      </c>
      <c r="AA7" s="1147">
        <v>25</v>
      </c>
      <c r="AB7" s="1147">
        <v>26</v>
      </c>
      <c r="AC7" s="1147">
        <v>27</v>
      </c>
      <c r="AD7" s="1147">
        <v>28</v>
      </c>
      <c r="AE7" s="1147">
        <v>29</v>
      </c>
      <c r="AF7" s="1147">
        <v>30</v>
      </c>
      <c r="AG7" s="1147">
        <v>31</v>
      </c>
      <c r="AH7" s="1147">
        <v>32</v>
      </c>
      <c r="AI7" s="1147">
        <v>33</v>
      </c>
      <c r="AJ7" s="1147">
        <v>34</v>
      </c>
      <c r="AK7" s="1147">
        <v>35</v>
      </c>
      <c r="AL7" s="1147">
        <v>36</v>
      </c>
      <c r="AM7" s="1429"/>
      <c r="AN7" s="270"/>
      <c r="AO7" s="1429"/>
      <c r="AP7" s="270"/>
      <c r="AQ7" s="1429"/>
      <c r="AR7" s="270"/>
      <c r="AS7" s="1429"/>
      <c r="AT7" s="270"/>
      <c r="AU7" s="1429"/>
      <c r="AV7" s="270"/>
      <c r="AW7" s="1429"/>
      <c r="AX7" s="270"/>
      <c r="AY7" s="1429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 x14ac:dyDescent="0.25">
      <c r="A9" s="1430" t="s">
        <v>86</v>
      </c>
      <c r="B9" s="1148" t="s">
        <v>165</v>
      </c>
      <c r="C9" s="1148"/>
      <c r="D9" s="448"/>
      <c r="E9" s="448"/>
      <c r="F9" s="448"/>
      <c r="G9" s="448"/>
      <c r="H9" s="448"/>
      <c r="I9" s="448"/>
      <c r="J9" s="429"/>
      <c r="K9" s="448"/>
      <c r="L9" s="448">
        <v>93056000</v>
      </c>
      <c r="M9" s="448">
        <v>142160200</v>
      </c>
      <c r="N9" s="448">
        <v>111003400</v>
      </c>
      <c r="O9" s="448">
        <v>288830300</v>
      </c>
      <c r="P9" s="1149">
        <v>105494800</v>
      </c>
      <c r="Q9" s="448"/>
      <c r="R9" s="917">
        <v>108301400</v>
      </c>
      <c r="S9" s="917"/>
      <c r="T9" s="1150">
        <f>138052500+122534500</f>
        <v>260587000</v>
      </c>
      <c r="U9" s="917">
        <v>208896200</v>
      </c>
      <c r="V9" s="448">
        <v>58475100</v>
      </c>
      <c r="W9" s="448">
        <v>37669800</v>
      </c>
      <c r="X9" s="429"/>
      <c r="Y9" s="1150">
        <v>114567000</v>
      </c>
      <c r="Z9" s="1150">
        <v>99751400</v>
      </c>
      <c r="AA9" s="1150">
        <v>209511400</v>
      </c>
      <c r="AB9" s="1150">
        <v>328058500</v>
      </c>
      <c r="AC9" s="429">
        <v>241107600</v>
      </c>
      <c r="AD9" s="735">
        <v>174219800</v>
      </c>
      <c r="AE9" s="448"/>
      <c r="AF9" s="448"/>
      <c r="AG9" s="448"/>
      <c r="AH9" s="448"/>
      <c r="AI9" s="448"/>
      <c r="AJ9" s="448"/>
      <c r="AK9" s="448"/>
      <c r="AL9" s="448"/>
      <c r="AM9" s="429">
        <f>SUM(D9:AL9)</f>
        <v>2581689900</v>
      </c>
      <c r="AN9" s="339"/>
      <c r="AO9" s="429">
        <f>D9+E9+F9+G9+H9+I9+J9</f>
        <v>0</v>
      </c>
      <c r="AP9" s="339"/>
      <c r="AQ9" s="429">
        <f>K9+L9+M9+N9+O9+P9+Q9</f>
        <v>740544700</v>
      </c>
      <c r="AR9" s="339"/>
      <c r="AS9" s="429">
        <f>R9+S9+T9+U9+V9+W9+X9</f>
        <v>673929500</v>
      </c>
      <c r="AT9" s="339"/>
      <c r="AU9" s="429">
        <f>Y9+Z9+AA9+AB9+AC9+AD9+AE9</f>
        <v>1167215700</v>
      </c>
      <c r="AV9" s="339"/>
      <c r="AW9" s="429">
        <f>AF9+AG9+AH9+AI9+AJ9+AK9+AL9</f>
        <v>0</v>
      </c>
      <c r="AX9" s="339"/>
      <c r="AY9" s="429">
        <f>AO9+AQ9+AS9+AU9+AW9</f>
        <v>2581689900</v>
      </c>
      <c r="BA9" s="276"/>
    </row>
    <row r="10" spans="1:53" x14ac:dyDescent="0.25">
      <c r="A10" s="1431"/>
      <c r="B10" s="1148" t="s">
        <v>4305</v>
      </c>
      <c r="C10" s="1148"/>
      <c r="D10" s="448"/>
      <c r="E10" s="1151"/>
      <c r="F10" s="1149"/>
      <c r="G10" s="1149"/>
      <c r="H10" s="448"/>
      <c r="J10" s="1149"/>
      <c r="K10" s="448"/>
      <c r="L10" s="448">
        <v>132403731</v>
      </c>
      <c r="M10" s="448">
        <v>161159049</v>
      </c>
      <c r="N10" s="448">
        <v>35581000</v>
      </c>
      <c r="O10" s="448">
        <v>78697334</v>
      </c>
      <c r="P10" s="1149">
        <v>14993855</v>
      </c>
      <c r="Q10" s="448"/>
      <c r="R10" s="917"/>
      <c r="S10" s="917">
        <v>2735283</v>
      </c>
      <c r="T10" s="917">
        <v>40574700</v>
      </c>
      <c r="U10" s="917">
        <v>37126185</v>
      </c>
      <c r="V10" s="448">
        <v>102979400</v>
      </c>
      <c r="W10" s="448"/>
      <c r="X10" s="429"/>
      <c r="Y10" s="1150"/>
      <c r="Z10" s="1150"/>
      <c r="AA10" s="1150">
        <v>27784800</v>
      </c>
      <c r="AB10" s="1150"/>
      <c r="AC10" s="429"/>
      <c r="AD10" s="960">
        <v>51743610</v>
      </c>
      <c r="AE10" s="448"/>
      <c r="AF10" s="448"/>
      <c r="AG10" s="448"/>
      <c r="AH10" s="448"/>
      <c r="AI10" s="448"/>
      <c r="AJ10" s="956"/>
      <c r="AK10" s="448"/>
      <c r="AL10" s="448"/>
      <c r="AM10" s="429">
        <f>SUM(D10:AL10)</f>
        <v>685778947</v>
      </c>
      <c r="AN10" s="339"/>
      <c r="AO10" s="429">
        <f t="shared" ref="AO10:AO11" si="0">D10+E10+F10+G10+H10+I10+J10</f>
        <v>0</v>
      </c>
      <c r="AP10" s="339"/>
      <c r="AQ10" s="429">
        <f t="shared" ref="AQ10:AQ11" si="1">K10+L10+M10+N10+O10+P10+Q10</f>
        <v>422834969</v>
      </c>
      <c r="AR10" s="339"/>
      <c r="AS10" s="429">
        <f>R10+S10+T10+U10+V10+W10+X10</f>
        <v>183415568</v>
      </c>
      <c r="AT10" s="339"/>
      <c r="AU10" s="429">
        <f>Y10+Z10+AA10+AB10+AC10+AD10+AE10</f>
        <v>79528410</v>
      </c>
      <c r="AV10" s="339"/>
      <c r="AW10" s="429">
        <f t="shared" ref="AW10:AW11" si="2">AF10+AG10+AH10+AI10+AJ10+AK10+AL10</f>
        <v>0</v>
      </c>
      <c r="AX10" s="339"/>
      <c r="AY10" s="429">
        <f>AO10+AQ10+AS10+AU10+AW10</f>
        <v>685778947</v>
      </c>
      <c r="BA10" s="276"/>
    </row>
    <row r="11" spans="1:53" ht="17.25" thickBot="1" x14ac:dyDescent="0.3">
      <c r="A11" s="1431"/>
      <c r="B11" s="1148" t="s">
        <v>4306</v>
      </c>
      <c r="C11" s="1148"/>
      <c r="D11" s="448"/>
      <c r="E11" s="448"/>
      <c r="F11" s="450"/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/>
      <c r="S11" s="917">
        <f>450000+100000</f>
        <v>550000</v>
      </c>
      <c r="T11" s="448"/>
      <c r="U11" s="448"/>
      <c r="V11" s="448"/>
      <c r="W11" s="448"/>
      <c r="X11" s="429"/>
      <c r="Y11" s="1150"/>
      <c r="Z11" s="448"/>
      <c r="AA11" s="448"/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ref="AM11" si="3">SUM(D11:AL11)</f>
        <v>550000</v>
      </c>
      <c r="AN11" s="339"/>
      <c r="AO11" s="429">
        <f t="shared" si="0"/>
        <v>0</v>
      </c>
      <c r="AP11" s="339"/>
      <c r="AQ11" s="429">
        <f t="shared" si="1"/>
        <v>0</v>
      </c>
      <c r="AR11" s="339"/>
      <c r="AS11" s="429">
        <f>R11+S11+T11+U11+V11+W11+X11</f>
        <v>550000</v>
      </c>
      <c r="AT11" s="339"/>
      <c r="AU11" s="429">
        <f>Y11+Z11+AA11+AB11+AC11+AD11+AE11</f>
        <v>0</v>
      </c>
      <c r="AV11" s="339"/>
      <c r="AW11" s="429">
        <f t="shared" si="2"/>
        <v>0</v>
      </c>
      <c r="AX11" s="339"/>
      <c r="AY11" s="429">
        <f t="shared" ref="AY11" si="4">AO11+AQ11+AS11+AU11+AW11</f>
        <v>550000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 t="shared" ref="D12" si="5">SUM(D9:D11)</f>
        <v>0</v>
      </c>
      <c r="E12" s="333">
        <f>SUM(E9:E11)</f>
        <v>0</v>
      </c>
      <c r="F12" s="333">
        <f>SUM(F9:F11)</f>
        <v>0</v>
      </c>
      <c r="G12" s="333">
        <f>SUM(G9:G11)</f>
        <v>0</v>
      </c>
      <c r="H12" s="333">
        <f t="shared" ref="H12:AL12" si="6">SUM(H9:H11)</f>
        <v>0</v>
      </c>
      <c r="I12" s="333">
        <f t="shared" si="6"/>
        <v>0</v>
      </c>
      <c r="J12" s="333">
        <f t="shared" si="6"/>
        <v>0</v>
      </c>
      <c r="K12" s="333">
        <f t="shared" si="6"/>
        <v>0</v>
      </c>
      <c r="L12" s="333">
        <f t="shared" si="6"/>
        <v>225459731</v>
      </c>
      <c r="M12" s="333">
        <f>SUM(M9:M11)</f>
        <v>303319249</v>
      </c>
      <c r="N12" s="333">
        <f t="shared" si="6"/>
        <v>146584400</v>
      </c>
      <c r="O12" s="333">
        <f t="shared" si="6"/>
        <v>367527634</v>
      </c>
      <c r="P12" s="333">
        <f t="shared" si="6"/>
        <v>120488655</v>
      </c>
      <c r="Q12" s="333">
        <f t="shared" si="6"/>
        <v>0</v>
      </c>
      <c r="R12" s="333">
        <f>SUM(R9:R11)</f>
        <v>108301400</v>
      </c>
      <c r="S12" s="333">
        <f t="shared" si="6"/>
        <v>3285283</v>
      </c>
      <c r="T12" s="333">
        <f t="shared" si="6"/>
        <v>301161700</v>
      </c>
      <c r="U12" s="333">
        <f t="shared" si="6"/>
        <v>246022385</v>
      </c>
      <c r="V12" s="333">
        <f t="shared" si="6"/>
        <v>161454500</v>
      </c>
      <c r="W12" s="333">
        <f t="shared" si="6"/>
        <v>37669800</v>
      </c>
      <c r="X12" s="333">
        <f t="shared" si="6"/>
        <v>0</v>
      </c>
      <c r="Y12" s="333">
        <f>SUM(Y9:Y11)</f>
        <v>114567000</v>
      </c>
      <c r="Z12" s="333">
        <f>SUM(Z9:Z11)</f>
        <v>99751400</v>
      </c>
      <c r="AA12" s="333">
        <f t="shared" si="6"/>
        <v>237296200</v>
      </c>
      <c r="AB12" s="333">
        <f t="shared" si="6"/>
        <v>328058500</v>
      </c>
      <c r="AC12" s="333">
        <f>SUM(AC9:AC11)</f>
        <v>241107600</v>
      </c>
      <c r="AD12" s="333">
        <f t="shared" si="6"/>
        <v>225963410</v>
      </c>
      <c r="AE12" s="333">
        <f t="shared" si="6"/>
        <v>0</v>
      </c>
      <c r="AF12" s="333">
        <f t="shared" si="6"/>
        <v>0</v>
      </c>
      <c r="AG12" s="333">
        <f t="shared" si="6"/>
        <v>0</v>
      </c>
      <c r="AH12" s="333">
        <f t="shared" si="6"/>
        <v>0</v>
      </c>
      <c r="AI12" s="333">
        <f t="shared" si="6"/>
        <v>0</v>
      </c>
      <c r="AJ12" s="333">
        <f t="shared" si="6"/>
        <v>0</v>
      </c>
      <c r="AK12" s="333">
        <f t="shared" si="6"/>
        <v>0</v>
      </c>
      <c r="AL12" s="333">
        <f t="shared" si="6"/>
        <v>0</v>
      </c>
      <c r="AM12" s="321">
        <f>SUM(D12:AL12)</f>
        <v>3268018847</v>
      </c>
      <c r="AN12" s="341"/>
      <c r="AO12" s="321">
        <f t="shared" ref="AO12:AV12" si="7">SUM(AO9:AO11)</f>
        <v>0</v>
      </c>
      <c r="AP12" s="321">
        <f t="shared" si="7"/>
        <v>0</v>
      </c>
      <c r="AQ12" s="321">
        <f t="shared" si="7"/>
        <v>1163379669</v>
      </c>
      <c r="AR12" s="321">
        <f t="shared" si="7"/>
        <v>0</v>
      </c>
      <c r="AS12" s="321">
        <f t="shared" si="7"/>
        <v>857895068</v>
      </c>
      <c r="AT12" s="321">
        <f t="shared" si="7"/>
        <v>0</v>
      </c>
      <c r="AU12" s="321">
        <f t="shared" si="7"/>
        <v>1246744110</v>
      </c>
      <c r="AV12" s="321">
        <f t="shared" si="7"/>
        <v>0</v>
      </c>
      <c r="AW12" s="321">
        <f>SUM(AW9:AW11)</f>
        <v>0</v>
      </c>
      <c r="AX12" s="328"/>
      <c r="AY12" s="342">
        <f>SUM(AY9:AY11)</f>
        <v>3268018847</v>
      </c>
      <c r="BA12" s="276"/>
    </row>
    <row r="13" spans="1:53" ht="17.25" thickTop="1" x14ac:dyDescent="0.25">
      <c r="A13" s="1432" t="s">
        <v>87</v>
      </c>
      <c r="B13" s="1148" t="s">
        <v>165</v>
      </c>
      <c r="C13" s="280"/>
      <c r="D13" s="917"/>
      <c r="E13" s="917"/>
      <c r="F13" s="917"/>
      <c r="G13" s="917"/>
      <c r="H13" s="917"/>
      <c r="I13" s="917"/>
      <c r="J13" s="726"/>
      <c r="K13" s="917"/>
      <c r="L13" s="860">
        <v>82108700</v>
      </c>
      <c r="M13" s="917">
        <v>228653700</v>
      </c>
      <c r="N13" s="917">
        <v>381577100</v>
      </c>
      <c r="O13" s="917">
        <v>378798400</v>
      </c>
      <c r="P13" s="917">
        <v>592368900</v>
      </c>
      <c r="Q13" s="917"/>
      <c r="R13" s="917">
        <v>243384000</v>
      </c>
      <c r="S13" s="917">
        <v>133773500</v>
      </c>
      <c r="T13" s="1150">
        <v>160010100</v>
      </c>
      <c r="U13" s="917">
        <v>207575500</v>
      </c>
      <c r="V13" s="917">
        <v>150625300</v>
      </c>
      <c r="W13" s="860">
        <v>339940500</v>
      </c>
      <c r="X13" s="917"/>
      <c r="Y13" s="1150">
        <v>224701200</v>
      </c>
      <c r="Z13" s="1150">
        <v>89516800</v>
      </c>
      <c r="AA13" s="1150">
        <v>133332000</v>
      </c>
      <c r="AB13" s="1150">
        <v>148600900</v>
      </c>
      <c r="AC13" s="860">
        <v>119234800</v>
      </c>
      <c r="AD13" s="860">
        <v>301950000</v>
      </c>
      <c r="AE13" s="917"/>
      <c r="AF13" s="917"/>
      <c r="AG13" s="917"/>
      <c r="AH13" s="917"/>
      <c r="AI13" s="917"/>
      <c r="AJ13" s="917"/>
      <c r="AK13" s="917"/>
      <c r="AL13" s="917"/>
      <c r="AM13" s="429">
        <f>SUM(D13:AL13)</f>
        <v>3916151400</v>
      </c>
      <c r="AN13" s="339"/>
      <c r="AO13" s="429">
        <f>D13+E13+F13+G13+H13+I13+J13</f>
        <v>0</v>
      </c>
      <c r="AP13" s="339"/>
      <c r="AQ13" s="429">
        <f>K13+L13+M13+N13+O13+P13+Q13</f>
        <v>1663506800</v>
      </c>
      <c r="AR13" s="339"/>
      <c r="AS13" s="429">
        <f>R13+S13+T13+U13+V13+W13+X13</f>
        <v>1235308900</v>
      </c>
      <c r="AT13" s="339"/>
      <c r="AU13" s="429">
        <f>Y13+Z13+AA13+AB13+AC13+AD13+AE13</f>
        <v>1017335700</v>
      </c>
      <c r="AV13" s="339"/>
      <c r="AW13" s="429">
        <f>AF13+AG13+AH13+AI13+AJ13+AK13+AL13</f>
        <v>0</v>
      </c>
      <c r="AX13" s="339"/>
      <c r="AY13" s="429">
        <f>AO13+AQ13+AS13+AU13+AW13</f>
        <v>3916151400</v>
      </c>
      <c r="BA13" s="276"/>
    </row>
    <row r="14" spans="1:53" x14ac:dyDescent="0.25">
      <c r="A14" s="1432"/>
      <c r="B14" s="1148" t="s">
        <v>4305</v>
      </c>
      <c r="C14" s="1148"/>
      <c r="D14" s="917"/>
      <c r="E14" s="1152"/>
      <c r="F14" s="1153"/>
      <c r="G14" s="1153"/>
      <c r="H14" s="917"/>
      <c r="J14" s="917"/>
      <c r="K14" s="917"/>
      <c r="L14" s="860">
        <v>41487472</v>
      </c>
      <c r="M14" s="917">
        <v>56969329</v>
      </c>
      <c r="N14" s="917">
        <v>1261472595</v>
      </c>
      <c r="O14" s="917"/>
      <c r="P14" s="917">
        <v>18201335</v>
      </c>
      <c r="Q14" s="917"/>
      <c r="R14" s="917"/>
      <c r="S14" s="917">
        <v>1757000</v>
      </c>
      <c r="T14" s="917">
        <v>1793873</v>
      </c>
      <c r="U14" s="917">
        <v>154100</v>
      </c>
      <c r="V14" s="1150">
        <v>15057100</v>
      </c>
      <c r="W14" s="860">
        <v>742265300</v>
      </c>
      <c r="X14" s="917"/>
      <c r="Y14" s="1150"/>
      <c r="Z14" s="1150">
        <v>23327500</v>
      </c>
      <c r="AA14" s="1150">
        <v>10250642</v>
      </c>
      <c r="AB14" s="1150">
        <v>14045248</v>
      </c>
      <c r="AC14" s="860"/>
      <c r="AD14" s="1154"/>
      <c r="AE14" s="917"/>
      <c r="AF14" s="917"/>
      <c r="AG14" s="917"/>
      <c r="AH14" s="917"/>
      <c r="AI14" s="955"/>
      <c r="AJ14" s="917"/>
      <c r="AK14" s="917"/>
      <c r="AL14" s="917"/>
      <c r="AM14" s="429">
        <f t="shared" ref="AM14:AM15" si="8">SUM(D14:AL14)</f>
        <v>2186781494</v>
      </c>
      <c r="AN14" s="339"/>
      <c r="AO14" s="429">
        <f t="shared" ref="AO14:AO15" si="9">D14+E14+F14+G14+H14+I14+J14</f>
        <v>0</v>
      </c>
      <c r="AP14" s="339"/>
      <c r="AQ14" s="429">
        <f t="shared" ref="AQ14:AQ15" si="10">K14+L14+M14+N14+O14+P14+Q14</f>
        <v>1378130731</v>
      </c>
      <c r="AR14" s="339"/>
      <c r="AS14" s="429">
        <f>R14+S14+T14+U14+V14+W14+X14</f>
        <v>761027373</v>
      </c>
      <c r="AT14" s="339"/>
      <c r="AU14" s="429">
        <f>Y14+Z14+AA14+AB14+AC14+AD14+AE14</f>
        <v>47623390</v>
      </c>
      <c r="AV14" s="339"/>
      <c r="AW14" s="429">
        <f t="shared" ref="AW14:AW15" si="11">AF14+AG14+AH14+AI14+AJ14+AK14+AL14</f>
        <v>0</v>
      </c>
      <c r="AX14" s="339"/>
      <c r="AY14" s="429">
        <f>AO14+AQ14+AS14+AU14+AW14</f>
        <v>2186781494</v>
      </c>
      <c r="BA14" s="276"/>
    </row>
    <row r="15" spans="1:53" ht="17.25" thickBot="1" x14ac:dyDescent="0.3">
      <c r="A15" s="1432"/>
      <c r="B15" s="1148" t="s">
        <v>4306</v>
      </c>
      <c r="C15" s="1148"/>
      <c r="D15" s="917"/>
      <c r="E15" s="917"/>
      <c r="F15" s="861"/>
      <c r="G15" s="726"/>
      <c r="H15" s="917"/>
      <c r="I15" s="917"/>
      <c r="J15" s="726"/>
      <c r="K15" s="917"/>
      <c r="L15" s="917"/>
      <c r="M15" s="917"/>
      <c r="N15" s="917"/>
      <c r="O15" s="917"/>
      <c r="P15" s="917"/>
      <c r="Q15" s="917"/>
      <c r="R15" s="917"/>
      <c r="S15" s="917"/>
      <c r="T15" s="917"/>
      <c r="U15" s="917">
        <v>50000</v>
      </c>
      <c r="V15" s="917"/>
      <c r="W15" s="860"/>
      <c r="X15" s="917"/>
      <c r="Y15" s="1150"/>
      <c r="Z15" s="917"/>
      <c r="AA15" s="917"/>
      <c r="AB15" s="917"/>
      <c r="AC15" s="860"/>
      <c r="AD15" s="860"/>
      <c r="AE15" s="917"/>
      <c r="AF15" s="917"/>
      <c r="AG15" s="917"/>
      <c r="AH15" s="917"/>
      <c r="AI15" s="917"/>
      <c r="AJ15" s="917"/>
      <c r="AK15" s="917"/>
      <c r="AL15" s="917"/>
      <c r="AM15" s="429">
        <f t="shared" si="8"/>
        <v>50000</v>
      </c>
      <c r="AN15" s="339"/>
      <c r="AO15" s="429">
        <f t="shared" si="9"/>
        <v>0</v>
      </c>
      <c r="AP15" s="339"/>
      <c r="AQ15" s="429">
        <f t="shared" si="10"/>
        <v>0</v>
      </c>
      <c r="AR15" s="281" t="e">
        <f>N15+O15+P15+Q15+R15+S15+#REF!</f>
        <v>#REF!</v>
      </c>
      <c r="AS15" s="429">
        <f>R15+S15+T15+U15+V15+W15+X15</f>
        <v>50000</v>
      </c>
      <c r="AT15" s="339"/>
      <c r="AU15" s="429">
        <f>Y15+Z15+AA15+AB15+AC15+AD15+AE15</f>
        <v>0</v>
      </c>
      <c r="AV15" s="339"/>
      <c r="AW15" s="429">
        <f t="shared" si="11"/>
        <v>0</v>
      </c>
      <c r="AX15" s="339"/>
      <c r="AY15" s="429">
        <f>AO15+AQ15+AS15+AU15+AW15</f>
        <v>50000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 t="shared" ref="D16" si="12">SUM(D13:D15)</f>
        <v>0</v>
      </c>
      <c r="E16" s="333">
        <f>SUM(E13:E15)</f>
        <v>0</v>
      </c>
      <c r="F16" s="333">
        <f>SUM(F13:F15)</f>
        <v>0</v>
      </c>
      <c r="G16" s="333">
        <f>SUM(G13:G15)</f>
        <v>0</v>
      </c>
      <c r="H16" s="333">
        <f t="shared" ref="H16:AL16" si="13">SUM(H13:H15)</f>
        <v>0</v>
      </c>
      <c r="I16" s="333">
        <f t="shared" si="13"/>
        <v>0</v>
      </c>
      <c r="J16" s="333">
        <f t="shared" si="13"/>
        <v>0</v>
      </c>
      <c r="K16" s="333">
        <f t="shared" si="13"/>
        <v>0</v>
      </c>
      <c r="L16" s="333">
        <f t="shared" si="13"/>
        <v>123596172</v>
      </c>
      <c r="M16" s="333">
        <f>SUM(M13:M15)</f>
        <v>285623029</v>
      </c>
      <c r="N16" s="333">
        <f t="shared" si="13"/>
        <v>1643049695</v>
      </c>
      <c r="O16" s="333">
        <f t="shared" si="13"/>
        <v>378798400</v>
      </c>
      <c r="P16" s="333">
        <f t="shared" si="13"/>
        <v>610570235</v>
      </c>
      <c r="Q16" s="333">
        <f t="shared" si="13"/>
        <v>0</v>
      </c>
      <c r="R16" s="333">
        <f t="shared" si="13"/>
        <v>243384000</v>
      </c>
      <c r="S16" s="333">
        <f t="shared" si="13"/>
        <v>135530500</v>
      </c>
      <c r="T16" s="333">
        <f t="shared" si="13"/>
        <v>161803973</v>
      </c>
      <c r="U16" s="333">
        <f t="shared" si="13"/>
        <v>207779600</v>
      </c>
      <c r="V16" s="333">
        <f t="shared" si="13"/>
        <v>165682400</v>
      </c>
      <c r="W16" s="333">
        <f t="shared" si="13"/>
        <v>1082205800</v>
      </c>
      <c r="X16" s="333">
        <f t="shared" si="13"/>
        <v>0</v>
      </c>
      <c r="Y16" s="333">
        <f t="shared" si="13"/>
        <v>224701200</v>
      </c>
      <c r="Z16" s="333">
        <f>SUM(Z13:Z15)</f>
        <v>112844300</v>
      </c>
      <c r="AA16" s="333">
        <f t="shared" si="13"/>
        <v>143582642</v>
      </c>
      <c r="AB16" s="333">
        <f t="shared" si="13"/>
        <v>162646148</v>
      </c>
      <c r="AC16" s="333">
        <f>SUM(AC13:AC15)</f>
        <v>119234800</v>
      </c>
      <c r="AD16" s="333">
        <f t="shared" si="13"/>
        <v>301950000</v>
      </c>
      <c r="AE16" s="333">
        <f t="shared" si="13"/>
        <v>0</v>
      </c>
      <c r="AF16" s="333">
        <f t="shared" si="13"/>
        <v>0</v>
      </c>
      <c r="AG16" s="333">
        <f t="shared" si="13"/>
        <v>0</v>
      </c>
      <c r="AH16" s="333">
        <f t="shared" si="13"/>
        <v>0</v>
      </c>
      <c r="AI16" s="333">
        <f t="shared" si="13"/>
        <v>0</v>
      </c>
      <c r="AJ16" s="333">
        <f t="shared" si="13"/>
        <v>0</v>
      </c>
      <c r="AK16" s="333">
        <f t="shared" si="13"/>
        <v>0</v>
      </c>
      <c r="AL16" s="333">
        <f t="shared" si="13"/>
        <v>0</v>
      </c>
      <c r="AM16" s="321">
        <f>SUM(D16:AL16)</f>
        <v>6102982894</v>
      </c>
      <c r="AN16" s="341"/>
      <c r="AO16" s="321">
        <f t="shared" ref="AO16:AW16" si="14">SUM(AO13:AO15)</f>
        <v>0</v>
      </c>
      <c r="AP16" s="321">
        <f t="shared" si="14"/>
        <v>0</v>
      </c>
      <c r="AQ16" s="321">
        <f t="shared" si="14"/>
        <v>3041637531</v>
      </c>
      <c r="AR16" s="321" t="e">
        <f t="shared" si="14"/>
        <v>#REF!</v>
      </c>
      <c r="AS16" s="321">
        <f t="shared" si="14"/>
        <v>1996386273</v>
      </c>
      <c r="AT16" s="321">
        <f t="shared" si="14"/>
        <v>0</v>
      </c>
      <c r="AU16" s="321">
        <f t="shared" si="14"/>
        <v>1064959090</v>
      </c>
      <c r="AV16" s="321">
        <f t="shared" si="14"/>
        <v>0</v>
      </c>
      <c r="AW16" s="321">
        <f t="shared" si="14"/>
        <v>0</v>
      </c>
      <c r="AX16" s="328"/>
      <c r="AY16" s="342">
        <f>SUM(AY13:AY15)</f>
        <v>6102982894</v>
      </c>
      <c r="BA16" s="276"/>
    </row>
    <row r="17" spans="1:53" ht="17.25" thickTop="1" x14ac:dyDescent="0.25">
      <c r="A17" s="1445" t="s">
        <v>88</v>
      </c>
      <c r="B17" s="1148" t="s">
        <v>165</v>
      </c>
      <c r="C17" s="280"/>
      <c r="D17" s="917"/>
      <c r="E17" s="917"/>
      <c r="F17" s="917"/>
      <c r="G17" s="917"/>
      <c r="H17" s="917"/>
      <c r="I17" s="917"/>
      <c r="J17" s="726"/>
      <c r="K17" s="917"/>
      <c r="L17" s="860">
        <v>184480400</v>
      </c>
      <c r="M17" s="917">
        <v>319794200</v>
      </c>
      <c r="N17" s="917">
        <v>372315200</v>
      </c>
      <c r="O17" s="917">
        <v>186951700</v>
      </c>
      <c r="P17" s="917">
        <v>312747700</v>
      </c>
      <c r="Q17" s="917"/>
      <c r="R17" s="917">
        <v>511023700</v>
      </c>
      <c r="S17" s="917">
        <v>198209400</v>
      </c>
      <c r="T17" s="1150">
        <v>189698600</v>
      </c>
      <c r="U17" s="917">
        <v>201417800</v>
      </c>
      <c r="V17" s="917">
        <v>142917700</v>
      </c>
      <c r="W17" s="917">
        <v>191013100</v>
      </c>
      <c r="X17" s="860"/>
      <c r="Y17" s="1150">
        <v>196782800</v>
      </c>
      <c r="Z17" s="1150">
        <v>217887800</v>
      </c>
      <c r="AA17" s="1150">
        <v>137081300</v>
      </c>
      <c r="AB17" s="1150">
        <v>318511900</v>
      </c>
      <c r="AC17" s="860">
        <v>342345100</v>
      </c>
      <c r="AD17" s="917">
        <v>232371200</v>
      </c>
      <c r="AE17" s="917"/>
      <c r="AF17" s="917"/>
      <c r="AG17" s="917"/>
      <c r="AH17" s="917"/>
      <c r="AI17" s="917"/>
      <c r="AJ17" s="917"/>
      <c r="AK17" s="917"/>
      <c r="AL17" s="917"/>
      <c r="AM17" s="429">
        <f>SUM(D17:AL17)</f>
        <v>4255549600</v>
      </c>
      <c r="AN17" s="339"/>
      <c r="AO17" s="429">
        <f>D17+E17+F17+G17+H17+I17+J17</f>
        <v>0</v>
      </c>
      <c r="AP17" s="339"/>
      <c r="AQ17" s="429">
        <f>K17+L17+M17+N17+O17+P17+Q17</f>
        <v>1376289200</v>
      </c>
      <c r="AR17" s="339"/>
      <c r="AS17" s="429">
        <f>R17+S17+T17+U17+V17+W17+X17</f>
        <v>1434280300</v>
      </c>
      <c r="AT17" s="339"/>
      <c r="AU17" s="429">
        <f>Y17+Z17+AA17+AB17+AC17+AD17+AE17</f>
        <v>1444980100</v>
      </c>
      <c r="AV17" s="339"/>
      <c r="AW17" s="429">
        <f>AF17+AG17+AH17+AI17+AJ17+AK17+AL17</f>
        <v>0</v>
      </c>
      <c r="AX17" s="339"/>
      <c r="AY17" s="429">
        <f>AO17+AQ17+AS17+AU17+AW17</f>
        <v>4255549600</v>
      </c>
      <c r="BA17" s="276"/>
    </row>
    <row r="18" spans="1:53" x14ac:dyDescent="0.25">
      <c r="A18" s="1445"/>
      <c r="B18" s="1148" t="s">
        <v>4305</v>
      </c>
      <c r="C18" s="1148"/>
      <c r="D18" s="917"/>
      <c r="E18" s="917">
        <v>34385637</v>
      </c>
      <c r="F18" s="917"/>
      <c r="G18" s="917"/>
      <c r="H18" s="917"/>
      <c r="J18" s="917"/>
      <c r="K18" s="917"/>
      <c r="L18" s="860">
        <v>3000000</v>
      </c>
      <c r="M18" s="917">
        <v>31632370</v>
      </c>
      <c r="N18" s="917">
        <v>49875104</v>
      </c>
      <c r="O18" s="917">
        <v>157874799</v>
      </c>
      <c r="P18" s="726">
        <v>155823810</v>
      </c>
      <c r="Q18" s="917"/>
      <c r="R18" s="917"/>
      <c r="S18" s="917"/>
      <c r="T18" s="917">
        <v>138025900</v>
      </c>
      <c r="U18" s="917"/>
      <c r="V18" s="1150">
        <v>955000</v>
      </c>
      <c r="W18" s="917">
        <v>7724662</v>
      </c>
      <c r="X18" s="860"/>
      <c r="Y18" s="1150"/>
      <c r="Z18" s="1150">
        <v>17759400</v>
      </c>
      <c r="AA18" s="1150"/>
      <c r="AB18" s="1150">
        <v>76403823</v>
      </c>
      <c r="AC18" s="860"/>
      <c r="AD18" s="917">
        <v>15581368</v>
      </c>
      <c r="AE18" s="917"/>
      <c r="AF18" s="917"/>
      <c r="AG18" s="917"/>
      <c r="AH18" s="917"/>
      <c r="AI18" s="917"/>
      <c r="AJ18" s="917"/>
      <c r="AK18" s="917"/>
      <c r="AL18" s="917"/>
      <c r="AM18" s="429">
        <f t="shared" ref="AM18:AM19" si="15">SUM(D18:AL18)</f>
        <v>689041873</v>
      </c>
      <c r="AN18" s="339"/>
      <c r="AO18" s="429">
        <f t="shared" ref="AO18:AO19" si="16">D18+E18+F18+G18+H18+I18+J18</f>
        <v>34385637</v>
      </c>
      <c r="AP18" s="339"/>
      <c r="AQ18" s="429">
        <f t="shared" ref="AQ18:AQ19" si="17">K18+L18+M18+N18+O18+P18+Q18</f>
        <v>398206083</v>
      </c>
      <c r="AR18" s="339"/>
      <c r="AS18" s="429">
        <f>R18+S18+T18+U18+V18+W18+X18</f>
        <v>146705562</v>
      </c>
      <c r="AT18" s="339"/>
      <c r="AU18" s="429">
        <f>Y18+Z18+AA18+AB18+AC18+AD18+AE18</f>
        <v>109744591</v>
      </c>
      <c r="AV18" s="339"/>
      <c r="AW18" s="429">
        <f t="shared" ref="AW18:AW19" si="18">AF18+AG18+AH18+AI18+AJ18+AK18+AL18</f>
        <v>0</v>
      </c>
      <c r="AX18" s="339"/>
      <c r="AY18" s="429">
        <f>AO18+AQ18+AS18+AU18+AW18</f>
        <v>689041873</v>
      </c>
      <c r="BA18" s="276"/>
    </row>
    <row r="19" spans="1:53" ht="17.25" thickBot="1" x14ac:dyDescent="0.3">
      <c r="A19" s="1445"/>
      <c r="B19" s="1148" t="s">
        <v>4306</v>
      </c>
      <c r="C19" s="1148"/>
      <c r="D19" s="917"/>
      <c r="E19" s="917"/>
      <c r="F19" s="861"/>
      <c r="G19" s="726"/>
      <c r="H19" s="917"/>
      <c r="I19" s="917"/>
      <c r="J19" s="917"/>
      <c r="L19" s="917"/>
      <c r="M19" s="917"/>
      <c r="N19" s="917"/>
      <c r="O19" s="862"/>
      <c r="P19" s="917"/>
      <c r="Q19" s="917"/>
      <c r="R19" s="917"/>
      <c r="S19" s="917"/>
      <c r="T19" s="917"/>
      <c r="U19" s="917"/>
      <c r="V19" s="917">
        <f>450000+450000</f>
        <v>900000</v>
      </c>
      <c r="W19" s="917"/>
      <c r="X19" s="860"/>
      <c r="Z19" s="1150"/>
      <c r="AA19" s="917"/>
      <c r="AB19" s="917"/>
      <c r="AC19" s="860"/>
      <c r="AD19" s="917"/>
      <c r="AE19" s="917"/>
      <c r="AF19" s="917"/>
      <c r="AG19" s="917"/>
      <c r="AH19" s="917"/>
      <c r="AI19" s="917"/>
      <c r="AJ19" s="917"/>
      <c r="AK19" s="917"/>
      <c r="AL19" s="917"/>
      <c r="AM19" s="429">
        <f t="shared" si="15"/>
        <v>900000</v>
      </c>
      <c r="AN19" s="339"/>
      <c r="AO19" s="429">
        <f t="shared" si="16"/>
        <v>0</v>
      </c>
      <c r="AP19" s="339"/>
      <c r="AQ19" s="429">
        <f t="shared" si="17"/>
        <v>0</v>
      </c>
      <c r="AR19" s="339"/>
      <c r="AS19" s="429">
        <f>R19+S19+T19+U19+V19+W19+X19</f>
        <v>900000</v>
      </c>
      <c r="AT19" s="339"/>
      <c r="AU19" s="429">
        <f>Y19+Z19+AA19+AB19+AC19+AD19+AE19</f>
        <v>0</v>
      </c>
      <c r="AV19" s="339"/>
      <c r="AW19" s="429">
        <f t="shared" si="18"/>
        <v>0</v>
      </c>
      <c r="AX19" s="339"/>
      <c r="AY19" s="429">
        <f>AO19+AQ19+AS19+AU19+AW19</f>
        <v>900000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 t="shared" ref="D20" si="19">SUM(D17:D19)</f>
        <v>0</v>
      </c>
      <c r="E20" s="333">
        <f>SUM(E17:E19)</f>
        <v>34385637</v>
      </c>
      <c r="F20" s="333">
        <f>SUM(F17:F19)</f>
        <v>0</v>
      </c>
      <c r="G20" s="333">
        <f>SUM(G17:G19)</f>
        <v>0</v>
      </c>
      <c r="H20" s="333">
        <f t="shared" ref="H20:AL20" si="20">SUM(H17:H19)</f>
        <v>0</v>
      </c>
      <c r="I20" s="333">
        <f t="shared" si="20"/>
        <v>0</v>
      </c>
      <c r="J20" s="333">
        <f t="shared" si="20"/>
        <v>0</v>
      </c>
      <c r="K20" s="333">
        <f t="shared" si="20"/>
        <v>0</v>
      </c>
      <c r="L20" s="333">
        <f>SUM(L17:L19)</f>
        <v>187480400</v>
      </c>
      <c r="M20" s="333">
        <f>SUM(M17:M19)</f>
        <v>351426570</v>
      </c>
      <c r="N20" s="333">
        <f t="shared" si="20"/>
        <v>422190304</v>
      </c>
      <c r="O20" s="333">
        <f t="shared" si="20"/>
        <v>344826499</v>
      </c>
      <c r="P20" s="333">
        <f>SUM(P17:P19)</f>
        <v>468571510</v>
      </c>
      <c r="Q20" s="333">
        <f t="shared" si="20"/>
        <v>0</v>
      </c>
      <c r="R20" s="333">
        <f t="shared" si="20"/>
        <v>511023700</v>
      </c>
      <c r="S20" s="333">
        <f t="shared" si="20"/>
        <v>198209400</v>
      </c>
      <c r="T20" s="333">
        <f>SUM(T17:T19)</f>
        <v>327724500</v>
      </c>
      <c r="U20" s="333">
        <f t="shared" si="20"/>
        <v>201417800</v>
      </c>
      <c r="V20" s="333">
        <f t="shared" si="20"/>
        <v>144772700</v>
      </c>
      <c r="W20" s="333">
        <f t="shared" si="20"/>
        <v>198737762</v>
      </c>
      <c r="X20" s="333">
        <f t="shared" si="20"/>
        <v>0</v>
      </c>
      <c r="Y20" s="333">
        <f t="shared" si="20"/>
        <v>196782800</v>
      </c>
      <c r="Z20" s="333">
        <f>SUM(Z17:Z19)</f>
        <v>235647200</v>
      </c>
      <c r="AA20" s="333">
        <f t="shared" si="20"/>
        <v>137081300</v>
      </c>
      <c r="AB20" s="333">
        <f t="shared" si="20"/>
        <v>394915723</v>
      </c>
      <c r="AC20" s="333">
        <f>SUM(AC17:AC19)</f>
        <v>342345100</v>
      </c>
      <c r="AD20" s="333">
        <f t="shared" si="20"/>
        <v>247952568</v>
      </c>
      <c r="AE20" s="333">
        <f t="shared" si="20"/>
        <v>0</v>
      </c>
      <c r="AF20" s="333">
        <f t="shared" si="20"/>
        <v>0</v>
      </c>
      <c r="AG20" s="333">
        <f t="shared" si="20"/>
        <v>0</v>
      </c>
      <c r="AH20" s="333">
        <f t="shared" si="20"/>
        <v>0</v>
      </c>
      <c r="AI20" s="333">
        <f t="shared" si="20"/>
        <v>0</v>
      </c>
      <c r="AJ20" s="333">
        <f t="shared" si="20"/>
        <v>0</v>
      </c>
      <c r="AK20" s="333">
        <f t="shared" si="20"/>
        <v>0</v>
      </c>
      <c r="AL20" s="333">
        <f t="shared" si="20"/>
        <v>0</v>
      </c>
      <c r="AM20" s="321">
        <f>SUM(D20:AL20)</f>
        <v>4945491473</v>
      </c>
      <c r="AN20" s="341"/>
      <c r="AO20" s="321">
        <f t="shared" ref="AO20:AW20" si="21">SUM(AO17:AO19)</f>
        <v>34385637</v>
      </c>
      <c r="AP20" s="321">
        <f t="shared" si="21"/>
        <v>0</v>
      </c>
      <c r="AQ20" s="321">
        <f t="shared" si="21"/>
        <v>1774495283</v>
      </c>
      <c r="AR20" s="321">
        <f t="shared" si="21"/>
        <v>0</v>
      </c>
      <c r="AS20" s="321">
        <f t="shared" si="21"/>
        <v>1581885862</v>
      </c>
      <c r="AT20" s="321">
        <f t="shared" si="21"/>
        <v>0</v>
      </c>
      <c r="AU20" s="321">
        <f t="shared" si="21"/>
        <v>1554724691</v>
      </c>
      <c r="AV20" s="321">
        <f t="shared" si="21"/>
        <v>0</v>
      </c>
      <c r="AW20" s="321">
        <f t="shared" si="21"/>
        <v>0</v>
      </c>
      <c r="AX20" s="328"/>
      <c r="AY20" s="342">
        <f>SUM(AY17:AY19)</f>
        <v>4945491473</v>
      </c>
      <c r="BA20" s="276"/>
    </row>
    <row r="21" spans="1:53" ht="17.25" thickTop="1" x14ac:dyDescent="0.25">
      <c r="A21" s="1446" t="s">
        <v>82</v>
      </c>
      <c r="B21" s="1148" t="s">
        <v>165</v>
      </c>
      <c r="C21" s="280"/>
      <c r="D21" s="917"/>
      <c r="E21" s="917"/>
      <c r="F21" s="917"/>
      <c r="G21" s="917"/>
      <c r="H21" s="917"/>
      <c r="I21" s="917"/>
      <c r="J21" s="726"/>
      <c r="K21" s="917"/>
      <c r="L21" s="860">
        <v>104214300</v>
      </c>
      <c r="M21" s="917">
        <v>168883800</v>
      </c>
      <c r="N21" s="917">
        <v>204000300</v>
      </c>
      <c r="O21" s="917">
        <v>213067300</v>
      </c>
      <c r="P21" s="917">
        <v>119594800</v>
      </c>
      <c r="Q21" s="917"/>
      <c r="R21" s="917">
        <v>159889100</v>
      </c>
      <c r="S21" s="917">
        <v>41258400</v>
      </c>
      <c r="T21" s="1150">
        <v>31656800</v>
      </c>
      <c r="U21" s="917">
        <v>66795900</v>
      </c>
      <c r="V21" s="917">
        <v>87624800</v>
      </c>
      <c r="W21" s="917">
        <v>85441400</v>
      </c>
      <c r="X21" s="860"/>
      <c r="Y21" s="1150">
        <v>53882400</v>
      </c>
      <c r="Z21" s="1150">
        <v>58872700</v>
      </c>
      <c r="AA21" s="1150">
        <v>81373700</v>
      </c>
      <c r="AB21" s="1150">
        <v>75937300</v>
      </c>
      <c r="AC21" s="860">
        <v>186622300</v>
      </c>
      <c r="AD21" s="863">
        <v>161014000</v>
      </c>
      <c r="AE21" s="917"/>
      <c r="AF21" s="917"/>
      <c r="AG21" s="917"/>
      <c r="AH21" s="917"/>
      <c r="AI21" s="917"/>
      <c r="AJ21" s="1153"/>
      <c r="AK21" s="917"/>
      <c r="AL21" s="917"/>
      <c r="AM21" s="429">
        <f>SUM(D21:AL21)</f>
        <v>1900129300</v>
      </c>
      <c r="AN21" s="339"/>
      <c r="AO21" s="429">
        <f>D21+E21+F21+G21+H21+I21+J21</f>
        <v>0</v>
      </c>
      <c r="AP21" s="339"/>
      <c r="AQ21" s="429">
        <f>K21+L21+M21+N21+O21+P21+Q21</f>
        <v>809760500</v>
      </c>
      <c r="AR21" s="339"/>
      <c r="AS21" s="429">
        <f>R21+S21+T21+U21+V21+W21+X21</f>
        <v>472666400</v>
      </c>
      <c r="AT21" s="339"/>
      <c r="AU21" s="429">
        <f>Y21+Z21+AA21+AB21+AC21+AD21+AE21</f>
        <v>617702400</v>
      </c>
      <c r="AV21" s="339"/>
      <c r="AW21" s="429">
        <f>AF21+AG21+AH21+AI21+AJ21+AK21+AL21</f>
        <v>0</v>
      </c>
      <c r="AX21" s="339"/>
      <c r="AY21" s="429">
        <f>AO21+AQ21+AS21+AU21+AW21</f>
        <v>1900129300</v>
      </c>
      <c r="BA21" s="276"/>
    </row>
    <row r="22" spans="1:53" x14ac:dyDescent="0.25">
      <c r="A22" s="1446"/>
      <c r="B22" s="1148" t="s">
        <v>4305</v>
      </c>
      <c r="C22" s="1148"/>
      <c r="D22" s="917"/>
      <c r="E22" s="1153">
        <v>18792010</v>
      </c>
      <c r="F22" s="1153"/>
      <c r="G22" s="917"/>
      <c r="H22" s="917">
        <v>2429800</v>
      </c>
      <c r="J22" s="917"/>
      <c r="K22" s="917"/>
      <c r="L22" s="860">
        <v>34145600</v>
      </c>
      <c r="M22" s="917">
        <v>950679846</v>
      </c>
      <c r="N22" s="917">
        <v>90276719</v>
      </c>
      <c r="O22" s="917"/>
      <c r="P22" s="726">
        <v>62386684</v>
      </c>
      <c r="Q22" s="917"/>
      <c r="R22" s="917"/>
      <c r="S22" s="917">
        <v>4863471</v>
      </c>
      <c r="T22" s="917">
        <v>220370501</v>
      </c>
      <c r="U22" s="917"/>
      <c r="V22" s="726">
        <v>3663000</v>
      </c>
      <c r="W22" s="917">
        <v>163569999</v>
      </c>
      <c r="X22" s="860"/>
      <c r="Y22" s="1150"/>
      <c r="Z22" s="1150">
        <v>41011100</v>
      </c>
      <c r="AA22" s="1150">
        <v>8458459</v>
      </c>
      <c r="AB22" s="1150">
        <v>1666240</v>
      </c>
      <c r="AC22" s="860"/>
      <c r="AD22" s="962">
        <v>372521261</v>
      </c>
      <c r="AE22" s="917"/>
      <c r="AF22" s="917"/>
      <c r="AG22" s="917"/>
      <c r="AH22" s="917"/>
      <c r="AI22" s="917"/>
      <c r="AJ22" s="1153"/>
      <c r="AK22" s="917"/>
      <c r="AL22" s="917"/>
      <c r="AM22" s="429">
        <f t="shared" ref="AM22:AM23" si="22">SUM(D22:AL22)</f>
        <v>1974834690</v>
      </c>
      <c r="AN22" s="339"/>
      <c r="AO22" s="429">
        <f t="shared" ref="AO22:AO23" si="23">D22+E22+F22+G22+H22+I22+J22</f>
        <v>21221810</v>
      </c>
      <c r="AP22" s="339"/>
      <c r="AQ22" s="429">
        <f t="shared" ref="AQ22:AQ23" si="24">K22+L22+M22+N22+O22+P22+Q22</f>
        <v>1137488849</v>
      </c>
      <c r="AR22" s="339"/>
      <c r="AS22" s="429">
        <f>R22+S22+T22+U22+V22+W22+X22</f>
        <v>392466971</v>
      </c>
      <c r="AT22" s="339"/>
      <c r="AU22" s="429">
        <f>Y22+Z22+AA22+AB22+AC22+AD22+AE22</f>
        <v>423657060</v>
      </c>
      <c r="AV22" s="339"/>
      <c r="AW22" s="429">
        <f t="shared" ref="AW22:AW23" si="25">AF22+AG22+AH22+AI22+AJ22+AK22+AL22</f>
        <v>0</v>
      </c>
      <c r="AX22" s="339"/>
      <c r="AY22" s="429">
        <f>AO22+AQ22+AS22+AU22+AW22</f>
        <v>1974834690</v>
      </c>
      <c r="BA22" s="276"/>
    </row>
    <row r="23" spans="1:53" ht="17.25" thickBot="1" x14ac:dyDescent="0.3">
      <c r="A23" s="1446"/>
      <c r="B23" s="1148" t="s">
        <v>4306</v>
      </c>
      <c r="C23" s="1148"/>
      <c r="D23" s="917">
        <v>52500</v>
      </c>
      <c r="E23" s="917"/>
      <c r="F23" s="861"/>
      <c r="G23" s="726"/>
      <c r="H23" s="917"/>
      <c r="I23" s="917"/>
      <c r="J23" s="917"/>
      <c r="K23" s="917"/>
      <c r="L23" s="917">
        <v>48000</v>
      </c>
      <c r="M23" s="917"/>
      <c r="N23" s="917"/>
      <c r="O23" s="862"/>
      <c r="P23" s="917"/>
      <c r="Q23" s="917"/>
      <c r="R23" s="917"/>
      <c r="S23" s="917"/>
      <c r="T23" s="917"/>
      <c r="U23" s="917"/>
      <c r="V23" s="917"/>
      <c r="W23" s="917"/>
      <c r="X23" s="860"/>
      <c r="Y23" s="1150"/>
      <c r="Z23" s="917">
        <v>22000</v>
      </c>
      <c r="AA23" s="917"/>
      <c r="AB23" s="917">
        <v>150200</v>
      </c>
      <c r="AC23" s="860"/>
      <c r="AD23" s="726"/>
      <c r="AE23" s="917"/>
      <c r="AF23" s="917"/>
      <c r="AG23" s="917"/>
      <c r="AH23" s="917"/>
      <c r="AI23" s="917"/>
      <c r="AJ23" s="1153"/>
      <c r="AK23" s="917"/>
      <c r="AL23" s="917"/>
      <c r="AM23" s="429">
        <f t="shared" si="22"/>
        <v>272700</v>
      </c>
      <c r="AN23" s="339"/>
      <c r="AO23" s="429">
        <f t="shared" si="23"/>
        <v>52500</v>
      </c>
      <c r="AP23" s="339"/>
      <c r="AQ23" s="429">
        <f t="shared" si="24"/>
        <v>48000</v>
      </c>
      <c r="AR23" s="339"/>
      <c r="AS23" s="429">
        <f>R23+S23+T23+U23+V23+W23+X23</f>
        <v>0</v>
      </c>
      <c r="AT23" s="339"/>
      <c r="AU23" s="429">
        <f>Y23+Z23+AA23+AB23+AC23+AD23+AE23</f>
        <v>172200</v>
      </c>
      <c r="AV23" s="339"/>
      <c r="AW23" s="429">
        <f t="shared" si="25"/>
        <v>0</v>
      </c>
      <c r="AX23" s="339"/>
      <c r="AY23" s="429">
        <f>AO23+AQ23+AS23+AU23+AW23</f>
        <v>272700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 t="shared" ref="D24" si="26">SUM(D21:D23)</f>
        <v>52500</v>
      </c>
      <c r="E24" s="333">
        <f>SUM(E21:E23)</f>
        <v>18792010</v>
      </c>
      <c r="F24" s="333">
        <f>SUM(F21:F23)</f>
        <v>0</v>
      </c>
      <c r="G24" s="333">
        <f>SUM(G21:G23)</f>
        <v>0</v>
      </c>
      <c r="H24" s="333">
        <f>SUM(H21:H23)</f>
        <v>2429800</v>
      </c>
      <c r="I24" s="333">
        <f t="shared" ref="I24:AL24" si="27">SUM(I21:I23)</f>
        <v>0</v>
      </c>
      <c r="J24" s="333">
        <f t="shared" si="27"/>
        <v>0</v>
      </c>
      <c r="K24" s="333">
        <f t="shared" si="27"/>
        <v>0</v>
      </c>
      <c r="L24" s="333">
        <f>SUM(L21:L23)</f>
        <v>138407900</v>
      </c>
      <c r="M24" s="333">
        <f>SUM(M21:M23)</f>
        <v>1119563646</v>
      </c>
      <c r="N24" s="333">
        <f t="shared" si="27"/>
        <v>294277019</v>
      </c>
      <c r="O24" s="333">
        <f t="shared" si="27"/>
        <v>213067300</v>
      </c>
      <c r="P24" s="333">
        <f>SUM(P21:P23)</f>
        <v>181981484</v>
      </c>
      <c r="Q24" s="333">
        <f t="shared" si="27"/>
        <v>0</v>
      </c>
      <c r="R24" s="333">
        <f>SUM(R21:R23)</f>
        <v>159889100</v>
      </c>
      <c r="S24" s="333">
        <f t="shared" si="27"/>
        <v>46121871</v>
      </c>
      <c r="T24" s="333">
        <f t="shared" si="27"/>
        <v>252027301</v>
      </c>
      <c r="U24" s="333">
        <f t="shared" si="27"/>
        <v>66795900</v>
      </c>
      <c r="V24" s="333">
        <f t="shared" si="27"/>
        <v>91287800</v>
      </c>
      <c r="W24" s="333">
        <f t="shared" si="27"/>
        <v>249011399</v>
      </c>
      <c r="X24" s="333">
        <f t="shared" si="27"/>
        <v>0</v>
      </c>
      <c r="Y24" s="333">
        <f t="shared" si="27"/>
        <v>53882400</v>
      </c>
      <c r="Z24" s="333">
        <f t="shared" si="27"/>
        <v>99905800</v>
      </c>
      <c r="AA24" s="333">
        <f t="shared" si="27"/>
        <v>89832159</v>
      </c>
      <c r="AB24" s="333">
        <f t="shared" si="27"/>
        <v>77753740</v>
      </c>
      <c r="AC24" s="333">
        <f t="shared" si="27"/>
        <v>186622300</v>
      </c>
      <c r="AD24" s="333">
        <f t="shared" si="27"/>
        <v>533535261</v>
      </c>
      <c r="AE24" s="333">
        <f t="shared" si="27"/>
        <v>0</v>
      </c>
      <c r="AF24" s="333">
        <f t="shared" si="27"/>
        <v>0</v>
      </c>
      <c r="AG24" s="333">
        <f t="shared" si="27"/>
        <v>0</v>
      </c>
      <c r="AH24" s="333">
        <f>SUM(AH21:AH23)</f>
        <v>0</v>
      </c>
      <c r="AI24" s="333">
        <f t="shared" si="27"/>
        <v>0</v>
      </c>
      <c r="AJ24" s="333">
        <f t="shared" si="27"/>
        <v>0</v>
      </c>
      <c r="AK24" s="333">
        <f t="shared" si="27"/>
        <v>0</v>
      </c>
      <c r="AL24" s="333">
        <f t="shared" si="27"/>
        <v>0</v>
      </c>
      <c r="AM24" s="321">
        <f>SUM(D24:AL24)</f>
        <v>3875236690</v>
      </c>
      <c r="AN24" s="341"/>
      <c r="AO24" s="321">
        <f t="shared" ref="AO24:AW24" si="28">SUM(AO21:AO23)</f>
        <v>21274310</v>
      </c>
      <c r="AP24" s="321">
        <f t="shared" si="28"/>
        <v>0</v>
      </c>
      <c r="AQ24" s="321">
        <f t="shared" si="28"/>
        <v>1947297349</v>
      </c>
      <c r="AR24" s="321">
        <f t="shared" si="28"/>
        <v>0</v>
      </c>
      <c r="AS24" s="321">
        <f t="shared" si="28"/>
        <v>865133371</v>
      </c>
      <c r="AT24" s="321">
        <f t="shared" si="28"/>
        <v>0</v>
      </c>
      <c r="AU24" s="321">
        <f t="shared" si="28"/>
        <v>1041531660</v>
      </c>
      <c r="AV24" s="321">
        <f t="shared" si="28"/>
        <v>0</v>
      </c>
      <c r="AW24" s="321">
        <f t="shared" si="28"/>
        <v>0</v>
      </c>
      <c r="AX24" s="328"/>
      <c r="AY24" s="342">
        <f>SUM(AY21:AY23)</f>
        <v>3875236690</v>
      </c>
      <c r="BA24" s="276"/>
    </row>
    <row r="25" spans="1:53" ht="17.25" thickTop="1" x14ac:dyDescent="0.25">
      <c r="A25" s="1447" t="s">
        <v>80</v>
      </c>
      <c r="B25" s="1148" t="s">
        <v>165</v>
      </c>
      <c r="C25" s="280"/>
      <c r="D25" s="917"/>
      <c r="E25" s="917"/>
      <c r="F25" s="917"/>
      <c r="G25" s="1153"/>
      <c r="H25" s="917"/>
      <c r="I25" s="917"/>
      <c r="J25" s="864"/>
      <c r="K25" s="917"/>
      <c r="L25" s="860">
        <v>153788000</v>
      </c>
      <c r="M25" s="917">
        <v>354628700</v>
      </c>
      <c r="N25" s="917">
        <v>508055400</v>
      </c>
      <c r="O25" s="917">
        <v>282531600</v>
      </c>
      <c r="P25" s="917">
        <v>282056000</v>
      </c>
      <c r="Q25" s="917"/>
      <c r="R25" s="917">
        <v>586671200</v>
      </c>
      <c r="S25" s="917">
        <v>500782600</v>
      </c>
      <c r="T25" s="1150">
        <v>489436100</v>
      </c>
      <c r="U25" s="917">
        <v>314089100</v>
      </c>
      <c r="V25" s="917">
        <v>545883600</v>
      </c>
      <c r="W25" s="917">
        <v>311369400</v>
      </c>
      <c r="X25" s="917"/>
      <c r="Y25" s="860">
        <v>293669800</v>
      </c>
      <c r="Z25" s="860">
        <v>257219300</v>
      </c>
      <c r="AA25" s="1150">
        <v>227743700</v>
      </c>
      <c r="AB25" s="1150">
        <v>451026000</v>
      </c>
      <c r="AC25" s="860">
        <v>356361100</v>
      </c>
      <c r="AD25" s="961">
        <v>474012400</v>
      </c>
      <c r="AE25" s="917"/>
      <c r="AF25" s="917"/>
      <c r="AG25" s="917"/>
      <c r="AH25" s="917"/>
      <c r="AI25" s="1153"/>
      <c r="AJ25" s="917"/>
      <c r="AK25" s="917"/>
      <c r="AL25" s="917"/>
      <c r="AM25" s="429">
        <f>SUM(D25:AL25)</f>
        <v>6389324000</v>
      </c>
      <c r="AN25" s="339"/>
      <c r="AO25" s="429">
        <f>D25+E25+F25+G25+H25+I25+J25</f>
        <v>0</v>
      </c>
      <c r="AP25" s="339"/>
      <c r="AQ25" s="429">
        <f>K25+L25+M25+N25+O25+P25+Q25</f>
        <v>1581059700</v>
      </c>
      <c r="AR25" s="339"/>
      <c r="AS25" s="429">
        <f>R25+S25+T25+U25+V25+W25+X25</f>
        <v>2748232000</v>
      </c>
      <c r="AT25" s="339"/>
      <c r="AU25" s="429">
        <f>Y25+Z25+AA25+AB25+AC25+AD25+AE25</f>
        <v>2060032300</v>
      </c>
      <c r="AV25" s="339"/>
      <c r="AW25" s="429">
        <f>AF25+AG25+AH25+AI25+AJ25+AK25+AL25</f>
        <v>0</v>
      </c>
      <c r="AX25" s="339"/>
      <c r="AY25" s="429">
        <f>AO25+AQ25+AS25+AU25+AW25</f>
        <v>6389324000</v>
      </c>
      <c r="BA25" s="276"/>
    </row>
    <row r="26" spans="1:53" x14ac:dyDescent="0.25">
      <c r="A26" s="1447"/>
      <c r="B26" s="1148" t="s">
        <v>4305</v>
      </c>
      <c r="C26" s="1148"/>
      <c r="D26" s="917"/>
      <c r="E26" s="1153">
        <v>14558878</v>
      </c>
      <c r="F26" s="955"/>
      <c r="G26" s="1153"/>
      <c r="H26" s="1153">
        <v>11710975</v>
      </c>
      <c r="J26" s="860"/>
      <c r="K26" s="1153">
        <v>3706864</v>
      </c>
      <c r="L26" s="981">
        <v>900711405.00999999</v>
      </c>
      <c r="M26" s="955">
        <v>978282117.86000001</v>
      </c>
      <c r="N26" s="917">
        <v>1770018592</v>
      </c>
      <c r="O26" s="917">
        <v>199319694</v>
      </c>
      <c r="P26" s="917">
        <v>103732685</v>
      </c>
      <c r="Q26" s="917"/>
      <c r="R26" s="917"/>
      <c r="S26" s="917">
        <v>186141641</v>
      </c>
      <c r="T26" s="917">
        <v>412718649</v>
      </c>
      <c r="U26" s="1153">
        <v>111653952</v>
      </c>
      <c r="V26" s="1153">
        <v>78339069</v>
      </c>
      <c r="W26" s="1152">
        <v>1877833776.9400001</v>
      </c>
      <c r="X26" s="917"/>
      <c r="Y26" s="860"/>
      <c r="Z26" s="981">
        <v>142625036</v>
      </c>
      <c r="AA26" s="917">
        <v>371101851</v>
      </c>
      <c r="AB26" s="1150">
        <v>181853105</v>
      </c>
      <c r="AC26" s="860"/>
      <c r="AD26" s="962">
        <v>688434881</v>
      </c>
      <c r="AE26" s="917"/>
      <c r="AF26" s="917"/>
      <c r="AG26" s="917"/>
      <c r="AH26" s="917"/>
      <c r="AI26" s="1153"/>
      <c r="AJ26" s="917"/>
      <c r="AK26" s="917"/>
      <c r="AL26" s="917"/>
      <c r="AM26" s="429">
        <f t="shared" ref="AM26:AM27" si="29">SUM(D26:AL26)</f>
        <v>8032743171.8099995</v>
      </c>
      <c r="AN26" s="339"/>
      <c r="AO26" s="429">
        <f t="shared" ref="AO26:AO27" si="30">D26+E26+F26+G26+H26+I26+J26</f>
        <v>26269853</v>
      </c>
      <c r="AP26" s="339"/>
      <c r="AQ26" s="429">
        <f t="shared" ref="AQ26:AQ27" si="31">K26+L26+M26+N26+O26+P26+Q26</f>
        <v>3955771357.8699999</v>
      </c>
      <c r="AR26" s="339"/>
      <c r="AS26" s="429">
        <f>R26+S26+T26+U26+V26+W26+X26</f>
        <v>2666687087.9400001</v>
      </c>
      <c r="AT26" s="339"/>
      <c r="AU26" s="429">
        <f>Y26+Z26+AA26+AB26+AC26+AD26+AE26</f>
        <v>1384014873</v>
      </c>
      <c r="AV26" s="339"/>
      <c r="AW26" s="429">
        <f t="shared" ref="AW26:AW27" si="32">AF26+AG26+AH26+AI26+AJ26+AK26+AL26</f>
        <v>0</v>
      </c>
      <c r="AX26" s="339"/>
      <c r="AY26" s="429">
        <f>AO26+AQ26+AS26+AU26+AW26</f>
        <v>8032743171.8099995</v>
      </c>
      <c r="BA26" s="276"/>
    </row>
    <row r="27" spans="1:53" ht="17.25" thickBot="1" x14ac:dyDescent="0.3">
      <c r="A27" s="1447"/>
      <c r="B27" s="1148" t="s">
        <v>4306</v>
      </c>
      <c r="C27" s="1148"/>
      <c r="D27" s="917">
        <f>642078+3000000+500000</f>
        <v>4142078</v>
      </c>
      <c r="E27" s="917"/>
      <c r="F27" s="861"/>
      <c r="G27" s="963"/>
      <c r="H27" s="917"/>
      <c r="I27" s="917"/>
      <c r="J27" s="861"/>
      <c r="K27" s="917"/>
      <c r="L27" s="917"/>
      <c r="M27" s="917"/>
      <c r="N27" s="917"/>
      <c r="O27" s="917">
        <f>3679400+21997+279598</f>
        <v>3980995</v>
      </c>
      <c r="P27" s="917"/>
      <c r="Q27" s="917"/>
      <c r="R27" s="917"/>
      <c r="S27" s="917"/>
      <c r="T27" s="1150">
        <v>495395</v>
      </c>
      <c r="U27" s="917"/>
      <c r="V27" s="917"/>
      <c r="W27" s="917"/>
      <c r="X27" s="917"/>
      <c r="Y27" s="860"/>
      <c r="Z27" s="917"/>
      <c r="AA27" s="917">
        <v>6504545</v>
      </c>
      <c r="AB27" s="917"/>
      <c r="AC27" s="860"/>
      <c r="AD27" s="963">
        <v>25300</v>
      </c>
      <c r="AE27" s="917"/>
      <c r="AF27" s="917"/>
      <c r="AG27" s="917"/>
      <c r="AH27" s="917"/>
      <c r="AI27" s="1153"/>
      <c r="AJ27" s="917"/>
      <c r="AK27" s="917"/>
      <c r="AL27" s="917"/>
      <c r="AM27" s="429">
        <f t="shared" si="29"/>
        <v>15148313</v>
      </c>
      <c r="AN27" s="339"/>
      <c r="AO27" s="429">
        <f t="shared" si="30"/>
        <v>4142078</v>
      </c>
      <c r="AP27" s="339"/>
      <c r="AQ27" s="429">
        <f t="shared" si="31"/>
        <v>3980995</v>
      </c>
      <c r="AR27" s="339"/>
      <c r="AS27" s="429">
        <f>R27+S27+T27+U27+V27+W27+X27</f>
        <v>495395</v>
      </c>
      <c r="AT27" s="339"/>
      <c r="AU27" s="429">
        <f>Y27+Z27+AA27+AB27+AC27+AD27+AE27</f>
        <v>6529845</v>
      </c>
      <c r="AV27" s="339"/>
      <c r="AW27" s="429">
        <f t="shared" si="32"/>
        <v>0</v>
      </c>
      <c r="AX27" s="339"/>
      <c r="AY27" s="429">
        <f>AO27+AQ27+AS27+AU27+AW27</f>
        <v>15148313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 t="shared" ref="D28" si="33">SUM(D25:D27)</f>
        <v>4142078</v>
      </c>
      <c r="E28" s="333">
        <f>SUM(E25:E27)</f>
        <v>14558878</v>
      </c>
      <c r="F28" s="333">
        <f>SUM(F25:F27)</f>
        <v>0</v>
      </c>
      <c r="G28" s="333">
        <f>SUM(G25:G27)</f>
        <v>0</v>
      </c>
      <c r="H28" s="333">
        <f t="shared" ref="H28:AL28" si="34">SUM(H25:H27)</f>
        <v>11710975</v>
      </c>
      <c r="I28" s="333">
        <f t="shared" si="34"/>
        <v>0</v>
      </c>
      <c r="J28" s="347">
        <f t="shared" si="34"/>
        <v>0</v>
      </c>
      <c r="K28" s="333">
        <f t="shared" si="34"/>
        <v>3706864</v>
      </c>
      <c r="L28" s="333">
        <f>SUM(L25:L27)</f>
        <v>1054499405.01</v>
      </c>
      <c r="M28" s="333">
        <f>SUM(M25:M27)</f>
        <v>1332910817.8600001</v>
      </c>
      <c r="N28" s="333">
        <f t="shared" si="34"/>
        <v>2278073992</v>
      </c>
      <c r="O28" s="333">
        <f t="shared" si="34"/>
        <v>485832289</v>
      </c>
      <c r="P28" s="333">
        <f t="shared" si="34"/>
        <v>385788685</v>
      </c>
      <c r="Q28" s="333">
        <f t="shared" si="34"/>
        <v>0</v>
      </c>
      <c r="R28" s="333">
        <f t="shared" si="34"/>
        <v>586671200</v>
      </c>
      <c r="S28" s="333">
        <f t="shared" si="34"/>
        <v>686924241</v>
      </c>
      <c r="T28" s="333">
        <f t="shared" si="34"/>
        <v>902650144</v>
      </c>
      <c r="U28" s="333">
        <f t="shared" si="34"/>
        <v>425743052</v>
      </c>
      <c r="V28" s="333">
        <f t="shared" si="34"/>
        <v>624222669</v>
      </c>
      <c r="W28" s="333">
        <f t="shared" si="34"/>
        <v>2189203176.9400001</v>
      </c>
      <c r="X28" s="333">
        <f t="shared" si="34"/>
        <v>0</v>
      </c>
      <c r="Y28" s="333">
        <f t="shared" si="34"/>
        <v>293669800</v>
      </c>
      <c r="Z28" s="333">
        <f t="shared" si="34"/>
        <v>399844336</v>
      </c>
      <c r="AA28" s="333">
        <f t="shared" si="34"/>
        <v>605350096</v>
      </c>
      <c r="AB28" s="333">
        <f t="shared" si="34"/>
        <v>632879105</v>
      </c>
      <c r="AC28" s="333">
        <f>SUM(AC25:AC27)</f>
        <v>356361100</v>
      </c>
      <c r="AD28" s="333">
        <f t="shared" si="34"/>
        <v>1162472581</v>
      </c>
      <c r="AE28" s="333">
        <f t="shared" si="34"/>
        <v>0</v>
      </c>
      <c r="AF28" s="333">
        <f t="shared" si="34"/>
        <v>0</v>
      </c>
      <c r="AG28" s="333">
        <f t="shared" si="34"/>
        <v>0</v>
      </c>
      <c r="AH28" s="333">
        <f t="shared" si="34"/>
        <v>0</v>
      </c>
      <c r="AI28" s="333">
        <f t="shared" si="34"/>
        <v>0</v>
      </c>
      <c r="AJ28" s="333">
        <f t="shared" si="34"/>
        <v>0</v>
      </c>
      <c r="AK28" s="333">
        <f t="shared" si="34"/>
        <v>0</v>
      </c>
      <c r="AL28" s="333">
        <f t="shared" si="34"/>
        <v>0</v>
      </c>
      <c r="AM28" s="321">
        <f>SUM(D28:AL28)</f>
        <v>14437215484.809999</v>
      </c>
      <c r="AN28" s="341"/>
      <c r="AO28" s="321">
        <f t="shared" ref="AO28:AX28" si="35">SUM(AO25:AO27)</f>
        <v>30411931</v>
      </c>
      <c r="AP28" s="321">
        <f t="shared" si="35"/>
        <v>0</v>
      </c>
      <c r="AQ28" s="321">
        <f t="shared" si="35"/>
        <v>5540812052.8699999</v>
      </c>
      <c r="AR28" s="321">
        <f t="shared" si="35"/>
        <v>0</v>
      </c>
      <c r="AS28" s="321">
        <f t="shared" si="35"/>
        <v>5415414482.9400005</v>
      </c>
      <c r="AT28" s="321">
        <f t="shared" si="35"/>
        <v>0</v>
      </c>
      <c r="AU28" s="321">
        <f t="shared" si="35"/>
        <v>3450577018</v>
      </c>
      <c r="AV28" s="321">
        <f t="shared" si="35"/>
        <v>0</v>
      </c>
      <c r="AW28" s="321">
        <f t="shared" si="35"/>
        <v>0</v>
      </c>
      <c r="AX28" s="321">
        <f t="shared" si="35"/>
        <v>0</v>
      </c>
      <c r="AY28" s="342">
        <f>SUM(AY25:AY27)</f>
        <v>14437215484.809999</v>
      </c>
      <c r="BA28" s="276"/>
    </row>
    <row r="29" spans="1:53" ht="17.25" thickTop="1" x14ac:dyDescent="0.25">
      <c r="A29" s="1448" t="s">
        <v>83</v>
      </c>
      <c r="B29" s="1148" t="s">
        <v>165</v>
      </c>
      <c r="C29" s="280"/>
      <c r="D29" s="917"/>
      <c r="E29" s="917"/>
      <c r="F29" s="917"/>
      <c r="G29" s="917"/>
      <c r="H29" s="917"/>
      <c r="I29" s="917"/>
      <c r="J29" s="726"/>
      <c r="K29" s="917"/>
      <c r="L29" s="860">
        <v>315971900</v>
      </c>
      <c r="M29" s="917">
        <v>382304500</v>
      </c>
      <c r="N29" s="917">
        <v>281054700</v>
      </c>
      <c r="O29" s="917">
        <v>388797000</v>
      </c>
      <c r="P29" s="917">
        <v>346552000</v>
      </c>
      <c r="Q29" s="917"/>
      <c r="R29" s="917">
        <v>415373400</v>
      </c>
      <c r="S29" s="917">
        <v>238856600</v>
      </c>
      <c r="T29" s="1155">
        <v>282646200</v>
      </c>
      <c r="U29" s="917">
        <v>256855700</v>
      </c>
      <c r="V29" s="917">
        <v>230536500</v>
      </c>
      <c r="W29" s="917">
        <v>135830300</v>
      </c>
      <c r="X29" s="860"/>
      <c r="Y29" s="1155">
        <v>117433500</v>
      </c>
      <c r="Z29" s="1155">
        <v>192704500</v>
      </c>
      <c r="AA29" s="1155">
        <v>162330500</v>
      </c>
      <c r="AB29" s="1155">
        <v>183119000</v>
      </c>
      <c r="AC29" s="860">
        <v>188305800</v>
      </c>
      <c r="AD29" s="726">
        <v>480320900</v>
      </c>
      <c r="AE29" s="917"/>
      <c r="AF29" s="917"/>
      <c r="AG29" s="917"/>
      <c r="AH29" s="917"/>
      <c r="AI29" s="917"/>
      <c r="AJ29" s="917"/>
      <c r="AK29" s="917"/>
      <c r="AL29" s="917"/>
      <c r="AM29" s="429">
        <f>SUM(D29:AL29)</f>
        <v>4598993000</v>
      </c>
      <c r="AN29" s="339"/>
      <c r="AO29" s="429">
        <f>D29+E29+F29+G29+H29+I29+J29</f>
        <v>0</v>
      </c>
      <c r="AP29" s="339"/>
      <c r="AQ29" s="429">
        <f>K29+L29+M29+N29+O29+P29+Q29</f>
        <v>1714680100</v>
      </c>
      <c r="AR29" s="339"/>
      <c r="AS29" s="429">
        <f>R29+S29+T29+U29+V29+W29+X29</f>
        <v>1560098700</v>
      </c>
      <c r="AT29" s="339"/>
      <c r="AU29" s="429">
        <f>Y29+Z29+AA29+AB29+AC29+AD29+AE29</f>
        <v>1324214200</v>
      </c>
      <c r="AV29" s="339"/>
      <c r="AW29" s="429">
        <f>AF29+AG29+AH29+AI29+AJ29+AK29+AL29</f>
        <v>0</v>
      </c>
      <c r="AX29" s="339"/>
      <c r="AY29" s="429">
        <f>AO29+AQ29+AS29+AU29+AW29</f>
        <v>4598993000</v>
      </c>
      <c r="BA29" s="276"/>
    </row>
    <row r="30" spans="1:53" x14ac:dyDescent="0.25">
      <c r="A30" s="1448"/>
      <c r="B30" s="1148" t="s">
        <v>4305</v>
      </c>
      <c r="C30" s="1148"/>
      <c r="D30" s="917"/>
      <c r="E30" s="1153">
        <v>260841285</v>
      </c>
      <c r="F30" s="1153"/>
      <c r="G30" s="917">
        <v>31186000</v>
      </c>
      <c r="H30" s="917">
        <v>1838830</v>
      </c>
      <c r="J30" s="917"/>
      <c r="K30" s="917">
        <v>2028860</v>
      </c>
      <c r="L30" s="860">
        <v>325073761</v>
      </c>
      <c r="M30" s="917">
        <v>42028838</v>
      </c>
      <c r="N30" s="917">
        <v>25205055</v>
      </c>
      <c r="O30" s="1153">
        <v>185754294</v>
      </c>
      <c r="P30" s="917">
        <v>264227632</v>
      </c>
      <c r="Q30" s="917"/>
      <c r="R30" s="917"/>
      <c r="S30" s="917">
        <v>246265215</v>
      </c>
      <c r="T30" s="917">
        <v>85587700</v>
      </c>
      <c r="U30" s="917">
        <v>466741313</v>
      </c>
      <c r="V30" s="726">
        <v>103657164</v>
      </c>
      <c r="W30" s="917">
        <v>74086925</v>
      </c>
      <c r="X30" s="860"/>
      <c r="Y30" s="917"/>
      <c r="Z30" s="955">
        <v>131919718.67</v>
      </c>
      <c r="AA30" s="1155">
        <v>75781659</v>
      </c>
      <c r="AB30" s="1155">
        <v>23304244</v>
      </c>
      <c r="AC30" s="860"/>
      <c r="AD30" s="962">
        <v>718757407</v>
      </c>
      <c r="AE30" s="917"/>
      <c r="AF30" s="917"/>
      <c r="AG30" s="917"/>
      <c r="AH30" s="917"/>
      <c r="AI30" s="955"/>
      <c r="AJ30" s="917"/>
      <c r="AK30" s="917"/>
      <c r="AL30" s="917"/>
      <c r="AM30" s="429">
        <f t="shared" ref="AM30:AM31" si="36">SUM(D30:AL30)</f>
        <v>3064285900.6700001</v>
      </c>
      <c r="AN30" s="339"/>
      <c r="AO30" s="429">
        <f t="shared" ref="AO30:AO31" si="37">D30+E30+F30+G30+H30+I30+J30</f>
        <v>293866115</v>
      </c>
      <c r="AP30" s="339"/>
      <c r="AQ30" s="429">
        <f t="shared" ref="AQ30:AQ31" si="38">K30+L30+M30+N30+O30+P30+Q30</f>
        <v>844318440</v>
      </c>
      <c r="AR30" s="339"/>
      <c r="AS30" s="429">
        <f>R30+S30+T30+U30+V30+W30+X30</f>
        <v>976338317</v>
      </c>
      <c r="AT30" s="339"/>
      <c r="AU30" s="429">
        <f>Y30+Z30+AA30+AB30+AC30+AD30+AE30</f>
        <v>949763028.67000008</v>
      </c>
      <c r="AV30" s="339"/>
      <c r="AW30" s="429">
        <f t="shared" ref="AW30:AW31" si="39">AF30+AG30+AH30+AI30+AJ30+AK30+AL30</f>
        <v>0</v>
      </c>
      <c r="AX30" s="339"/>
      <c r="AY30" s="429">
        <f>AO30+AQ30+AS30+AU30+AW30</f>
        <v>3064285900.6700001</v>
      </c>
      <c r="BA30" s="276"/>
    </row>
    <row r="31" spans="1:53" ht="17.25" thickBot="1" x14ac:dyDescent="0.3">
      <c r="A31" s="1448"/>
      <c r="B31" s="1148" t="s">
        <v>4306</v>
      </c>
      <c r="C31" s="1148"/>
      <c r="D31" s="917"/>
      <c r="E31" s="917"/>
      <c r="F31" s="861"/>
      <c r="G31" s="726"/>
      <c r="H31" s="917"/>
      <c r="I31" s="917"/>
      <c r="J31" s="917"/>
      <c r="K31" s="860"/>
      <c r="L31" s="917"/>
      <c r="M31" s="917"/>
      <c r="N31" s="917"/>
      <c r="O31" s="917">
        <f>2000000+940782+688600</f>
        <v>3629382</v>
      </c>
      <c r="P31" s="917"/>
      <c r="Q31" s="917"/>
      <c r="R31" s="917"/>
      <c r="S31" s="917">
        <v>27455</v>
      </c>
      <c r="T31" s="917"/>
      <c r="U31" s="917"/>
      <c r="V31" s="1155"/>
      <c r="W31" s="917"/>
      <c r="X31" s="860"/>
      <c r="Y31" s="1150"/>
      <c r="Z31" s="917"/>
      <c r="AA31" s="917"/>
      <c r="AB31" s="917"/>
      <c r="AC31" s="860"/>
      <c r="AD31" s="726"/>
      <c r="AE31" s="917"/>
      <c r="AF31" s="917"/>
      <c r="AG31" s="917"/>
      <c r="AH31" s="917"/>
      <c r="AI31" s="917"/>
      <c r="AJ31" s="917"/>
      <c r="AK31" s="917"/>
      <c r="AL31" s="917"/>
      <c r="AM31" s="429">
        <f t="shared" si="36"/>
        <v>3656837</v>
      </c>
      <c r="AN31" s="339"/>
      <c r="AO31" s="429">
        <f t="shared" si="37"/>
        <v>0</v>
      </c>
      <c r="AP31" s="339"/>
      <c r="AQ31" s="429">
        <f t="shared" si="38"/>
        <v>3629382</v>
      </c>
      <c r="AR31" s="339"/>
      <c r="AS31" s="429">
        <f>R31+S31+T31+U31+V31+W31+X31</f>
        <v>27455</v>
      </c>
      <c r="AT31" s="339"/>
      <c r="AU31" s="429">
        <f>Y31+Z31+AA31+AB31+AC31+AD31+AE31</f>
        <v>0</v>
      </c>
      <c r="AV31" s="339"/>
      <c r="AW31" s="429">
        <f t="shared" si="39"/>
        <v>0</v>
      </c>
      <c r="AX31" s="339"/>
      <c r="AY31" s="429">
        <f>AO31+AQ31+AS31+AU31+AW31</f>
        <v>3656837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 t="shared" ref="D32" si="40">SUM(D29:D31)</f>
        <v>0</v>
      </c>
      <c r="E32" s="333">
        <f>SUM(E29:E31)</f>
        <v>260841285</v>
      </c>
      <c r="F32" s="333">
        <f>SUM(F29:F31)</f>
        <v>0</v>
      </c>
      <c r="G32" s="333">
        <f>SUM(G29:G31)</f>
        <v>31186000</v>
      </c>
      <c r="H32" s="333">
        <f t="shared" ref="H32:AL32" si="41">SUM(H29:H31)</f>
        <v>1838830</v>
      </c>
      <c r="I32" s="333">
        <f t="shared" si="41"/>
        <v>0</v>
      </c>
      <c r="J32" s="333">
        <f t="shared" si="41"/>
        <v>0</v>
      </c>
      <c r="K32" s="333">
        <f>SUM(K29:K31)</f>
        <v>2028860</v>
      </c>
      <c r="L32" s="333">
        <f>SUM(L29:L31)</f>
        <v>641045661</v>
      </c>
      <c r="M32" s="333">
        <f>SUM(M29:M31)</f>
        <v>424333338</v>
      </c>
      <c r="N32" s="333">
        <f t="shared" si="41"/>
        <v>306259755</v>
      </c>
      <c r="O32" s="333">
        <f t="shared" si="41"/>
        <v>578180676</v>
      </c>
      <c r="P32" s="333">
        <f t="shared" si="41"/>
        <v>610779632</v>
      </c>
      <c r="Q32" s="333">
        <f t="shared" si="41"/>
        <v>0</v>
      </c>
      <c r="R32" s="333">
        <f t="shared" si="41"/>
        <v>415373400</v>
      </c>
      <c r="S32" s="333">
        <f t="shared" si="41"/>
        <v>485149270</v>
      </c>
      <c r="T32" s="333">
        <f t="shared" si="41"/>
        <v>368233900</v>
      </c>
      <c r="U32" s="333">
        <f t="shared" si="41"/>
        <v>723597013</v>
      </c>
      <c r="V32" s="333">
        <f t="shared" si="41"/>
        <v>334193664</v>
      </c>
      <c r="W32" s="333">
        <f t="shared" si="41"/>
        <v>209917225</v>
      </c>
      <c r="X32" s="333">
        <f t="shared" si="41"/>
        <v>0</v>
      </c>
      <c r="Y32" s="333">
        <f t="shared" si="41"/>
        <v>117433500</v>
      </c>
      <c r="Z32" s="333">
        <f t="shared" si="41"/>
        <v>324624218.67000002</v>
      </c>
      <c r="AA32" s="333">
        <f t="shared" si="41"/>
        <v>238112159</v>
      </c>
      <c r="AB32" s="333">
        <f t="shared" si="41"/>
        <v>206423244</v>
      </c>
      <c r="AC32" s="333">
        <f>SUM(AC29:AC31)</f>
        <v>188305800</v>
      </c>
      <c r="AD32" s="333">
        <f t="shared" si="41"/>
        <v>1199078307</v>
      </c>
      <c r="AE32" s="333">
        <f t="shared" si="41"/>
        <v>0</v>
      </c>
      <c r="AF32" s="333">
        <f t="shared" si="41"/>
        <v>0</v>
      </c>
      <c r="AG32" s="333">
        <f t="shared" si="41"/>
        <v>0</v>
      </c>
      <c r="AH32" s="333">
        <f t="shared" si="41"/>
        <v>0</v>
      </c>
      <c r="AI32" s="333">
        <f t="shared" si="41"/>
        <v>0</v>
      </c>
      <c r="AJ32" s="333">
        <f t="shared" si="41"/>
        <v>0</v>
      </c>
      <c r="AK32" s="333">
        <f t="shared" si="41"/>
        <v>0</v>
      </c>
      <c r="AL32" s="333">
        <f t="shared" si="41"/>
        <v>0</v>
      </c>
      <c r="AM32" s="321">
        <f>SUM(D32:AL32)</f>
        <v>7666935737.6700001</v>
      </c>
      <c r="AN32" s="341"/>
      <c r="AO32" s="321">
        <f t="shared" ref="AO32:AW32" si="42">SUM(AO29:AO31)</f>
        <v>293866115</v>
      </c>
      <c r="AP32" s="321">
        <f t="shared" si="42"/>
        <v>0</v>
      </c>
      <c r="AQ32" s="321">
        <f t="shared" si="42"/>
        <v>2562627922</v>
      </c>
      <c r="AR32" s="321">
        <f t="shared" si="42"/>
        <v>0</v>
      </c>
      <c r="AS32" s="321">
        <f t="shared" si="42"/>
        <v>2536464472</v>
      </c>
      <c r="AT32" s="321">
        <f t="shared" si="42"/>
        <v>0</v>
      </c>
      <c r="AU32" s="321">
        <f t="shared" si="42"/>
        <v>2273977228.6700001</v>
      </c>
      <c r="AV32" s="321">
        <f t="shared" si="42"/>
        <v>0</v>
      </c>
      <c r="AW32" s="321">
        <f t="shared" si="42"/>
        <v>0</v>
      </c>
      <c r="AX32" s="328"/>
      <c r="AY32" s="342">
        <f>SUM(AY29:AY31)</f>
        <v>7666935737.6700001</v>
      </c>
      <c r="BA32" s="276"/>
    </row>
    <row r="33" spans="1:53" ht="17.25" thickTop="1" x14ac:dyDescent="0.25">
      <c r="A33" s="1449" t="s">
        <v>78</v>
      </c>
      <c r="B33" s="1148" t="s">
        <v>165</v>
      </c>
      <c r="C33" s="280"/>
      <c r="D33" s="448"/>
      <c r="E33" s="448"/>
      <c r="F33" s="1149"/>
      <c r="G33" s="1149"/>
      <c r="H33" s="448"/>
      <c r="I33" s="448"/>
      <c r="K33" s="448"/>
      <c r="L33" s="448">
        <v>176706400</v>
      </c>
      <c r="M33" s="448">
        <v>281853600</v>
      </c>
      <c r="N33" s="448">
        <v>241507500</v>
      </c>
      <c r="O33" s="448">
        <v>134844400</v>
      </c>
      <c r="P33" s="1149">
        <v>117747700</v>
      </c>
      <c r="Q33" s="448"/>
      <c r="R33" s="917">
        <v>203667600</v>
      </c>
      <c r="S33" s="448">
        <v>117750000</v>
      </c>
      <c r="T33" s="1156">
        <v>104917400</v>
      </c>
      <c r="U33" s="448">
        <v>88964800</v>
      </c>
      <c r="V33" s="448">
        <v>176698100</v>
      </c>
      <c r="W33" s="448">
        <v>115079500</v>
      </c>
      <c r="X33" s="429"/>
      <c r="Y33" s="1156">
        <v>193781700</v>
      </c>
      <c r="Z33" s="1156">
        <v>126223800</v>
      </c>
      <c r="AA33" s="1156">
        <v>194814600</v>
      </c>
      <c r="AB33" s="1156">
        <v>132384800</v>
      </c>
      <c r="AC33" s="429">
        <v>139672500</v>
      </c>
      <c r="AD33" s="429">
        <v>220005400</v>
      </c>
      <c r="AE33" s="448"/>
      <c r="AF33" s="448"/>
      <c r="AG33" s="448"/>
      <c r="AH33" s="448"/>
      <c r="AI33" s="448"/>
      <c r="AJ33" s="448"/>
      <c r="AK33" s="448"/>
      <c r="AL33" s="448"/>
      <c r="AM33" s="429">
        <f>SUM(D33:AL33)</f>
        <v>2766619800</v>
      </c>
      <c r="AN33" s="339"/>
      <c r="AO33" s="429">
        <f>D33+E33+F33+G33+H33+I33+J33</f>
        <v>0</v>
      </c>
      <c r="AP33" s="339"/>
      <c r="AQ33" s="429">
        <f>K33+L33+M33+N33+O33+P33+Q33</f>
        <v>952659600</v>
      </c>
      <c r="AR33" s="339"/>
      <c r="AS33" s="429">
        <f>R33+S33+T33+U33+V33+W33+X33</f>
        <v>807077400</v>
      </c>
      <c r="AT33" s="339"/>
      <c r="AU33" s="429">
        <f>Y33+Z33+AA33+AB33+AC33+AD33+AE33</f>
        <v>1006882800</v>
      </c>
      <c r="AV33" s="339"/>
      <c r="AW33" s="429">
        <f>AF33+AG33+AH33+AI33+AJ33+AK33+AL33</f>
        <v>0</v>
      </c>
      <c r="AX33" s="339"/>
      <c r="AY33" s="429">
        <f>AO33+AQ33+AS33+AU33+AW33</f>
        <v>2766619800</v>
      </c>
      <c r="BA33" s="276"/>
    </row>
    <row r="34" spans="1:53" x14ac:dyDescent="0.25">
      <c r="A34" s="1449"/>
      <c r="B34" s="1148" t="s">
        <v>4305</v>
      </c>
      <c r="C34" s="1148"/>
      <c r="D34" s="448"/>
      <c r="E34" s="448">
        <v>15528500</v>
      </c>
      <c r="F34" s="1149"/>
      <c r="G34" s="1149">
        <v>14245240</v>
      </c>
      <c r="H34" s="448"/>
      <c r="J34" s="1149"/>
      <c r="K34" s="448"/>
      <c r="L34" s="448">
        <v>96519010</v>
      </c>
      <c r="M34" s="448">
        <v>27357430</v>
      </c>
      <c r="N34" s="448">
        <v>1213936449</v>
      </c>
      <c r="O34" s="448">
        <v>9581950</v>
      </c>
      <c r="P34" s="448">
        <v>24432200</v>
      </c>
      <c r="Q34" s="448"/>
      <c r="R34" s="917"/>
      <c r="S34" s="917">
        <v>12327260</v>
      </c>
      <c r="T34" s="917">
        <v>48013123</v>
      </c>
      <c r="U34" s="448">
        <v>37506141</v>
      </c>
      <c r="V34" s="335">
        <v>18096453</v>
      </c>
      <c r="W34" s="448">
        <v>1408224901</v>
      </c>
      <c r="X34" s="429"/>
      <c r="Y34" s="448"/>
      <c r="Z34" s="448">
        <v>233057839</v>
      </c>
      <c r="AA34" s="1156">
        <v>5986048</v>
      </c>
      <c r="AB34" s="448">
        <v>42682050</v>
      </c>
      <c r="AC34" s="429"/>
      <c r="AD34" s="429">
        <v>58695514</v>
      </c>
      <c r="AE34" s="448"/>
      <c r="AF34" s="448"/>
      <c r="AG34" s="448"/>
      <c r="AH34" s="448"/>
      <c r="AI34" s="448"/>
      <c r="AJ34" s="448"/>
      <c r="AK34" s="448"/>
      <c r="AL34" s="448"/>
      <c r="AM34" s="429">
        <f t="shared" ref="AM34:AM35" si="43">SUM(D34:AL34)</f>
        <v>3266190108</v>
      </c>
      <c r="AN34" s="339"/>
      <c r="AO34" s="429">
        <f t="shared" ref="AO34:AO35" si="44">D34+E34+F34+G34+H34+I34+J34</f>
        <v>29773740</v>
      </c>
      <c r="AP34" s="339"/>
      <c r="AQ34" s="429">
        <f t="shared" ref="AQ34:AQ35" si="45">K34+L34+M34+N34+O34+P34+Q34</f>
        <v>1371827039</v>
      </c>
      <c r="AR34" s="339"/>
      <c r="AS34" s="429">
        <f t="shared" ref="AS34:AS35" si="46">R34+S34+T34+U34+V34+W34+X34</f>
        <v>1524167878</v>
      </c>
      <c r="AT34" s="339"/>
      <c r="AU34" s="429">
        <f t="shared" ref="AU34:AU35" si="47">Y34+Z34+AA34+AB34+AC34+AD34+AE34</f>
        <v>340421451</v>
      </c>
      <c r="AV34" s="339"/>
      <c r="AW34" s="429">
        <f t="shared" ref="AW34:AW35" si="48">AF34+AG34+AH34+AI34+AJ34+AK34+AL34</f>
        <v>0</v>
      </c>
      <c r="AX34" s="339"/>
      <c r="AY34" s="429">
        <f>AO34+AQ34+AS34+AU34+AW34</f>
        <v>3266190108</v>
      </c>
      <c r="BA34" s="276"/>
    </row>
    <row r="35" spans="1:53" ht="17.25" thickBot="1" x14ac:dyDescent="0.3">
      <c r="A35" s="1449"/>
      <c r="B35" s="1148" t="s">
        <v>4306</v>
      </c>
      <c r="C35" s="1148"/>
      <c r="D35" s="448"/>
      <c r="E35" s="448"/>
      <c r="F35" s="450"/>
      <c r="H35" s="448"/>
      <c r="I35" s="448"/>
      <c r="J35" s="448"/>
      <c r="K35" s="448"/>
      <c r="L35" s="448"/>
      <c r="M35" s="448">
        <v>48000</v>
      </c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29"/>
      <c r="Y35" s="1150"/>
      <c r="Z35" s="448"/>
      <c r="AA35" s="448"/>
      <c r="AB35" s="448"/>
      <c r="AC35" s="429"/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43"/>
        <v>48000</v>
      </c>
      <c r="AN35" s="339"/>
      <c r="AO35" s="429">
        <f t="shared" si="44"/>
        <v>0</v>
      </c>
      <c r="AP35" s="339"/>
      <c r="AQ35" s="429">
        <f t="shared" si="45"/>
        <v>48000</v>
      </c>
      <c r="AR35" s="339"/>
      <c r="AS35" s="429">
        <f t="shared" si="46"/>
        <v>0</v>
      </c>
      <c r="AT35" s="339"/>
      <c r="AU35" s="429">
        <f t="shared" si="47"/>
        <v>0</v>
      </c>
      <c r="AV35" s="339"/>
      <c r="AW35" s="429">
        <f t="shared" si="48"/>
        <v>0</v>
      </c>
      <c r="AX35" s="339"/>
      <c r="AY35" s="429">
        <f>AO35+AQ35+AS35+AU35+AW35</f>
        <v>48000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47">
        <f t="shared" ref="D36" si="49">SUM(D33:D35)</f>
        <v>0</v>
      </c>
      <c r="E36" s="333">
        <f>SUM(E33:E35)</f>
        <v>15528500</v>
      </c>
      <c r="F36" s="333">
        <f>SUM(F33:F35)</f>
        <v>0</v>
      </c>
      <c r="G36" s="333">
        <f>SUM(G33:G35)</f>
        <v>14245240</v>
      </c>
      <c r="H36" s="333">
        <f t="shared" ref="H36:AL36" si="50">SUM(H33:H35)</f>
        <v>0</v>
      </c>
      <c r="I36" s="333">
        <f t="shared" si="50"/>
        <v>0</v>
      </c>
      <c r="J36" s="333">
        <f t="shared" si="50"/>
        <v>0</v>
      </c>
      <c r="K36" s="333">
        <f t="shared" si="50"/>
        <v>0</v>
      </c>
      <c r="L36" s="333">
        <f>SUM(L33:L35)</f>
        <v>273225410</v>
      </c>
      <c r="M36" s="333">
        <f>SUM(M33:M35)</f>
        <v>309259030</v>
      </c>
      <c r="N36" s="333">
        <f t="shared" si="50"/>
        <v>1455443949</v>
      </c>
      <c r="O36" s="333">
        <f t="shared" si="50"/>
        <v>144426350</v>
      </c>
      <c r="P36" s="333">
        <f t="shared" si="50"/>
        <v>142179900</v>
      </c>
      <c r="Q36" s="333">
        <f t="shared" si="50"/>
        <v>0</v>
      </c>
      <c r="R36" s="333">
        <f t="shared" si="50"/>
        <v>203667600</v>
      </c>
      <c r="S36" s="333">
        <f t="shared" si="50"/>
        <v>130077260</v>
      </c>
      <c r="T36" s="333">
        <f t="shared" si="50"/>
        <v>152930523</v>
      </c>
      <c r="U36" s="333">
        <f t="shared" si="50"/>
        <v>126470941</v>
      </c>
      <c r="V36" s="333">
        <f t="shared" si="50"/>
        <v>194794553</v>
      </c>
      <c r="W36" s="333">
        <f t="shared" si="50"/>
        <v>1523304401</v>
      </c>
      <c r="X36" s="333">
        <f t="shared" si="50"/>
        <v>0</v>
      </c>
      <c r="Y36" s="333">
        <f t="shared" si="50"/>
        <v>193781700</v>
      </c>
      <c r="Z36" s="347">
        <f t="shared" si="50"/>
        <v>359281639</v>
      </c>
      <c r="AA36" s="347">
        <f t="shared" si="50"/>
        <v>200800648</v>
      </c>
      <c r="AB36" s="347">
        <f t="shared" si="50"/>
        <v>175066850</v>
      </c>
      <c r="AC36" s="347">
        <f t="shared" si="50"/>
        <v>139672500</v>
      </c>
      <c r="AD36" s="347">
        <f t="shared" si="50"/>
        <v>278700914</v>
      </c>
      <c r="AE36" s="347">
        <f t="shared" si="50"/>
        <v>0</v>
      </c>
      <c r="AF36" s="347">
        <f t="shared" si="50"/>
        <v>0</v>
      </c>
      <c r="AG36" s="347">
        <f t="shared" si="50"/>
        <v>0</v>
      </c>
      <c r="AH36" s="347">
        <f t="shared" si="50"/>
        <v>0</v>
      </c>
      <c r="AI36" s="347">
        <f t="shared" si="50"/>
        <v>0</v>
      </c>
      <c r="AJ36" s="347">
        <f t="shared" si="50"/>
        <v>0</v>
      </c>
      <c r="AK36" s="347">
        <f t="shared" si="50"/>
        <v>0</v>
      </c>
      <c r="AL36" s="347">
        <f t="shared" si="50"/>
        <v>0</v>
      </c>
      <c r="AM36" s="321">
        <f>SUM(D36:AL36)</f>
        <v>6032857908</v>
      </c>
      <c r="AN36" s="341"/>
      <c r="AO36" s="321">
        <f t="shared" ref="AO36:AW36" si="51">SUM(AO33:AO35)</f>
        <v>29773740</v>
      </c>
      <c r="AP36" s="321">
        <f t="shared" si="51"/>
        <v>0</v>
      </c>
      <c r="AQ36" s="321">
        <f t="shared" si="51"/>
        <v>2324534639</v>
      </c>
      <c r="AR36" s="321">
        <f t="shared" si="51"/>
        <v>0</v>
      </c>
      <c r="AS36" s="321">
        <f t="shared" si="51"/>
        <v>2331245278</v>
      </c>
      <c r="AT36" s="321">
        <f t="shared" si="51"/>
        <v>0</v>
      </c>
      <c r="AU36" s="321">
        <f t="shared" si="51"/>
        <v>1347304251</v>
      </c>
      <c r="AV36" s="321">
        <f t="shared" si="51"/>
        <v>0</v>
      </c>
      <c r="AW36" s="321">
        <f t="shared" si="51"/>
        <v>0</v>
      </c>
      <c r="AX36" s="328"/>
      <c r="AY36" s="342">
        <f>SUM(AY33:AY35)</f>
        <v>6032857908</v>
      </c>
      <c r="BA36" s="276"/>
    </row>
    <row r="37" spans="1:53" ht="17.25" thickTop="1" x14ac:dyDescent="0.25">
      <c r="A37" s="1440" t="s">
        <v>79</v>
      </c>
      <c r="B37" s="1148" t="s">
        <v>165</v>
      </c>
      <c r="C37" s="280"/>
      <c r="D37" s="448"/>
      <c r="E37" s="448"/>
      <c r="F37" s="448"/>
      <c r="G37" s="448"/>
      <c r="H37" s="448"/>
      <c r="I37" s="448"/>
      <c r="K37" s="448"/>
      <c r="L37" s="448">
        <v>146442500</v>
      </c>
      <c r="M37" s="448">
        <v>192796200</v>
      </c>
      <c r="N37" s="448">
        <v>281094000</v>
      </c>
      <c r="O37" s="448">
        <v>95524800</v>
      </c>
      <c r="P37" s="334">
        <v>89457100</v>
      </c>
      <c r="Q37" s="448"/>
      <c r="R37" s="917">
        <v>73746000</v>
      </c>
      <c r="S37" s="917">
        <v>83955900</v>
      </c>
      <c r="T37" s="917">
        <v>79356200</v>
      </c>
      <c r="U37" s="917">
        <v>114466400</v>
      </c>
      <c r="V37" s="448">
        <v>86681800</v>
      </c>
      <c r="W37" s="429">
        <v>113590600</v>
      </c>
      <c r="X37" s="448"/>
      <c r="Y37" s="917">
        <v>61199600</v>
      </c>
      <c r="Z37" s="917">
        <v>136044000</v>
      </c>
      <c r="AA37" s="917">
        <v>194436500</v>
      </c>
      <c r="AB37" s="917">
        <v>159826500</v>
      </c>
      <c r="AC37" s="429">
        <v>97751500</v>
      </c>
      <c r="AD37" s="334">
        <v>118082100</v>
      </c>
      <c r="AE37" s="448"/>
      <c r="AF37" s="448"/>
      <c r="AG37" s="448"/>
      <c r="AH37" s="448"/>
      <c r="AI37" s="448"/>
      <c r="AJ37" s="448"/>
      <c r="AK37" s="448"/>
      <c r="AL37" s="448"/>
      <c r="AM37" s="429">
        <f>SUM(D37:AL37)</f>
        <v>2124451700</v>
      </c>
      <c r="AN37" s="339"/>
      <c r="AO37" s="320">
        <f>D37+E37+F37+G37+H37+I37+J37</f>
        <v>0</v>
      </c>
      <c r="AP37" s="339"/>
      <c r="AQ37" s="429">
        <f>K37+L37+M37+N37+O37+P37+Q37</f>
        <v>805314600</v>
      </c>
      <c r="AR37" s="339"/>
      <c r="AS37" s="429">
        <f>R37+S37+T37+U37+V37+W37+X37</f>
        <v>551796900</v>
      </c>
      <c r="AT37" s="339"/>
      <c r="AU37" s="429">
        <f>Y37+Z37+AA37+AB37+AC37+AD37+AE37</f>
        <v>767340200</v>
      </c>
      <c r="AV37" s="339"/>
      <c r="AW37" s="429">
        <f>AF37+AG37+AH37+AI37+AJ37+AK37+AL37</f>
        <v>0</v>
      </c>
      <c r="AX37" s="339"/>
      <c r="AY37" s="429">
        <f>AO37+AQ37+AS37+AU37+AW37</f>
        <v>2124451700</v>
      </c>
      <c r="BA37" s="276"/>
    </row>
    <row r="38" spans="1:53" x14ac:dyDescent="0.25">
      <c r="A38" s="1440"/>
      <c r="B38" s="1148" t="s">
        <v>4305</v>
      </c>
      <c r="C38" s="1148"/>
      <c r="D38" s="448"/>
      <c r="E38" s="448"/>
      <c r="F38" s="1149"/>
      <c r="G38" s="1149"/>
      <c r="H38" s="448"/>
      <c r="I38" s="448"/>
      <c r="J38" s="1149"/>
      <c r="K38" s="448"/>
      <c r="L38" s="448">
        <v>190602280</v>
      </c>
      <c r="M38" s="448">
        <v>1798295</v>
      </c>
      <c r="N38" s="448"/>
      <c r="O38" s="448">
        <v>33813632</v>
      </c>
      <c r="P38" s="1149">
        <v>56150151</v>
      </c>
      <c r="Q38" s="448"/>
      <c r="R38" s="917"/>
      <c r="S38" s="917">
        <v>3595666</v>
      </c>
      <c r="T38" s="917">
        <v>23000000</v>
      </c>
      <c r="U38" s="917">
        <v>8921800</v>
      </c>
      <c r="V38" s="448">
        <v>7400350</v>
      </c>
      <c r="W38" s="429"/>
      <c r="X38" s="448"/>
      <c r="Y38" s="917"/>
      <c r="Z38" s="917">
        <v>240923</v>
      </c>
      <c r="AA38" s="917">
        <v>783216</v>
      </c>
      <c r="AB38" s="917">
        <v>93176000</v>
      </c>
      <c r="AC38" s="429"/>
      <c r="AD38" s="735">
        <v>2350959</v>
      </c>
      <c r="AE38" s="448"/>
      <c r="AF38" s="448"/>
      <c r="AG38" s="448"/>
      <c r="AH38" s="448"/>
      <c r="AI38" s="448"/>
      <c r="AJ38" s="448"/>
      <c r="AK38" s="448"/>
      <c r="AL38" s="448"/>
      <c r="AM38" s="429">
        <f t="shared" ref="AM38:AM39" si="52">SUM(D38:AL38)</f>
        <v>421833272</v>
      </c>
      <c r="AN38" s="339"/>
      <c r="AO38" s="320">
        <f>D38+E38+F38+G38+H38+I38+J38</f>
        <v>0</v>
      </c>
      <c r="AP38" s="339"/>
      <c r="AQ38" s="429">
        <f>K38+L38+M38+N38+O38+P38+Q38</f>
        <v>282364358</v>
      </c>
      <c r="AR38" s="339"/>
      <c r="AS38" s="429">
        <f>R38+S38+T38+U38+V38+W38+X38</f>
        <v>42917816</v>
      </c>
      <c r="AT38" s="339"/>
      <c r="AU38" s="429">
        <f>Y38+Z38+AA38+AB38+AC38+AD38+AE38</f>
        <v>96551098</v>
      </c>
      <c r="AV38" s="339"/>
      <c r="AW38" s="429">
        <f t="shared" ref="AW38:AW39" si="53">AF38+AG38+AH38+AI38+AJ38+AK38+AL38</f>
        <v>0</v>
      </c>
      <c r="AX38" s="339"/>
      <c r="AY38" s="429">
        <f>AO38+AQ38+AS38+AU38+AW38</f>
        <v>421833272</v>
      </c>
      <c r="BA38" s="276"/>
    </row>
    <row r="39" spans="1:53" ht="17.25" thickBot="1" x14ac:dyDescent="0.3">
      <c r="A39" s="1440"/>
      <c r="B39" s="1148" t="s">
        <v>4306</v>
      </c>
      <c r="C39" s="1148"/>
      <c r="D39" s="448"/>
      <c r="E39" s="448"/>
      <c r="F39" s="450"/>
      <c r="H39" s="448"/>
      <c r="I39" s="448"/>
      <c r="J39" s="448"/>
      <c r="K39" s="448"/>
      <c r="L39" s="448"/>
      <c r="M39" s="448">
        <v>30110</v>
      </c>
      <c r="N39" s="448"/>
      <c r="O39" s="448"/>
      <c r="P39" s="448"/>
      <c r="Q39" s="917"/>
      <c r="R39" s="726"/>
      <c r="S39" s="917"/>
      <c r="T39" s="1150"/>
      <c r="U39" s="917"/>
      <c r="V39" s="448"/>
      <c r="W39" s="429"/>
      <c r="X39" s="448"/>
      <c r="Y39" s="917"/>
      <c r="Z39" s="448"/>
      <c r="AA39" s="448">
        <v>12972</v>
      </c>
      <c r="AB39" s="448"/>
      <c r="AC39" s="429"/>
      <c r="AE39" s="448"/>
      <c r="AF39" s="448"/>
      <c r="AG39" s="448"/>
      <c r="AH39" s="448"/>
      <c r="AI39" s="448"/>
      <c r="AJ39" s="448"/>
      <c r="AK39" s="448"/>
      <c r="AL39" s="448"/>
      <c r="AM39" s="429">
        <f t="shared" si="52"/>
        <v>43082</v>
      </c>
      <c r="AN39" s="339"/>
      <c r="AO39" s="320">
        <f>D39+E39+F39+G39+H39+I39+J39</f>
        <v>0</v>
      </c>
      <c r="AP39" s="339"/>
      <c r="AQ39" s="429">
        <f>K39+L39+M39+N39+O39+P39+Q39</f>
        <v>30110</v>
      </c>
      <c r="AR39" s="339"/>
      <c r="AS39" s="429">
        <f>R39+S39+T39+U39+V39+W39+X39</f>
        <v>0</v>
      </c>
      <c r="AT39" s="339"/>
      <c r="AU39" s="429">
        <f>Y39+Z39+AA39+AB39+AC39+AD39+AE39</f>
        <v>12972</v>
      </c>
      <c r="AV39" s="339"/>
      <c r="AW39" s="429">
        <f t="shared" si="53"/>
        <v>0</v>
      </c>
      <c r="AX39" s="339"/>
      <c r="AY39" s="429">
        <f>AO39+AQ39+AS39+AU39+AW39</f>
        <v>43082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 t="shared" ref="D40" si="54">SUM(D37:D39)</f>
        <v>0</v>
      </c>
      <c r="E40" s="333">
        <f>SUM(E37:E39)</f>
        <v>0</v>
      </c>
      <c r="F40" s="333">
        <f>SUM(F37:F39)</f>
        <v>0</v>
      </c>
      <c r="G40" s="333">
        <f>SUM(G37:G39)</f>
        <v>0</v>
      </c>
      <c r="H40" s="333">
        <f t="shared" ref="H40:AL40" si="55">SUM(H37:H39)</f>
        <v>0</v>
      </c>
      <c r="I40" s="333">
        <f t="shared" si="55"/>
        <v>0</v>
      </c>
      <c r="J40" s="333">
        <f t="shared" si="55"/>
        <v>0</v>
      </c>
      <c r="K40" s="333">
        <f t="shared" si="55"/>
        <v>0</v>
      </c>
      <c r="L40" s="333">
        <f>SUM(L37:L39)</f>
        <v>337044780</v>
      </c>
      <c r="M40" s="333">
        <f>SUM(M37:M39)</f>
        <v>194624605</v>
      </c>
      <c r="N40" s="333">
        <f t="shared" si="55"/>
        <v>281094000</v>
      </c>
      <c r="O40" s="333">
        <f t="shared" si="55"/>
        <v>129338432</v>
      </c>
      <c r="P40" s="333">
        <f>SUM(P37:P39)</f>
        <v>145607251</v>
      </c>
      <c r="Q40" s="333">
        <f>SUM(Q37:Q39)</f>
        <v>0</v>
      </c>
      <c r="R40" s="333">
        <f t="shared" si="55"/>
        <v>73746000</v>
      </c>
      <c r="S40" s="333">
        <f t="shared" si="55"/>
        <v>87551566</v>
      </c>
      <c r="T40" s="333">
        <f t="shared" si="55"/>
        <v>102356200</v>
      </c>
      <c r="U40" s="333">
        <f t="shared" si="55"/>
        <v>123388200</v>
      </c>
      <c r="V40" s="333">
        <f t="shared" si="55"/>
        <v>94082150</v>
      </c>
      <c r="W40" s="333">
        <f t="shared" si="55"/>
        <v>113590600</v>
      </c>
      <c r="X40" s="333">
        <f t="shared" si="55"/>
        <v>0</v>
      </c>
      <c r="Y40" s="333">
        <f t="shared" si="55"/>
        <v>61199600</v>
      </c>
      <c r="Z40" s="333">
        <f t="shared" si="55"/>
        <v>136284923</v>
      </c>
      <c r="AA40" s="333">
        <f t="shared" si="55"/>
        <v>195232688</v>
      </c>
      <c r="AB40" s="333">
        <f t="shared" si="55"/>
        <v>253002500</v>
      </c>
      <c r="AC40" s="333">
        <f t="shared" si="55"/>
        <v>97751500</v>
      </c>
      <c r="AD40" s="333">
        <f t="shared" si="55"/>
        <v>120433059</v>
      </c>
      <c r="AE40" s="333">
        <f t="shared" si="55"/>
        <v>0</v>
      </c>
      <c r="AF40" s="333">
        <f t="shared" si="55"/>
        <v>0</v>
      </c>
      <c r="AG40" s="333">
        <f t="shared" si="55"/>
        <v>0</v>
      </c>
      <c r="AH40" s="333">
        <f t="shared" si="55"/>
        <v>0</v>
      </c>
      <c r="AI40" s="333">
        <f t="shared" si="55"/>
        <v>0</v>
      </c>
      <c r="AJ40" s="333">
        <f t="shared" si="55"/>
        <v>0</v>
      </c>
      <c r="AK40" s="333">
        <f t="shared" si="55"/>
        <v>0</v>
      </c>
      <c r="AL40" s="333">
        <f t="shared" si="55"/>
        <v>0</v>
      </c>
      <c r="AM40" s="321">
        <f>SUM(D40:AL40)</f>
        <v>2546328054</v>
      </c>
      <c r="AN40" s="341"/>
      <c r="AO40" s="321">
        <f t="shared" ref="AO40:AW40" si="56">SUM(AO37:AO39)</f>
        <v>0</v>
      </c>
      <c r="AP40" s="321">
        <f t="shared" si="56"/>
        <v>0</v>
      </c>
      <c r="AQ40" s="321">
        <f t="shared" si="56"/>
        <v>1087709068</v>
      </c>
      <c r="AR40" s="321">
        <f t="shared" si="56"/>
        <v>0</v>
      </c>
      <c r="AS40" s="321">
        <f t="shared" si="56"/>
        <v>594714716</v>
      </c>
      <c r="AT40" s="321">
        <f t="shared" si="56"/>
        <v>0</v>
      </c>
      <c r="AU40" s="321">
        <f t="shared" si="56"/>
        <v>863904270</v>
      </c>
      <c r="AV40" s="321">
        <f t="shared" si="56"/>
        <v>0</v>
      </c>
      <c r="AW40" s="321">
        <f t="shared" si="56"/>
        <v>0</v>
      </c>
      <c r="AX40" s="328"/>
      <c r="AY40" s="342">
        <f>SUM(AY37:AY39)</f>
        <v>2546328054</v>
      </c>
      <c r="BA40" s="276"/>
    </row>
    <row r="41" spans="1:53" ht="17.25" thickTop="1" x14ac:dyDescent="0.25">
      <c r="A41" s="1441" t="s">
        <v>89</v>
      </c>
      <c r="B41" s="1148" t="s">
        <v>165</v>
      </c>
      <c r="C41" s="280"/>
      <c r="D41" s="448"/>
      <c r="E41" s="448"/>
      <c r="G41" s="448"/>
      <c r="H41" s="448"/>
      <c r="I41" s="448"/>
      <c r="L41" s="448">
        <v>174426000</v>
      </c>
      <c r="M41" s="448">
        <v>153114100</v>
      </c>
      <c r="N41" s="448">
        <v>124691600</v>
      </c>
      <c r="O41" s="448">
        <v>107527900</v>
      </c>
      <c r="P41" s="1149">
        <v>293982800</v>
      </c>
      <c r="Q41" s="448"/>
      <c r="R41" s="917">
        <v>157922700</v>
      </c>
      <c r="S41" s="917">
        <v>262738500</v>
      </c>
      <c r="T41" s="1150">
        <v>250067800</v>
      </c>
      <c r="U41" s="917">
        <v>222809000</v>
      </c>
      <c r="V41" s="448">
        <v>363285600</v>
      </c>
      <c r="W41" s="429">
        <v>258937500</v>
      </c>
      <c r="X41" s="448"/>
      <c r="Y41" s="1150">
        <v>182450800</v>
      </c>
      <c r="Z41" s="1150">
        <v>163313300</v>
      </c>
      <c r="AA41" s="1150">
        <v>164227800</v>
      </c>
      <c r="AB41" s="1150">
        <v>210206600</v>
      </c>
      <c r="AC41" s="429">
        <v>166135500</v>
      </c>
      <c r="AD41" s="334">
        <v>237079800</v>
      </c>
      <c r="AE41" s="448"/>
      <c r="AF41" s="448"/>
      <c r="AG41" s="448"/>
      <c r="AH41" s="448"/>
      <c r="AI41" s="448"/>
      <c r="AJ41" s="448"/>
      <c r="AK41" s="448"/>
      <c r="AL41" s="448"/>
      <c r="AM41" s="429">
        <f>SUM(D41:AL41)</f>
        <v>3492917300</v>
      </c>
      <c r="AN41" s="339"/>
      <c r="AO41" s="320">
        <f>D41+E41+F41+G41+H41+I41+J41</f>
        <v>0</v>
      </c>
      <c r="AP41" s="339"/>
      <c r="AQ41" s="429">
        <f>K41+L41+M41+N41+O41+P41+Q41</f>
        <v>853742400</v>
      </c>
      <c r="AR41" s="339"/>
      <c r="AS41" s="429">
        <f>R41+S41+T41+U41+V41+W41+X41</f>
        <v>1515761100</v>
      </c>
      <c r="AT41" s="339"/>
      <c r="AU41" s="429">
        <f>Y41+Z41+AA41+AB41+AC41+AD41+AE41</f>
        <v>1123413800</v>
      </c>
      <c r="AV41" s="339"/>
      <c r="AW41" s="429">
        <f>AF41+AG41+AH41+AI41+AJ41+AK41+AL41</f>
        <v>0</v>
      </c>
      <c r="AX41" s="339"/>
      <c r="AY41" s="429">
        <f>AO41+AQ41+AS41+AU41+AW41</f>
        <v>3492917300</v>
      </c>
      <c r="BA41" s="276"/>
    </row>
    <row r="42" spans="1:53" x14ac:dyDescent="0.25">
      <c r="A42" s="1441"/>
      <c r="B42" s="1148" t="s">
        <v>4305</v>
      </c>
      <c r="C42" s="1148"/>
      <c r="D42" s="448"/>
      <c r="E42" s="448"/>
      <c r="F42" s="448"/>
      <c r="G42" s="448"/>
      <c r="H42" s="448"/>
      <c r="I42" s="448"/>
      <c r="J42" s="448"/>
      <c r="K42" s="429">
        <v>41579600</v>
      </c>
      <c r="L42" s="448">
        <v>14922228</v>
      </c>
      <c r="M42" s="448">
        <v>181170817</v>
      </c>
      <c r="N42" s="448">
        <v>50149384</v>
      </c>
      <c r="O42" s="448">
        <v>534940400</v>
      </c>
      <c r="P42" s="448"/>
      <c r="Q42" s="448"/>
      <c r="R42" s="917">
        <v>192930</v>
      </c>
      <c r="S42" s="917">
        <v>191938404</v>
      </c>
      <c r="T42" s="1150">
        <v>145648633</v>
      </c>
      <c r="U42" s="917">
        <v>29700000</v>
      </c>
      <c r="V42" s="1150">
        <v>115114064</v>
      </c>
      <c r="W42" s="429"/>
      <c r="X42" s="448"/>
      <c r="Y42" s="1150">
        <v>160062193</v>
      </c>
      <c r="Z42" s="1150">
        <v>57452909</v>
      </c>
      <c r="AA42" s="448">
        <v>7381650</v>
      </c>
      <c r="AB42" s="448"/>
      <c r="AC42" s="429">
        <v>114212137</v>
      </c>
      <c r="AD42" s="735"/>
      <c r="AE42" s="448"/>
      <c r="AF42" s="448"/>
      <c r="AG42" s="448"/>
      <c r="AH42" s="448"/>
      <c r="AI42" s="448"/>
      <c r="AJ42" s="448"/>
      <c r="AK42" s="448"/>
      <c r="AL42" s="448"/>
      <c r="AM42" s="429">
        <f t="shared" ref="AM42:AM43" si="57">SUM(D42:AL42)</f>
        <v>1644465349</v>
      </c>
      <c r="AN42" s="339"/>
      <c r="AO42" s="320">
        <f t="shared" ref="AO42:AO43" si="58">D42+E42+F42+G42+H42+I42+J42</f>
        <v>0</v>
      </c>
      <c r="AP42" s="339"/>
      <c r="AQ42" s="429">
        <f>K42+L42+M42+N42+O42+P42+Q42</f>
        <v>822762429</v>
      </c>
      <c r="AR42" s="339"/>
      <c r="AS42" s="429">
        <f>R42+S42+T42+U42+V42+W42+X42</f>
        <v>482594031</v>
      </c>
      <c r="AT42" s="339"/>
      <c r="AU42" s="429">
        <f>Y42+Z42+AA42+AB42+AC42+AD42+AE42</f>
        <v>339108889</v>
      </c>
      <c r="AV42" s="339"/>
      <c r="AW42" s="429">
        <f t="shared" ref="AW42:AW43" si="59">AF42+AG42+AH42+AI42+AJ42+AK42+AL42</f>
        <v>0</v>
      </c>
      <c r="AX42" s="339"/>
      <c r="AY42" s="429">
        <f t="shared" ref="AY42:AY43" si="60">AO42+AQ42+AS42+AU42+AW42</f>
        <v>1644465349</v>
      </c>
      <c r="BA42" s="276"/>
    </row>
    <row r="43" spans="1:53" ht="17.25" thickBot="1" x14ac:dyDescent="0.3">
      <c r="A43" s="1441"/>
      <c r="B43" s="1148" t="s">
        <v>4306</v>
      </c>
      <c r="C43" s="1148"/>
      <c r="D43" s="448"/>
      <c r="E43" s="448"/>
      <c r="F43" s="450"/>
      <c r="H43" s="448"/>
      <c r="I43" s="448"/>
      <c r="J43" s="448"/>
      <c r="K43" s="448"/>
      <c r="L43" s="448">
        <v>12562</v>
      </c>
      <c r="M43" s="448"/>
      <c r="N43" s="448"/>
      <c r="O43" s="448"/>
      <c r="P43" s="448"/>
      <c r="Q43" s="448"/>
      <c r="R43" s="917"/>
      <c r="S43" s="917"/>
      <c r="T43" s="448"/>
      <c r="U43" s="917"/>
      <c r="V43" s="448">
        <v>1220085</v>
      </c>
      <c r="W43" s="429"/>
      <c r="X43" s="448"/>
      <c r="Y43" s="1150"/>
      <c r="Z43" s="448"/>
      <c r="AA43" s="1150"/>
      <c r="AB43" s="448"/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57"/>
        <v>1232647</v>
      </c>
      <c r="AN43" s="339"/>
      <c r="AO43" s="320">
        <f t="shared" si="58"/>
        <v>0</v>
      </c>
      <c r="AP43" s="339"/>
      <c r="AQ43" s="429">
        <f>K43+L43+M43+N43+O43+P43+Q43</f>
        <v>12562</v>
      </c>
      <c r="AR43" s="339"/>
      <c r="AS43" s="429">
        <f>R43+S43+T43+U43+V43+W43+X43</f>
        <v>1220085</v>
      </c>
      <c r="AT43" s="339"/>
      <c r="AU43" s="429">
        <f>Y43+Z43+AA43+AB43+AC43+AD43+AE43</f>
        <v>0</v>
      </c>
      <c r="AV43" s="339"/>
      <c r="AW43" s="429">
        <f t="shared" si="59"/>
        <v>0</v>
      </c>
      <c r="AX43" s="339"/>
      <c r="AY43" s="429">
        <f t="shared" si="60"/>
        <v>1232647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 t="shared" ref="D44" si="61">SUM(D41:D43)</f>
        <v>0</v>
      </c>
      <c r="E44" s="333">
        <f>SUM(E41:E43)</f>
        <v>0</v>
      </c>
      <c r="F44" s="333">
        <f>SUM(F41:F43)</f>
        <v>0</v>
      </c>
      <c r="G44" s="333">
        <f>SUM(G41:G43)</f>
        <v>0</v>
      </c>
      <c r="H44" s="333">
        <f t="shared" ref="H44:AL44" si="62">SUM(H41:H43)</f>
        <v>0</v>
      </c>
      <c r="I44" s="333">
        <f t="shared" si="62"/>
        <v>0</v>
      </c>
      <c r="J44" s="333">
        <f t="shared" si="62"/>
        <v>0</v>
      </c>
      <c r="K44" s="333">
        <f>SUM(K41:K43)</f>
        <v>41579600</v>
      </c>
      <c r="L44" s="333">
        <f t="shared" si="62"/>
        <v>189360790</v>
      </c>
      <c r="M44" s="333">
        <f>SUM(M41:M43)</f>
        <v>334284917</v>
      </c>
      <c r="N44" s="333">
        <f t="shared" si="62"/>
        <v>174840984</v>
      </c>
      <c r="O44" s="333">
        <f t="shared" si="62"/>
        <v>642468300</v>
      </c>
      <c r="P44" s="333">
        <f t="shared" si="62"/>
        <v>293982800</v>
      </c>
      <c r="Q44" s="333">
        <f t="shared" si="62"/>
        <v>0</v>
      </c>
      <c r="R44" s="333">
        <f t="shared" si="62"/>
        <v>158115630</v>
      </c>
      <c r="S44" s="333">
        <f t="shared" si="62"/>
        <v>454676904</v>
      </c>
      <c r="T44" s="333">
        <f t="shared" si="62"/>
        <v>395716433</v>
      </c>
      <c r="U44" s="333">
        <f t="shared" si="62"/>
        <v>252509000</v>
      </c>
      <c r="V44" s="333">
        <f t="shared" si="62"/>
        <v>479619749</v>
      </c>
      <c r="W44" s="333">
        <f t="shared" si="62"/>
        <v>258937500</v>
      </c>
      <c r="X44" s="333">
        <f t="shared" si="62"/>
        <v>0</v>
      </c>
      <c r="Y44" s="333">
        <f t="shared" si="62"/>
        <v>342512993</v>
      </c>
      <c r="Z44" s="333">
        <f t="shared" si="62"/>
        <v>220766209</v>
      </c>
      <c r="AA44" s="333">
        <f t="shared" si="62"/>
        <v>171609450</v>
      </c>
      <c r="AB44" s="333">
        <f t="shared" si="62"/>
        <v>210206600</v>
      </c>
      <c r="AC44" s="333">
        <f>SUM(AC41:AC43)</f>
        <v>280347637</v>
      </c>
      <c r="AD44" s="333">
        <f t="shared" si="62"/>
        <v>237079800</v>
      </c>
      <c r="AE44" s="333">
        <f t="shared" si="62"/>
        <v>0</v>
      </c>
      <c r="AF44" s="333">
        <f t="shared" si="62"/>
        <v>0</v>
      </c>
      <c r="AG44" s="333">
        <f t="shared" si="62"/>
        <v>0</v>
      </c>
      <c r="AH44" s="333">
        <f t="shared" si="62"/>
        <v>0</v>
      </c>
      <c r="AI44" s="333">
        <f t="shared" si="62"/>
        <v>0</v>
      </c>
      <c r="AJ44" s="333">
        <f t="shared" si="62"/>
        <v>0</v>
      </c>
      <c r="AK44" s="333">
        <f t="shared" si="62"/>
        <v>0</v>
      </c>
      <c r="AL44" s="333">
        <f t="shared" si="62"/>
        <v>0</v>
      </c>
      <c r="AM44" s="321">
        <f>SUM(D44:AL44)</f>
        <v>5138615296</v>
      </c>
      <c r="AN44" s="341"/>
      <c r="AO44" s="321">
        <f t="shared" ref="AO44:AW44" si="63">SUM(AO41:AO43)</f>
        <v>0</v>
      </c>
      <c r="AP44" s="321">
        <f t="shared" si="63"/>
        <v>0</v>
      </c>
      <c r="AQ44" s="321">
        <f t="shared" si="63"/>
        <v>1676517391</v>
      </c>
      <c r="AR44" s="321">
        <f t="shared" si="63"/>
        <v>0</v>
      </c>
      <c r="AS44" s="321">
        <f t="shared" si="63"/>
        <v>1999575216</v>
      </c>
      <c r="AT44" s="321">
        <f t="shared" si="63"/>
        <v>0</v>
      </c>
      <c r="AU44" s="321">
        <f t="shared" si="63"/>
        <v>1462522689</v>
      </c>
      <c r="AV44" s="321">
        <f t="shared" si="63"/>
        <v>0</v>
      </c>
      <c r="AW44" s="321">
        <f t="shared" si="63"/>
        <v>0</v>
      </c>
      <c r="AX44" s="328"/>
      <c r="AY44" s="342">
        <f>SUM(AY41:AY43)</f>
        <v>5138615296</v>
      </c>
      <c r="BA44" s="276"/>
    </row>
    <row r="45" spans="1:53" ht="17.25" thickTop="1" x14ac:dyDescent="0.25">
      <c r="A45" s="1442" t="s">
        <v>81</v>
      </c>
      <c r="B45" s="1148" t="s">
        <v>165</v>
      </c>
      <c r="C45" s="280"/>
      <c r="D45" s="448"/>
      <c r="E45" s="448"/>
      <c r="F45" s="448"/>
      <c r="G45" s="448"/>
      <c r="H45" s="448"/>
      <c r="I45" s="448"/>
      <c r="K45" s="1149"/>
      <c r="L45" s="448">
        <v>188328300</v>
      </c>
      <c r="M45" s="448">
        <v>215117900</v>
      </c>
      <c r="N45" s="448">
        <v>225514400</v>
      </c>
      <c r="O45" s="448">
        <v>174587100</v>
      </c>
      <c r="P45" s="334">
        <v>325743300</v>
      </c>
      <c r="Q45" s="448"/>
      <c r="R45" s="917">
        <v>244599100</v>
      </c>
      <c r="S45" s="917">
        <v>118204900</v>
      </c>
      <c r="T45" s="917">
        <v>118941200</v>
      </c>
      <c r="U45" s="917">
        <v>113204000</v>
      </c>
      <c r="V45" s="448">
        <v>81976300</v>
      </c>
      <c r="W45" s="448">
        <v>84390300</v>
      </c>
      <c r="X45" s="448"/>
      <c r="Y45" s="1150">
        <v>89201800</v>
      </c>
      <c r="Z45" s="1150">
        <v>179486300</v>
      </c>
      <c r="AA45" s="1150">
        <v>130740000</v>
      </c>
      <c r="AB45" s="1150">
        <v>140231400</v>
      </c>
      <c r="AC45" s="1150">
        <v>96238700</v>
      </c>
      <c r="AD45" s="334">
        <v>106134700</v>
      </c>
      <c r="AE45" s="448"/>
      <c r="AF45" s="448"/>
      <c r="AG45" s="448"/>
      <c r="AH45" s="448"/>
      <c r="AI45" s="1151"/>
      <c r="AJ45" s="448"/>
      <c r="AK45" s="448"/>
      <c r="AL45" s="448"/>
      <c r="AM45" s="429">
        <f>SUM(D45:AL45)</f>
        <v>2632639700</v>
      </c>
      <c r="AN45" s="339"/>
      <c r="AO45" s="320">
        <f>D45+E45+F45+G45+H45+I45+J45</f>
        <v>0</v>
      </c>
      <c r="AP45" s="339"/>
      <c r="AQ45" s="429">
        <f>K45+L45+M45+N45+O45+P45+Q45</f>
        <v>1129291000</v>
      </c>
      <c r="AR45" s="339"/>
      <c r="AS45" s="429">
        <f>R45+S45+T45+U45+V45+W45+X45</f>
        <v>761315800</v>
      </c>
      <c r="AT45" s="339"/>
      <c r="AU45" s="429">
        <f>Y45+Z45+AA45+AB45+AC45+AD45+AE45</f>
        <v>742032900</v>
      </c>
      <c r="AV45" s="339"/>
      <c r="AW45" s="429">
        <f>AF45+AG45+AH45+AI45+AJ45+AK45+AL45</f>
        <v>0</v>
      </c>
      <c r="AX45" s="339"/>
      <c r="AY45" s="429">
        <f>AO45+AQ45+AS45+AU45+AW45</f>
        <v>2632639700</v>
      </c>
      <c r="BA45" s="276"/>
    </row>
    <row r="46" spans="1:53" x14ac:dyDescent="0.25">
      <c r="A46" s="1442"/>
      <c r="B46" s="1148" t="s">
        <v>4305</v>
      </c>
      <c r="C46" s="1148"/>
      <c r="D46" s="448"/>
      <c r="E46" s="1151">
        <v>100294768</v>
      </c>
      <c r="F46" s="1151"/>
      <c r="G46" s="448"/>
      <c r="H46" s="448"/>
      <c r="I46" s="448"/>
      <c r="J46" s="1149"/>
      <c r="K46" s="448"/>
      <c r="L46" s="448">
        <v>86120486</v>
      </c>
      <c r="M46" s="448">
        <v>255548403</v>
      </c>
      <c r="N46" s="448">
        <v>30939825</v>
      </c>
      <c r="O46" s="448">
        <v>170038261</v>
      </c>
      <c r="P46" s="1149">
        <v>97194000</v>
      </c>
      <c r="Q46" s="448"/>
      <c r="R46" s="917"/>
      <c r="S46" s="917">
        <v>32164351</v>
      </c>
      <c r="T46" s="917">
        <v>37313810</v>
      </c>
      <c r="U46" s="917">
        <v>145630029</v>
      </c>
      <c r="V46" s="1150">
        <v>29245720</v>
      </c>
      <c r="W46" s="448">
        <v>81952044</v>
      </c>
      <c r="X46" s="448"/>
      <c r="Y46" s="1150"/>
      <c r="Z46" s="1150">
        <v>126002163</v>
      </c>
      <c r="AA46" s="1150">
        <v>23499716</v>
      </c>
      <c r="AB46" s="448">
        <v>40357647</v>
      </c>
      <c r="AC46" s="448"/>
      <c r="AD46" s="1158">
        <v>82242157</v>
      </c>
      <c r="AE46" s="448"/>
      <c r="AF46" s="448"/>
      <c r="AG46" s="448"/>
      <c r="AH46" s="448"/>
      <c r="AI46" s="1151"/>
      <c r="AJ46" s="448"/>
      <c r="AK46" s="448"/>
      <c r="AL46" s="448"/>
      <c r="AM46" s="429">
        <f t="shared" ref="AM46:AM47" si="64">SUM(D46:AL46)</f>
        <v>1338543380</v>
      </c>
      <c r="AN46" s="339"/>
      <c r="AO46" s="320">
        <f>D46+E46+F46+G46+H46+I46+J46</f>
        <v>100294768</v>
      </c>
      <c r="AP46" s="339"/>
      <c r="AQ46" s="429">
        <f>K46+L46+M46+N46+O46+P46+Q46</f>
        <v>639840975</v>
      </c>
      <c r="AR46" s="339"/>
      <c r="AS46" s="429">
        <f>R46+S46+T46+U46+V46+W46+X46</f>
        <v>326305954</v>
      </c>
      <c r="AT46" s="339"/>
      <c r="AU46" s="429">
        <f>Y46+Z46+AA46+AB46+AC46+AD46+AE46</f>
        <v>272101683</v>
      </c>
      <c r="AV46" s="339"/>
      <c r="AW46" s="429">
        <f t="shared" ref="AW46:AW47" si="65">AF46+AG46+AH46+AI46+AJ46+AK46+AL46</f>
        <v>0</v>
      </c>
      <c r="AX46" s="339"/>
      <c r="AY46" s="429">
        <f>AO46+AQ46+AS46+AU46+AW46</f>
        <v>1338543380</v>
      </c>
      <c r="BA46" s="276"/>
    </row>
    <row r="47" spans="1:53" ht="17.25" thickBot="1" x14ac:dyDescent="0.3">
      <c r="A47" s="1442"/>
      <c r="B47" s="1148" t="s">
        <v>4306</v>
      </c>
      <c r="C47" s="1148"/>
      <c r="D47" s="448"/>
      <c r="E47" s="448"/>
      <c r="F47" s="450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917">
        <f>3700+20100</f>
        <v>23800</v>
      </c>
      <c r="T47" s="917"/>
      <c r="U47" s="448">
        <f>45000+161</f>
        <v>45161</v>
      </c>
      <c r="V47" s="1150"/>
      <c r="W47" s="448"/>
      <c r="X47" s="448"/>
      <c r="Y47" s="1150"/>
      <c r="Z47" s="1150"/>
      <c r="AA47" s="448">
        <v>50000</v>
      </c>
      <c r="AB47" s="448"/>
      <c r="AC47" s="448"/>
      <c r="AE47" s="448"/>
      <c r="AF47" s="448"/>
      <c r="AG47" s="448"/>
      <c r="AH47" s="448"/>
      <c r="AI47" s="1151"/>
      <c r="AJ47" s="448"/>
      <c r="AK47" s="448"/>
      <c r="AL47" s="448"/>
      <c r="AM47" s="429">
        <f t="shared" si="64"/>
        <v>118961</v>
      </c>
      <c r="AN47" s="339"/>
      <c r="AO47" s="320">
        <f>D47+E47+F47+G47+H47+I47+J47</f>
        <v>0</v>
      </c>
      <c r="AP47" s="339"/>
      <c r="AQ47" s="429">
        <f>K47+L47+M47+N47+O47+P47+Q47</f>
        <v>0</v>
      </c>
      <c r="AR47" s="339"/>
      <c r="AS47" s="429">
        <f>R47+S47+T47+U47+V47+W47+X47</f>
        <v>68961</v>
      </c>
      <c r="AT47" s="339"/>
      <c r="AU47" s="429">
        <f>Y47+Z47+AA47+AB47+AC47+AD47+AE47</f>
        <v>50000</v>
      </c>
      <c r="AV47" s="339"/>
      <c r="AW47" s="429">
        <f t="shared" si="65"/>
        <v>0</v>
      </c>
      <c r="AX47" s="339"/>
      <c r="AY47" s="429">
        <f>AO47+AQ47+AS47+AU47+AW47</f>
        <v>118961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 t="shared" ref="D48" si="66">SUM(D45:D47)</f>
        <v>0</v>
      </c>
      <c r="E48" s="333">
        <f>SUM(E45:E47)</f>
        <v>100294768</v>
      </c>
      <c r="F48" s="333">
        <f>SUM(F45:F47)</f>
        <v>0</v>
      </c>
      <c r="G48" s="333">
        <f>SUM(G45:G47)</f>
        <v>0</v>
      </c>
      <c r="H48" s="333">
        <f t="shared" ref="H48:AL48" si="67">SUM(H45:H47)</f>
        <v>0</v>
      </c>
      <c r="I48" s="333">
        <f t="shared" si="67"/>
        <v>0</v>
      </c>
      <c r="J48" s="333">
        <f t="shared" si="67"/>
        <v>0</v>
      </c>
      <c r="K48" s="333">
        <f t="shared" si="67"/>
        <v>0</v>
      </c>
      <c r="L48" s="333">
        <f>SUM(L45:L47)</f>
        <v>274448786</v>
      </c>
      <c r="M48" s="333">
        <f>SUM(M45:M47)</f>
        <v>470666303</v>
      </c>
      <c r="N48" s="333">
        <f t="shared" si="67"/>
        <v>256454225</v>
      </c>
      <c r="O48" s="333">
        <f t="shared" si="67"/>
        <v>344625361</v>
      </c>
      <c r="P48" s="333">
        <f>SUM(P45:P47)</f>
        <v>422937300</v>
      </c>
      <c r="Q48" s="333">
        <f t="shared" si="67"/>
        <v>0</v>
      </c>
      <c r="R48" s="333">
        <f t="shared" si="67"/>
        <v>244599100</v>
      </c>
      <c r="S48" s="333">
        <f t="shared" si="67"/>
        <v>150393051</v>
      </c>
      <c r="T48" s="333">
        <f t="shared" si="67"/>
        <v>156255010</v>
      </c>
      <c r="U48" s="333">
        <f t="shared" si="67"/>
        <v>258879190</v>
      </c>
      <c r="V48" s="333">
        <f>SUM(V45:V47)</f>
        <v>111222020</v>
      </c>
      <c r="W48" s="333">
        <f>SUM(W45:W47)</f>
        <v>166342344</v>
      </c>
      <c r="X48" s="333">
        <f>SUM(X45:X47)</f>
        <v>0</v>
      </c>
      <c r="Y48" s="333">
        <f>SUM(Y45:Y47)</f>
        <v>89201800</v>
      </c>
      <c r="Z48" s="333">
        <f>SUM(Z45:Z47)</f>
        <v>305488463</v>
      </c>
      <c r="AA48" s="333">
        <f t="shared" si="67"/>
        <v>154289716</v>
      </c>
      <c r="AB48" s="333">
        <f t="shared" si="67"/>
        <v>180589047</v>
      </c>
      <c r="AC48" s="333">
        <f t="shared" si="67"/>
        <v>96238700</v>
      </c>
      <c r="AD48" s="333">
        <f t="shared" si="67"/>
        <v>188376857</v>
      </c>
      <c r="AE48" s="333">
        <f t="shared" si="67"/>
        <v>0</v>
      </c>
      <c r="AF48" s="333">
        <f t="shared" si="67"/>
        <v>0</v>
      </c>
      <c r="AG48" s="333">
        <f t="shared" si="67"/>
        <v>0</v>
      </c>
      <c r="AH48" s="333">
        <f t="shared" si="67"/>
        <v>0</v>
      </c>
      <c r="AI48" s="333">
        <f t="shared" si="67"/>
        <v>0</v>
      </c>
      <c r="AJ48" s="333">
        <f t="shared" si="67"/>
        <v>0</v>
      </c>
      <c r="AK48" s="333">
        <f t="shared" si="67"/>
        <v>0</v>
      </c>
      <c r="AL48" s="333">
        <f t="shared" si="67"/>
        <v>0</v>
      </c>
      <c r="AM48" s="321">
        <f>SUM(D48:AL48)</f>
        <v>3971302041</v>
      </c>
      <c r="AN48" s="341"/>
      <c r="AO48" s="321">
        <f t="shared" ref="AO48:AW48" si="68">SUM(AO45:AO47)</f>
        <v>100294768</v>
      </c>
      <c r="AP48" s="321">
        <f t="shared" si="68"/>
        <v>0</v>
      </c>
      <c r="AQ48" s="321">
        <f t="shared" si="68"/>
        <v>1769131975</v>
      </c>
      <c r="AR48" s="321">
        <f t="shared" si="68"/>
        <v>0</v>
      </c>
      <c r="AS48" s="321">
        <f t="shared" si="68"/>
        <v>1087690715</v>
      </c>
      <c r="AT48" s="321">
        <f t="shared" si="68"/>
        <v>0</v>
      </c>
      <c r="AU48" s="321">
        <f t="shared" si="68"/>
        <v>1014184583</v>
      </c>
      <c r="AV48" s="321">
        <f t="shared" si="68"/>
        <v>0</v>
      </c>
      <c r="AW48" s="321">
        <f t="shared" si="68"/>
        <v>0</v>
      </c>
      <c r="AX48" s="328"/>
      <c r="AY48" s="342">
        <f>SUM(AY45:AY47)</f>
        <v>3971302041</v>
      </c>
      <c r="BA48" s="276"/>
    </row>
    <row r="49" spans="1:53" ht="17.25" thickTop="1" x14ac:dyDescent="0.25">
      <c r="A49" s="1439" t="s">
        <v>84</v>
      </c>
      <c r="B49" s="1148" t="s">
        <v>165</v>
      </c>
      <c r="C49" s="280"/>
      <c r="D49" s="448"/>
      <c r="E49" s="448"/>
      <c r="F49" s="448"/>
      <c r="G49" s="448"/>
      <c r="H49" s="448"/>
      <c r="I49" s="448"/>
      <c r="J49" s="1149"/>
      <c r="K49" s="448"/>
      <c r="L49" s="448">
        <v>315956000</v>
      </c>
      <c r="M49" s="448">
        <v>525763500</v>
      </c>
      <c r="N49" s="448">
        <v>394730600</v>
      </c>
      <c r="O49" s="448">
        <v>282688600</v>
      </c>
      <c r="P49" s="1149">
        <v>346221400</v>
      </c>
      <c r="Q49" s="448"/>
      <c r="R49" s="917">
        <v>335779100</v>
      </c>
      <c r="S49" s="917">
        <v>361861200</v>
      </c>
      <c r="T49" s="917">
        <v>334287100</v>
      </c>
      <c r="U49" s="917">
        <v>373607900</v>
      </c>
      <c r="V49" s="1151">
        <v>539616900</v>
      </c>
      <c r="W49" s="448">
        <v>310741500</v>
      </c>
      <c r="X49" s="448"/>
      <c r="Y49" s="1150">
        <v>257265400</v>
      </c>
      <c r="Z49" s="1150">
        <v>274412000</v>
      </c>
      <c r="AA49" s="1150">
        <v>220346000</v>
      </c>
      <c r="AB49" s="1150">
        <v>365306900</v>
      </c>
      <c r="AC49" s="1150">
        <v>285152100</v>
      </c>
      <c r="AD49" s="448">
        <v>275646900</v>
      </c>
      <c r="AE49" s="448"/>
      <c r="AF49" s="448"/>
      <c r="AG49" s="448"/>
      <c r="AH49" s="448"/>
      <c r="AI49" s="448"/>
      <c r="AJ49" s="448"/>
      <c r="AK49" s="448"/>
      <c r="AL49" s="448"/>
      <c r="AM49" s="429">
        <f>SUM(D49:AL49)</f>
        <v>5799383100</v>
      </c>
      <c r="AN49" s="339"/>
      <c r="AO49" s="320">
        <f>D49+E49+F49+G49+H49+I49+J49</f>
        <v>0</v>
      </c>
      <c r="AP49" s="339"/>
      <c r="AQ49" s="429">
        <f>K49+L49+M49+N49+O49+P49+Q49</f>
        <v>1865360100</v>
      </c>
      <c r="AR49" s="339"/>
      <c r="AS49" s="429">
        <f>R49+S49+T49+U49+V49+W49+X49</f>
        <v>2255893700</v>
      </c>
      <c r="AT49" s="339"/>
      <c r="AU49" s="429">
        <f>Y49+Z49+AA49+AB49+AC49+AD49+AE49</f>
        <v>1678129300</v>
      </c>
      <c r="AV49" s="339"/>
      <c r="AW49" s="429">
        <f>AF49+AG49+AH49+AI49+AJ49+AK49+AL49</f>
        <v>0</v>
      </c>
      <c r="AX49" s="339"/>
      <c r="AY49" s="429">
        <f>AO49+AQ49+AS49+AU49+AW49</f>
        <v>5799383100</v>
      </c>
      <c r="BA49" s="276"/>
    </row>
    <row r="50" spans="1:53" x14ac:dyDescent="0.25">
      <c r="A50" s="1439"/>
      <c r="B50" s="1148" t="s">
        <v>4305</v>
      </c>
      <c r="C50" s="1148"/>
      <c r="D50" s="448"/>
      <c r="E50" s="956"/>
      <c r="F50" s="1151">
        <v>19832597</v>
      </c>
      <c r="G50" s="1151">
        <v>1305360</v>
      </c>
      <c r="H50" s="1151">
        <v>82599000</v>
      </c>
      <c r="I50" s="448"/>
      <c r="J50" s="1149"/>
      <c r="K50" s="1157">
        <v>710177348.37</v>
      </c>
      <c r="L50" s="956">
        <v>678086476.78999996</v>
      </c>
      <c r="M50" s="448">
        <v>1101972127</v>
      </c>
      <c r="N50" s="448">
        <v>726430503</v>
      </c>
      <c r="O50" s="1151">
        <v>159383330</v>
      </c>
      <c r="P50" s="1149"/>
      <c r="Q50" s="448"/>
      <c r="R50" s="917">
        <v>15795326</v>
      </c>
      <c r="S50" s="917">
        <v>202066651</v>
      </c>
      <c r="T50" s="917">
        <v>962487939</v>
      </c>
      <c r="U50" s="1153">
        <v>236808142</v>
      </c>
      <c r="V50" s="1159">
        <v>2053470206.4000001</v>
      </c>
      <c r="W50" s="448"/>
      <c r="X50" s="448"/>
      <c r="Y50" s="1150">
        <v>583905597</v>
      </c>
      <c r="Z50" s="1150">
        <v>120066511</v>
      </c>
      <c r="AA50" s="1150">
        <v>185127731</v>
      </c>
      <c r="AB50" s="448"/>
      <c r="AC50" s="448">
        <v>1145861401</v>
      </c>
      <c r="AD50" s="448"/>
      <c r="AE50" s="448"/>
      <c r="AF50" s="448"/>
      <c r="AG50" s="448"/>
      <c r="AH50" s="448"/>
      <c r="AI50" s="448"/>
      <c r="AJ50" s="448"/>
      <c r="AK50" s="448"/>
      <c r="AL50" s="448"/>
      <c r="AM50" s="429">
        <f t="shared" ref="AM50:AM51" si="69">SUM(D50:AL50)</f>
        <v>8985376246.5599995</v>
      </c>
      <c r="AN50" s="339"/>
      <c r="AO50" s="320">
        <f>D50+E50+F50+G50+H50+I50+J50</f>
        <v>103736957</v>
      </c>
      <c r="AP50" s="339"/>
      <c r="AQ50" s="429">
        <f t="shared" ref="AQ50:AQ51" si="70">K50+L50+M50+N50+O50+P50+Q50</f>
        <v>3376049785.1599998</v>
      </c>
      <c r="AR50" s="339"/>
      <c r="AS50" s="429">
        <f>R50+S50+T50+U50+V50+W50+X50</f>
        <v>3470628264.4000001</v>
      </c>
      <c r="AT50" s="339"/>
      <c r="AU50" s="429">
        <f>Y50+Z50+AA50+AB50+AC50+AD50+AE50</f>
        <v>2034961240</v>
      </c>
      <c r="AV50" s="339"/>
      <c r="AW50" s="429">
        <f t="shared" ref="AW50:AW51" si="71">AF50+AG50+AH50+AI50+AJ50+AK50+AL50</f>
        <v>0</v>
      </c>
      <c r="AX50" s="339"/>
      <c r="AY50" s="429">
        <f>AO50+AQ50+AS50+AU50+AW50</f>
        <v>8985376246.5599995</v>
      </c>
      <c r="BA50" s="276"/>
    </row>
    <row r="51" spans="1:53" ht="17.25" thickBot="1" x14ac:dyDescent="0.3">
      <c r="A51" s="1439"/>
      <c r="B51" s="1148" t="s">
        <v>4306</v>
      </c>
      <c r="C51" s="1148"/>
      <c r="D51" s="448"/>
      <c r="E51" s="448"/>
      <c r="F51" s="450"/>
      <c r="H51" s="448"/>
      <c r="I51" s="448"/>
      <c r="J51" s="448"/>
      <c r="K51" s="448"/>
      <c r="M51" s="448"/>
      <c r="N51" s="448"/>
      <c r="O51" s="448"/>
      <c r="P51" s="448">
        <v>146116</v>
      </c>
      <c r="Q51" s="448"/>
      <c r="R51" s="448"/>
      <c r="S51" s="917"/>
      <c r="T51" s="917"/>
      <c r="U51" s="1153"/>
      <c r="V51" s="1150"/>
      <c r="W51" s="448"/>
      <c r="X51" s="448"/>
      <c r="Y51" s="1150"/>
      <c r="Z51" s="1150"/>
      <c r="AA51" s="448"/>
      <c r="AB51" s="448">
        <f>73800+37000</f>
        <v>110800</v>
      </c>
      <c r="AC51" s="736"/>
      <c r="AD51" s="448"/>
      <c r="AE51" s="448"/>
      <c r="AF51" s="448"/>
      <c r="AG51" s="448"/>
      <c r="AH51" s="448"/>
      <c r="AI51" s="448"/>
      <c r="AJ51" s="448"/>
      <c r="AK51" s="448"/>
      <c r="AL51" s="448"/>
      <c r="AM51" s="429">
        <f t="shared" si="69"/>
        <v>256916</v>
      </c>
      <c r="AN51" s="339"/>
      <c r="AO51" s="320">
        <f>D51+E51+F51+G51+H51+I51+J51</f>
        <v>0</v>
      </c>
      <c r="AP51" s="339"/>
      <c r="AQ51" s="429">
        <f t="shared" si="70"/>
        <v>146116</v>
      </c>
      <c r="AR51" s="339"/>
      <c r="AS51" s="429">
        <f>R51+S51+T51+U51+V51+W51+X51</f>
        <v>0</v>
      </c>
      <c r="AT51" s="339"/>
      <c r="AU51" s="429">
        <f>Y51+Z51+AA51+AB51+AC51+AD51+AE51</f>
        <v>110800</v>
      </c>
      <c r="AV51" s="339"/>
      <c r="AW51" s="429">
        <f t="shared" si="71"/>
        <v>0</v>
      </c>
      <c r="AX51" s="339"/>
      <c r="AY51" s="429">
        <f>AO51+AQ51+AS51+AU51+AW51</f>
        <v>256916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 t="shared" ref="D52" si="72">SUM(D49:D51)</f>
        <v>0</v>
      </c>
      <c r="E52" s="333">
        <f t="shared" ref="E52:L52" si="73">SUM(E49:E51)</f>
        <v>0</v>
      </c>
      <c r="F52" s="333">
        <f t="shared" si="73"/>
        <v>19832597</v>
      </c>
      <c r="G52" s="333">
        <f t="shared" si="73"/>
        <v>1305360</v>
      </c>
      <c r="H52" s="333">
        <f t="shared" si="73"/>
        <v>82599000</v>
      </c>
      <c r="I52" s="333">
        <f t="shared" si="73"/>
        <v>0</v>
      </c>
      <c r="J52" s="333">
        <f t="shared" si="73"/>
        <v>0</v>
      </c>
      <c r="K52" s="333">
        <f>SUM(K49:K51)</f>
        <v>710177348.37</v>
      </c>
      <c r="L52" s="333">
        <f t="shared" si="73"/>
        <v>994042476.78999996</v>
      </c>
      <c r="M52" s="333">
        <f>SUM(M49:M51)</f>
        <v>1627735627</v>
      </c>
      <c r="N52" s="333">
        <f t="shared" ref="N52:U52" si="74">SUM(N49:N51)</f>
        <v>1121161103</v>
      </c>
      <c r="O52" s="333">
        <f t="shared" si="74"/>
        <v>442071930</v>
      </c>
      <c r="P52" s="333">
        <f t="shared" si="74"/>
        <v>346367516</v>
      </c>
      <c r="Q52" s="333">
        <f t="shared" si="74"/>
        <v>0</v>
      </c>
      <c r="R52" s="333">
        <f t="shared" si="74"/>
        <v>351574426</v>
      </c>
      <c r="S52" s="333">
        <f t="shared" si="74"/>
        <v>563927851</v>
      </c>
      <c r="T52" s="333">
        <f t="shared" si="74"/>
        <v>1296775039</v>
      </c>
      <c r="U52" s="333">
        <f t="shared" si="74"/>
        <v>610416042</v>
      </c>
      <c r="V52" s="333">
        <f>SUM(V49:V51)</f>
        <v>2593087106.4000001</v>
      </c>
      <c r="W52" s="333">
        <f t="shared" ref="W52:AL52" si="75">SUM(W49:W51)</f>
        <v>310741500</v>
      </c>
      <c r="X52" s="333">
        <f t="shared" si="75"/>
        <v>0</v>
      </c>
      <c r="Y52" s="333">
        <f t="shared" si="75"/>
        <v>841170997</v>
      </c>
      <c r="Z52" s="333">
        <f t="shared" si="75"/>
        <v>394478511</v>
      </c>
      <c r="AA52" s="333">
        <f t="shared" si="75"/>
        <v>405473731</v>
      </c>
      <c r="AB52" s="333">
        <f t="shared" si="75"/>
        <v>365417700</v>
      </c>
      <c r="AC52" s="737">
        <f>SUM(AC49:AC51)</f>
        <v>1431013501</v>
      </c>
      <c r="AD52" s="333">
        <f t="shared" si="75"/>
        <v>275646900</v>
      </c>
      <c r="AE52" s="333">
        <f t="shared" si="75"/>
        <v>0</v>
      </c>
      <c r="AF52" s="333">
        <f t="shared" si="75"/>
        <v>0</v>
      </c>
      <c r="AG52" s="333">
        <f t="shared" si="75"/>
        <v>0</v>
      </c>
      <c r="AH52" s="333">
        <f t="shared" si="75"/>
        <v>0</v>
      </c>
      <c r="AI52" s="333">
        <f t="shared" si="75"/>
        <v>0</v>
      </c>
      <c r="AJ52" s="333">
        <f t="shared" si="75"/>
        <v>0</v>
      </c>
      <c r="AK52" s="333">
        <f t="shared" si="75"/>
        <v>0</v>
      </c>
      <c r="AL52" s="333">
        <f t="shared" si="75"/>
        <v>0</v>
      </c>
      <c r="AM52" s="321">
        <f>SUM(D52:AL52)</f>
        <v>14785016262.559999</v>
      </c>
      <c r="AN52" s="341"/>
      <c r="AO52" s="321">
        <f t="shared" ref="AO52:AW52" si="76">SUM(AO49:AO51)</f>
        <v>103736957</v>
      </c>
      <c r="AP52" s="321">
        <f t="shared" si="76"/>
        <v>0</v>
      </c>
      <c r="AQ52" s="321">
        <f t="shared" si="76"/>
        <v>5241556001.1599998</v>
      </c>
      <c r="AR52" s="321">
        <f t="shared" si="76"/>
        <v>0</v>
      </c>
      <c r="AS52" s="321">
        <f t="shared" si="76"/>
        <v>5726521964.3999996</v>
      </c>
      <c r="AT52" s="321">
        <f t="shared" si="76"/>
        <v>0</v>
      </c>
      <c r="AU52" s="321">
        <f t="shared" si="76"/>
        <v>3713201340</v>
      </c>
      <c r="AV52" s="321">
        <f t="shared" si="76"/>
        <v>0</v>
      </c>
      <c r="AW52" s="321">
        <f t="shared" si="76"/>
        <v>0</v>
      </c>
      <c r="AX52" s="691">
        <f>SUM(AX49:AX51)</f>
        <v>0</v>
      </c>
      <c r="AY52" s="342">
        <f>SUM(AY49:AY51)</f>
        <v>14785016262.559999</v>
      </c>
      <c r="BA52" s="276"/>
    </row>
    <row r="53" spans="1:53" ht="17.25" thickTop="1" x14ac:dyDescent="0.25">
      <c r="A53" s="1443" t="s">
        <v>4751</v>
      </c>
      <c r="B53" s="1148" t="s">
        <v>165</v>
      </c>
      <c r="C53" s="280"/>
      <c r="D53" s="448"/>
      <c r="E53" s="448"/>
      <c r="F53" s="1149"/>
      <c r="G53" s="1149"/>
      <c r="H53" s="1160"/>
      <c r="I53" s="448"/>
      <c r="L53" s="448">
        <v>198629400</v>
      </c>
      <c r="M53" s="448">
        <v>265290600</v>
      </c>
      <c r="N53" s="448">
        <v>309543800</v>
      </c>
      <c r="O53" s="448">
        <v>202689500</v>
      </c>
      <c r="P53" s="334">
        <v>172945500</v>
      </c>
      <c r="Q53" s="448"/>
      <c r="R53" s="917">
        <v>357365200</v>
      </c>
      <c r="S53" s="917">
        <v>248668700</v>
      </c>
      <c r="T53" s="1150">
        <v>270459900</v>
      </c>
      <c r="U53" s="448">
        <v>232371900</v>
      </c>
      <c r="V53" s="1151">
        <v>332878900</v>
      </c>
      <c r="W53" s="448">
        <v>281254500</v>
      </c>
      <c r="X53" s="448"/>
      <c r="Y53" s="1156">
        <v>319931400</v>
      </c>
      <c r="Z53" s="448">
        <v>174611300</v>
      </c>
      <c r="AA53" s="1156">
        <v>207773000</v>
      </c>
      <c r="AB53" s="1150">
        <v>207536300</v>
      </c>
      <c r="AC53" s="320">
        <v>299101600</v>
      </c>
      <c r="AD53" s="334">
        <v>159582900</v>
      </c>
      <c r="AE53" s="448"/>
      <c r="AF53" s="448"/>
      <c r="AG53" s="448"/>
      <c r="AH53" s="448"/>
      <c r="AI53" s="448"/>
      <c r="AJ53" s="448"/>
      <c r="AK53" s="448"/>
      <c r="AL53" s="448"/>
      <c r="AM53" s="429">
        <f>SUM(D53:AL53)</f>
        <v>4240634400</v>
      </c>
      <c r="AN53" s="339"/>
      <c r="AO53" s="320">
        <f>D53+E53+F53+G53+H53+I53+J53</f>
        <v>0</v>
      </c>
      <c r="AP53" s="339"/>
      <c r="AQ53" s="320">
        <f>K53+L53+M53+N53+O53+P53+Q53</f>
        <v>1149098800</v>
      </c>
      <c r="AR53" s="339"/>
      <c r="AS53" s="429">
        <f>R53+S53+T53+U53+V53+W53+X53</f>
        <v>1722999100</v>
      </c>
      <c r="AT53" s="339"/>
      <c r="AU53" s="429">
        <f>Y53+Z53+AA53+AB53+AC53+AD53+AE53</f>
        <v>1368536500</v>
      </c>
      <c r="AV53" s="339"/>
      <c r="AW53" s="429">
        <f>AF53+AG53+AH53+AI53+AJ53+AK53+AL53</f>
        <v>0</v>
      </c>
      <c r="AX53" s="339"/>
      <c r="AY53" s="429">
        <f>AO53+AQ53+AS53+AU53+AW53</f>
        <v>4240634400</v>
      </c>
      <c r="BA53" s="276"/>
    </row>
    <row r="54" spans="1:53" x14ac:dyDescent="0.25">
      <c r="A54" s="1443"/>
      <c r="B54" s="1148" t="s">
        <v>4305</v>
      </c>
      <c r="C54" s="1148"/>
      <c r="D54" s="448"/>
      <c r="E54" s="1157"/>
      <c r="F54" s="1151"/>
      <c r="G54" s="1151">
        <v>2703999</v>
      </c>
      <c r="H54" s="1151">
        <v>4140837</v>
      </c>
      <c r="I54" s="448"/>
      <c r="J54" s="1149"/>
      <c r="K54" s="1157">
        <v>236090588.06</v>
      </c>
      <c r="L54" s="956">
        <v>514953265.20999998</v>
      </c>
      <c r="M54" s="448">
        <v>155661377</v>
      </c>
      <c r="N54" s="448">
        <v>64953054</v>
      </c>
      <c r="O54" s="448">
        <v>211884980</v>
      </c>
      <c r="P54" s="1149"/>
      <c r="Q54" s="448"/>
      <c r="R54" s="917">
        <v>68544402</v>
      </c>
      <c r="S54" s="1153">
        <v>195821200</v>
      </c>
      <c r="T54" s="1151">
        <v>56985578</v>
      </c>
      <c r="U54" s="1151">
        <v>218637059</v>
      </c>
      <c r="V54" s="1428">
        <v>637531874.39999998</v>
      </c>
      <c r="W54" s="448"/>
      <c r="X54" s="448"/>
      <c r="Y54" s="1157">
        <v>183566885</v>
      </c>
      <c r="Z54" s="334">
        <v>126460164</v>
      </c>
      <c r="AA54" s="1156">
        <v>102838107</v>
      </c>
      <c r="AB54" s="1156"/>
      <c r="AC54" s="429">
        <v>46079156</v>
      </c>
      <c r="AD54" s="735"/>
      <c r="AE54" s="448"/>
      <c r="AF54" s="448"/>
      <c r="AG54" s="448"/>
      <c r="AH54" s="448"/>
      <c r="AI54" s="448"/>
      <c r="AJ54" s="448"/>
      <c r="AK54" s="448"/>
      <c r="AL54" s="448"/>
      <c r="AM54" s="429">
        <f t="shared" ref="AM54:AM55" si="77">SUM(D54:AL54)</f>
        <v>2826852525.6700001</v>
      </c>
      <c r="AN54" s="339"/>
      <c r="AO54" s="320">
        <f>D54+E54+F54+G54+H54+I54+J54</f>
        <v>6844836</v>
      </c>
      <c r="AP54" s="339"/>
      <c r="AQ54" s="320">
        <f>K54+L54+M54+N54+O54+P54+Q54</f>
        <v>1183543264.27</v>
      </c>
      <c r="AR54" s="339"/>
      <c r="AS54" s="429">
        <f>R54+S54+T54+U54+V54+W54+X54</f>
        <v>1177520113.4000001</v>
      </c>
      <c r="AT54" s="339"/>
      <c r="AU54" s="429">
        <f>Y54+Z54+AA54+AB54+AC54+AD54+AE54</f>
        <v>458944312</v>
      </c>
      <c r="AV54" s="339"/>
      <c r="AW54" s="429">
        <f t="shared" ref="AW54:AW55" si="78">AF54+AG54+AH54+AI54+AJ54+AK54+AL54</f>
        <v>0</v>
      </c>
      <c r="AX54" s="339"/>
      <c r="AY54" s="429">
        <f>AO54+AQ54+AS54+AU54+AW54</f>
        <v>2826852525.6700001</v>
      </c>
      <c r="BA54" s="276"/>
    </row>
    <row r="55" spans="1:53" ht="17.25" thickBot="1" x14ac:dyDescent="0.3">
      <c r="A55" s="1443"/>
      <c r="B55" s="906" t="s">
        <v>4306</v>
      </c>
      <c r="C55" s="906"/>
      <c r="D55" s="736"/>
      <c r="E55" s="736"/>
      <c r="F55" s="907"/>
      <c r="H55" s="736"/>
      <c r="I55" s="736"/>
      <c r="J55" s="736"/>
      <c r="K55" s="736"/>
      <c r="L55" s="736"/>
      <c r="M55" s="736">
        <v>39200</v>
      </c>
      <c r="N55" s="736"/>
      <c r="O55" s="736">
        <v>170426</v>
      </c>
      <c r="P55" s="736"/>
      <c r="Q55" s="736"/>
      <c r="R55" s="865"/>
      <c r="S55" s="865">
        <v>111646</v>
      </c>
      <c r="T55" s="923"/>
      <c r="U55" s="736"/>
      <c r="V55" s="978"/>
      <c r="W55" s="736"/>
      <c r="X55" s="736"/>
      <c r="Y55" s="871"/>
      <c r="Z55" s="736"/>
      <c r="AA55" s="923"/>
      <c r="AB55" s="736"/>
      <c r="AC55" s="907"/>
      <c r="AE55" s="736"/>
      <c r="AF55" s="736"/>
      <c r="AG55" s="736"/>
      <c r="AH55" s="736"/>
      <c r="AI55" s="736"/>
      <c r="AJ55" s="736"/>
      <c r="AK55" s="736"/>
      <c r="AL55" s="736"/>
      <c r="AM55" s="429">
        <f t="shared" si="77"/>
        <v>321272</v>
      </c>
      <c r="AN55" s="339"/>
      <c r="AO55" s="320">
        <f>D55+E55+F55+G55+H55+I55+J55</f>
        <v>0</v>
      </c>
      <c r="AP55" s="339"/>
      <c r="AQ55" s="320">
        <f>K55+L55+M55+N55+O55+P55+Q55</f>
        <v>209626</v>
      </c>
      <c r="AR55" s="339"/>
      <c r="AS55" s="429">
        <f>R55+S55+T55+U55+V55+W55+X55</f>
        <v>111646</v>
      </c>
      <c r="AT55" s="339"/>
      <c r="AU55" s="429">
        <f>Y55+Z55+AA55+AB55+AC55+AD55+AE55</f>
        <v>0</v>
      </c>
      <c r="AV55" s="339"/>
      <c r="AW55" s="429">
        <f t="shared" si="78"/>
        <v>0</v>
      </c>
      <c r="AX55" s="339"/>
      <c r="AY55" s="908">
        <f>AO55+AQ55+AS55+AU55+AW55</f>
        <v>321272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 t="shared" ref="D56" si="79">SUM(D53:D55)</f>
        <v>0</v>
      </c>
      <c r="E56" s="333">
        <f>SUM(E53:E55)</f>
        <v>0</v>
      </c>
      <c r="F56" s="333">
        <f>SUM(F53:F55)</f>
        <v>0</v>
      </c>
      <c r="G56" s="333">
        <f>SUM(G53:G55)</f>
        <v>2703999</v>
      </c>
      <c r="H56" s="333">
        <f t="shared" ref="H56:AL56" si="80">SUM(H53:H55)</f>
        <v>4140837</v>
      </c>
      <c r="I56" s="333">
        <f t="shared" si="80"/>
        <v>0</v>
      </c>
      <c r="J56" s="333">
        <f t="shared" si="80"/>
        <v>0</v>
      </c>
      <c r="K56" s="333">
        <f>SUM(K53:K55)</f>
        <v>236090588.06</v>
      </c>
      <c r="L56" s="333">
        <f>SUM(L53:L55)</f>
        <v>713582665.21000004</v>
      </c>
      <c r="M56" s="333">
        <f>SUM(M53:M55)</f>
        <v>420991177</v>
      </c>
      <c r="N56" s="333">
        <f t="shared" si="80"/>
        <v>374496854</v>
      </c>
      <c r="O56" s="333">
        <f t="shared" si="80"/>
        <v>414744906</v>
      </c>
      <c r="P56" s="333">
        <f>SUM(P53:P55)</f>
        <v>172945500</v>
      </c>
      <c r="Q56" s="333">
        <f t="shared" si="80"/>
        <v>0</v>
      </c>
      <c r="R56" s="333">
        <f t="shared" si="80"/>
        <v>425909602</v>
      </c>
      <c r="S56" s="333">
        <f t="shared" si="80"/>
        <v>444601546</v>
      </c>
      <c r="T56" s="333">
        <f t="shared" si="80"/>
        <v>327445478</v>
      </c>
      <c r="U56" s="333">
        <f t="shared" si="80"/>
        <v>451008959</v>
      </c>
      <c r="V56" s="333">
        <f t="shared" si="80"/>
        <v>970410774.39999998</v>
      </c>
      <c r="W56" s="333">
        <f t="shared" si="80"/>
        <v>281254500</v>
      </c>
      <c r="X56" s="333">
        <f t="shared" si="80"/>
        <v>0</v>
      </c>
      <c r="Y56" s="333">
        <f t="shared" si="80"/>
        <v>503498285</v>
      </c>
      <c r="Z56" s="333">
        <f>SUM(Z53:Z55)</f>
        <v>301071464</v>
      </c>
      <c r="AA56" s="333">
        <f t="shared" si="80"/>
        <v>310611107</v>
      </c>
      <c r="AB56" s="333">
        <f t="shared" si="80"/>
        <v>207536300</v>
      </c>
      <c r="AC56" s="333">
        <f t="shared" si="80"/>
        <v>345180756</v>
      </c>
      <c r="AD56" s="333">
        <f t="shared" si="80"/>
        <v>159582900</v>
      </c>
      <c r="AE56" s="333">
        <f t="shared" si="80"/>
        <v>0</v>
      </c>
      <c r="AF56" s="333">
        <f t="shared" si="80"/>
        <v>0</v>
      </c>
      <c r="AG56" s="333">
        <f t="shared" si="80"/>
        <v>0</v>
      </c>
      <c r="AH56" s="333">
        <f t="shared" si="80"/>
        <v>0</v>
      </c>
      <c r="AI56" s="333">
        <f t="shared" si="80"/>
        <v>0</v>
      </c>
      <c r="AJ56" s="333">
        <f t="shared" si="80"/>
        <v>0</v>
      </c>
      <c r="AK56" s="333">
        <f t="shared" si="80"/>
        <v>0</v>
      </c>
      <c r="AL56" s="333">
        <f t="shared" si="80"/>
        <v>0</v>
      </c>
      <c r="AM56" s="321">
        <f>SUM(D56:AL56)</f>
        <v>7067808197.6700001</v>
      </c>
      <c r="AN56" s="909"/>
      <c r="AO56" s="321">
        <f t="shared" ref="AO56:AW56" si="81">SUM(AO53:AO55)</f>
        <v>6844836</v>
      </c>
      <c r="AP56" s="321">
        <f t="shared" si="81"/>
        <v>0</v>
      </c>
      <c r="AQ56" s="321">
        <f t="shared" si="81"/>
        <v>2332851690.27</v>
      </c>
      <c r="AR56" s="321">
        <f t="shared" si="81"/>
        <v>0</v>
      </c>
      <c r="AS56" s="321">
        <f t="shared" si="81"/>
        <v>2900630859.4000001</v>
      </c>
      <c r="AT56" s="321">
        <f t="shared" si="81"/>
        <v>0</v>
      </c>
      <c r="AU56" s="321">
        <f t="shared" si="81"/>
        <v>1827480812</v>
      </c>
      <c r="AV56" s="321">
        <f t="shared" si="81"/>
        <v>0</v>
      </c>
      <c r="AW56" s="321">
        <f t="shared" si="81"/>
        <v>0</v>
      </c>
      <c r="AX56" s="910"/>
      <c r="AY56" s="342">
        <f>SUM(AY53:AY55)</f>
        <v>7067808197.6700001</v>
      </c>
      <c r="BA56" s="276"/>
    </row>
    <row r="57" spans="1:53" s="279" customFormat="1" ht="17.25" thickTop="1" x14ac:dyDescent="0.25">
      <c r="A57" s="1450" t="s">
        <v>85</v>
      </c>
      <c r="B57" s="1148" t="s">
        <v>165</v>
      </c>
      <c r="C57" s="913"/>
      <c r="D57" s="904"/>
      <c r="E57" s="904"/>
      <c r="F57" s="904"/>
      <c r="G57" s="904"/>
      <c r="H57" s="904"/>
      <c r="I57" s="904"/>
      <c r="J57" s="904"/>
      <c r="K57" s="904"/>
      <c r="L57" s="904">
        <v>58816700</v>
      </c>
      <c r="M57" s="904">
        <v>50863200</v>
      </c>
      <c r="N57" s="904">
        <v>46363200</v>
      </c>
      <c r="O57" s="904">
        <v>16180500</v>
      </c>
      <c r="P57" s="904">
        <v>10106600</v>
      </c>
      <c r="Q57" s="904"/>
      <c r="R57" s="904">
        <v>78692900</v>
      </c>
      <c r="S57" s="904">
        <v>119729400</v>
      </c>
      <c r="T57" s="904">
        <v>75448200</v>
      </c>
      <c r="U57" s="904">
        <v>91155200</v>
      </c>
      <c r="V57" s="904">
        <v>58676900</v>
      </c>
      <c r="W57" s="904">
        <v>61192500</v>
      </c>
      <c r="X57" s="904"/>
      <c r="Y57" s="904">
        <v>44228900</v>
      </c>
      <c r="Z57" s="904">
        <v>66693900</v>
      </c>
      <c r="AA57" s="904">
        <v>43944400</v>
      </c>
      <c r="AB57" s="904">
        <v>64288600</v>
      </c>
      <c r="AC57" s="904">
        <v>54354000</v>
      </c>
      <c r="AD57" s="904">
        <v>33570900</v>
      </c>
      <c r="AE57" s="904"/>
      <c r="AF57" s="904"/>
      <c r="AG57" s="904"/>
      <c r="AH57" s="904"/>
      <c r="AI57" s="904"/>
      <c r="AJ57" s="904"/>
      <c r="AK57" s="904"/>
      <c r="AL57" s="904"/>
      <c r="AM57" s="429">
        <f>SUM(D57:AL57)</f>
        <v>974306000</v>
      </c>
      <c r="AN57" s="1161"/>
      <c r="AO57" s="320">
        <f>D57+E57+F57+G57+H57+I57+J57</f>
        <v>0</v>
      </c>
      <c r="AP57" s="1162">
        <f t="shared" ref="AP57:AP59" si="82">E57+F57+G57+H57+I57+J57+K57</f>
        <v>0</v>
      </c>
      <c r="AQ57" s="429">
        <f>K57+L57+M57+N57+O57+P57+Q57</f>
        <v>182330200</v>
      </c>
      <c r="AR57" s="1162">
        <f>G57+H57+I57+J57+K57+L57+M57</f>
        <v>109679900</v>
      </c>
      <c r="AS57" s="429">
        <f>R57+S57+T57+U57+V57+W57+X57</f>
        <v>484895100</v>
      </c>
      <c r="AT57" s="1162">
        <f>I57+J57+K57+L57+M57+N57+O57</f>
        <v>172223600</v>
      </c>
      <c r="AU57" s="429">
        <f>Y57+Z57+AA57+AB57+AC57+AD57+AE57</f>
        <v>307080700</v>
      </c>
      <c r="AV57" s="1162">
        <f>K57+L57+M57+N57+O57+P57+Q57</f>
        <v>182330200</v>
      </c>
      <c r="AW57" s="429">
        <f>AF57+AG57+AH57+AI57+AJ57+AK57+AL57</f>
        <v>0</v>
      </c>
      <c r="AX57" s="1161"/>
      <c r="AY57" s="908">
        <f>AO57+AQ57+AS57+AU57+AW57</f>
        <v>974306000</v>
      </c>
      <c r="BA57" s="276"/>
    </row>
    <row r="58" spans="1:53" s="279" customFormat="1" x14ac:dyDescent="0.25">
      <c r="A58" s="1451"/>
      <c r="B58" s="1148" t="s">
        <v>4305</v>
      </c>
      <c r="C58" s="914"/>
      <c r="D58" s="917"/>
      <c r="E58" s="915"/>
      <c r="F58" s="917"/>
      <c r="G58" s="917"/>
      <c r="H58" s="917"/>
      <c r="I58" s="917"/>
      <c r="J58" s="917"/>
      <c r="K58" s="917"/>
      <c r="L58" s="917"/>
      <c r="M58" s="917"/>
      <c r="N58" s="917"/>
      <c r="O58" s="917"/>
      <c r="P58" s="917"/>
      <c r="Q58" s="917"/>
      <c r="R58" s="917"/>
      <c r="S58" s="917"/>
      <c r="T58" s="917"/>
      <c r="U58" s="917"/>
      <c r="V58" s="917"/>
      <c r="W58" s="917"/>
      <c r="X58" s="917"/>
      <c r="Y58" s="917"/>
      <c r="Z58" s="917"/>
      <c r="AA58" s="917"/>
      <c r="AB58" s="917"/>
      <c r="AC58" s="917"/>
      <c r="AD58" s="917"/>
      <c r="AE58" s="917"/>
      <c r="AF58" s="917"/>
      <c r="AG58" s="917"/>
      <c r="AH58" s="917"/>
      <c r="AI58" s="917"/>
      <c r="AJ58" s="917"/>
      <c r="AK58" s="917"/>
      <c r="AL58" s="917"/>
      <c r="AM58" s="429">
        <f t="shared" ref="AM58:AM59" si="83">SUM(D58:AL58)</f>
        <v>0</v>
      </c>
      <c r="AN58" s="1163"/>
      <c r="AO58" s="320">
        <f t="shared" ref="AO58:AO59" si="84">D58+E58+F58+G58+H58+I58+J58</f>
        <v>0</v>
      </c>
      <c r="AP58" s="1162">
        <f t="shared" si="82"/>
        <v>0</v>
      </c>
      <c r="AQ58" s="429">
        <f>K58+L58+M58+N58+O58+P58+Q58</f>
        <v>0</v>
      </c>
      <c r="AR58" s="1162">
        <f>G58+H58+I58+J58+K58+L58+M58</f>
        <v>0</v>
      </c>
      <c r="AS58" s="429">
        <f>R58+S58+T58+U58+V58+W58+X58</f>
        <v>0</v>
      </c>
      <c r="AT58" s="1162">
        <f>I58+J58+K58+L58+M58+N58+O58</f>
        <v>0</v>
      </c>
      <c r="AU58" s="429">
        <f>Y58+Z58+AA58+AB58+AC58+AD58+AE58</f>
        <v>0</v>
      </c>
      <c r="AV58" s="1162">
        <f>K58+L58+M58+N58+O58+P58+Q58</f>
        <v>0</v>
      </c>
      <c r="AW58" s="429">
        <f t="shared" ref="AW58:AW59" si="85">AF58+AG58+AH58+AI58+AJ58+AK58+AL58</f>
        <v>0</v>
      </c>
      <c r="AX58" s="1163"/>
      <c r="AY58" s="908">
        <f t="shared" ref="AY58:AY59" si="86">AO58+AQ58+AS58+AU58+AW58</f>
        <v>0</v>
      </c>
      <c r="BA58" s="276"/>
    </row>
    <row r="59" spans="1:53" s="279" customFormat="1" ht="17.25" thickBot="1" x14ac:dyDescent="0.3">
      <c r="A59" s="1451"/>
      <c r="B59" s="906" t="s">
        <v>4306</v>
      </c>
      <c r="C59" s="916"/>
      <c r="D59" s="865"/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/>
      <c r="Z59" s="865"/>
      <c r="AA59" s="865"/>
      <c r="AB59" s="865"/>
      <c r="AC59" s="865"/>
      <c r="AD59" s="865"/>
      <c r="AE59" s="865"/>
      <c r="AF59" s="865"/>
      <c r="AG59" s="865"/>
      <c r="AH59" s="865"/>
      <c r="AI59" s="865"/>
      <c r="AJ59" s="865"/>
      <c r="AK59" s="865"/>
      <c r="AL59" s="865"/>
      <c r="AM59" s="429">
        <f t="shared" si="83"/>
        <v>0</v>
      </c>
      <c r="AN59" s="1164"/>
      <c r="AO59" s="320">
        <f t="shared" si="84"/>
        <v>0</v>
      </c>
      <c r="AP59" s="1162">
        <f t="shared" si="82"/>
        <v>0</v>
      </c>
      <c r="AQ59" s="429">
        <f>K59+L59+M59+N59+O59+P59+Q59</f>
        <v>0</v>
      </c>
      <c r="AR59" s="1162">
        <f>G59+H59+I59+J59+K59+L59+M59</f>
        <v>0</v>
      </c>
      <c r="AS59" s="429">
        <f>R59+S59+T59+U59+V59+W59+X59</f>
        <v>0</v>
      </c>
      <c r="AT59" s="1162">
        <f>I59+J59+K59+L59+M59+N59+O59</f>
        <v>0</v>
      </c>
      <c r="AU59" s="429">
        <f>Y59+Z59+AA59+AB59+AC59+AD59+AE59</f>
        <v>0</v>
      </c>
      <c r="AV59" s="1162">
        <f>K59+L59+M59+N59+O59+P59+Q59</f>
        <v>0</v>
      </c>
      <c r="AW59" s="429">
        <f t="shared" si="85"/>
        <v>0</v>
      </c>
      <c r="AX59" s="1164"/>
      <c r="AY59" s="908">
        <f t="shared" si="86"/>
        <v>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 t="shared" ref="D60" si="87">SUM(D57:D59)</f>
        <v>0</v>
      </c>
      <c r="E60" s="333">
        <f t="shared" ref="E60:AL60" si="88">SUM(E57:E59)</f>
        <v>0</v>
      </c>
      <c r="F60" s="333">
        <f t="shared" si="88"/>
        <v>0</v>
      </c>
      <c r="G60" s="333">
        <f t="shared" si="88"/>
        <v>0</v>
      </c>
      <c r="H60" s="333">
        <f t="shared" si="88"/>
        <v>0</v>
      </c>
      <c r="I60" s="333">
        <f t="shared" si="88"/>
        <v>0</v>
      </c>
      <c r="J60" s="333">
        <f t="shared" si="88"/>
        <v>0</v>
      </c>
      <c r="K60" s="333">
        <f t="shared" si="88"/>
        <v>0</v>
      </c>
      <c r="L60" s="333">
        <f t="shared" si="88"/>
        <v>58816700</v>
      </c>
      <c r="M60" s="333">
        <f t="shared" si="88"/>
        <v>50863200</v>
      </c>
      <c r="N60" s="333">
        <f t="shared" si="88"/>
        <v>46363200</v>
      </c>
      <c r="O60" s="333">
        <f t="shared" si="88"/>
        <v>16180500</v>
      </c>
      <c r="P60" s="333">
        <f t="shared" si="88"/>
        <v>10106600</v>
      </c>
      <c r="Q60" s="333">
        <f t="shared" si="88"/>
        <v>0</v>
      </c>
      <c r="R60" s="333">
        <f t="shared" si="88"/>
        <v>78692900</v>
      </c>
      <c r="S60" s="333">
        <f t="shared" si="88"/>
        <v>119729400</v>
      </c>
      <c r="T60" s="333">
        <f t="shared" si="88"/>
        <v>75448200</v>
      </c>
      <c r="U60" s="333">
        <f t="shared" si="88"/>
        <v>91155200</v>
      </c>
      <c r="V60" s="333">
        <f t="shared" si="88"/>
        <v>58676900</v>
      </c>
      <c r="W60" s="333">
        <f t="shared" si="88"/>
        <v>61192500</v>
      </c>
      <c r="X60" s="333">
        <f t="shared" si="88"/>
        <v>0</v>
      </c>
      <c r="Y60" s="333">
        <f t="shared" si="88"/>
        <v>44228900</v>
      </c>
      <c r="Z60" s="333">
        <f t="shared" si="88"/>
        <v>66693900</v>
      </c>
      <c r="AA60" s="333">
        <f t="shared" si="88"/>
        <v>43944400</v>
      </c>
      <c r="AB60" s="333">
        <f t="shared" si="88"/>
        <v>64288600</v>
      </c>
      <c r="AC60" s="333">
        <f>SUM(AC57:AC59)</f>
        <v>54354000</v>
      </c>
      <c r="AD60" s="333">
        <f t="shared" si="88"/>
        <v>33570900</v>
      </c>
      <c r="AE60" s="333">
        <f t="shared" si="88"/>
        <v>0</v>
      </c>
      <c r="AF60" s="333">
        <f t="shared" si="88"/>
        <v>0</v>
      </c>
      <c r="AG60" s="333">
        <f t="shared" si="88"/>
        <v>0</v>
      </c>
      <c r="AH60" s="333">
        <f t="shared" si="88"/>
        <v>0</v>
      </c>
      <c r="AI60" s="333">
        <f t="shared" si="88"/>
        <v>0</v>
      </c>
      <c r="AJ60" s="333">
        <f t="shared" si="88"/>
        <v>0</v>
      </c>
      <c r="AK60" s="333">
        <f t="shared" si="88"/>
        <v>0</v>
      </c>
      <c r="AL60" s="333">
        <f t="shared" si="88"/>
        <v>0</v>
      </c>
      <c r="AM60" s="321">
        <f>SUM(D60:AL60)</f>
        <v>974306000</v>
      </c>
      <c r="AN60" s="911"/>
      <c r="AO60" s="321">
        <f t="shared" ref="AO60:AW60" si="89">SUM(AO57:AO59)</f>
        <v>0</v>
      </c>
      <c r="AP60" s="321">
        <f t="shared" si="89"/>
        <v>0</v>
      </c>
      <c r="AQ60" s="321">
        <f t="shared" si="89"/>
        <v>182330200</v>
      </c>
      <c r="AR60" s="321">
        <f t="shared" si="89"/>
        <v>109679900</v>
      </c>
      <c r="AS60" s="321">
        <f t="shared" si="89"/>
        <v>484895100</v>
      </c>
      <c r="AT60" s="321">
        <f t="shared" si="89"/>
        <v>172223600</v>
      </c>
      <c r="AU60" s="321">
        <f t="shared" si="89"/>
        <v>307080700</v>
      </c>
      <c r="AV60" s="321">
        <f t="shared" si="89"/>
        <v>182330200</v>
      </c>
      <c r="AW60" s="321">
        <f t="shared" si="89"/>
        <v>0</v>
      </c>
      <c r="AX60" s="912"/>
      <c r="AY60" s="342">
        <f>SUM(AY57:AY59)</f>
        <v>974306000</v>
      </c>
      <c r="BA60" s="276"/>
    </row>
    <row r="61" spans="1:53" ht="17.25" thickTop="1" x14ac:dyDescent="0.25">
      <c r="A61" s="1444" t="s">
        <v>3435</v>
      </c>
      <c r="B61" s="280" t="s">
        <v>165</v>
      </c>
      <c r="C61" s="280"/>
      <c r="D61" s="902"/>
      <c r="E61" s="902"/>
      <c r="F61" s="903"/>
      <c r="G61" s="903"/>
      <c r="H61" s="902"/>
      <c r="I61" s="902"/>
      <c r="K61" s="902"/>
      <c r="L61" s="902"/>
      <c r="M61" s="902">
        <v>92385600</v>
      </c>
      <c r="N61" s="902">
        <v>111749500</v>
      </c>
      <c r="O61" s="902">
        <v>68631300</v>
      </c>
      <c r="P61" s="903">
        <v>180202000</v>
      </c>
      <c r="Q61" s="902"/>
      <c r="R61" s="904">
        <v>68107800</v>
      </c>
      <c r="S61" s="904">
        <v>41687600</v>
      </c>
      <c r="T61" s="905">
        <v>35316100</v>
      </c>
      <c r="U61" s="904">
        <v>55796100</v>
      </c>
      <c r="V61" s="902">
        <v>148122600</v>
      </c>
      <c r="W61" s="902">
        <v>57477000</v>
      </c>
      <c r="X61" s="320"/>
      <c r="Y61" s="905">
        <v>28970100</v>
      </c>
      <c r="Z61" s="1150">
        <v>27012700</v>
      </c>
      <c r="AA61" s="905">
        <v>112501800</v>
      </c>
      <c r="AB61" s="905">
        <v>72863800</v>
      </c>
      <c r="AC61" s="320">
        <v>121972500</v>
      </c>
      <c r="AD61" s="334">
        <v>21291500</v>
      </c>
      <c r="AE61" s="902"/>
      <c r="AF61" s="902"/>
      <c r="AG61" s="902"/>
      <c r="AH61" s="902"/>
      <c r="AI61" s="902"/>
      <c r="AJ61" s="902"/>
      <c r="AK61" s="902"/>
      <c r="AL61" s="902"/>
      <c r="AM61" s="429">
        <f>SUM(D61:AL61)</f>
        <v>1244088000</v>
      </c>
      <c r="AN61" s="339"/>
      <c r="AO61" s="320">
        <f>D61+E61+F61+G61+H61+I61+J61</f>
        <v>0</v>
      </c>
      <c r="AP61" s="339"/>
      <c r="AQ61" s="320">
        <f>K61+L61+M61+N61+O61+P61+Q61</f>
        <v>452968400</v>
      </c>
      <c r="AR61" s="339"/>
      <c r="AS61" s="320">
        <f>R61+S61+T61+U61+V61+W61+X61</f>
        <v>406507200</v>
      </c>
      <c r="AT61" s="339"/>
      <c r="AU61" s="320">
        <f>Y61+Z61+AA61+AB61+AC61+AD61+AE61</f>
        <v>384612400</v>
      </c>
      <c r="AV61" s="339"/>
      <c r="AW61" s="429">
        <f>AF61+AG61+AH61+AI61+AJ61+AK61+AL61</f>
        <v>0</v>
      </c>
      <c r="AX61" s="339"/>
      <c r="AY61" s="320">
        <f>AO61+AQ61+AS61+AU61+AW61</f>
        <v>1244088000</v>
      </c>
      <c r="BA61" s="276"/>
    </row>
    <row r="62" spans="1:53" x14ac:dyDescent="0.25">
      <c r="A62" s="1444"/>
      <c r="B62" s="1148" t="s">
        <v>4305</v>
      </c>
      <c r="C62" s="1148"/>
      <c r="D62" s="448"/>
      <c r="E62" s="448"/>
      <c r="F62" s="1149"/>
      <c r="G62" s="1149"/>
      <c r="H62" s="448"/>
      <c r="I62" s="448"/>
      <c r="J62" s="1149"/>
      <c r="K62" s="448"/>
      <c r="L62" s="448"/>
      <c r="M62" s="448"/>
      <c r="N62" s="448"/>
      <c r="O62" s="448"/>
      <c r="P62" s="1149"/>
      <c r="Q62" s="448"/>
      <c r="R62" s="917"/>
      <c r="S62" s="917"/>
      <c r="T62" s="1150"/>
      <c r="U62" s="917"/>
      <c r="V62" s="1150"/>
      <c r="X62" s="448"/>
      <c r="Y62" s="1150"/>
      <c r="AA62" s="1150"/>
      <c r="AB62" s="1150"/>
      <c r="AC62" s="429"/>
      <c r="AD62" s="735"/>
      <c r="AE62" s="448"/>
      <c r="AF62" s="448"/>
      <c r="AG62" s="448"/>
      <c r="AH62" s="448"/>
      <c r="AI62" s="448"/>
      <c r="AJ62" s="448"/>
      <c r="AK62" s="448"/>
      <c r="AL62" s="448"/>
      <c r="AM62" s="429">
        <f t="shared" ref="AM62:AM63" si="90">SUM(D62:AL62)</f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 t="shared" ref="AW62:AW63" si="91"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 x14ac:dyDescent="0.3">
      <c r="A63" s="1444"/>
      <c r="B63" s="1148" t="s">
        <v>4306</v>
      </c>
      <c r="C63" s="1148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/>
      <c r="O63" s="448"/>
      <c r="P63" s="448"/>
      <c r="Q63" s="448"/>
      <c r="R63" s="917"/>
      <c r="S63" s="917"/>
      <c r="T63" s="448"/>
      <c r="U63" s="917"/>
      <c r="V63" s="448"/>
      <c r="W63" s="448"/>
      <c r="X63" s="448"/>
      <c r="Y63" s="1150"/>
      <c r="Z63" s="448"/>
      <c r="AA63" s="1165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90"/>
        <v>0</v>
      </c>
      <c r="AN63" s="339"/>
      <c r="AO63" s="320">
        <f>D63+E63+F63+G63+H63+I63+J63</f>
        <v>0</v>
      </c>
      <c r="AP63" s="339"/>
      <c r="AQ63" s="429">
        <f>K63+L63+M63+N63+O63+P63+Q63</f>
        <v>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 t="shared" si="91"/>
        <v>0</v>
      </c>
      <c r="AX63" s="339"/>
      <c r="AY63" s="429">
        <f>AO63+AQ63+AS63+AU63+AW63</f>
        <v>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 t="shared" ref="D64" si="92">SUM(D61:D63)</f>
        <v>0</v>
      </c>
      <c r="E64" s="333">
        <f t="shared" ref="E64:AM64" si="93">SUM(E61:E63)</f>
        <v>0</v>
      </c>
      <c r="F64" s="333">
        <f t="shared" si="93"/>
        <v>0</v>
      </c>
      <c r="G64" s="333">
        <f t="shared" si="93"/>
        <v>0</v>
      </c>
      <c r="H64" s="333">
        <f t="shared" si="93"/>
        <v>0</v>
      </c>
      <c r="I64" s="333">
        <f t="shared" si="93"/>
        <v>0</v>
      </c>
      <c r="J64" s="333">
        <f t="shared" si="93"/>
        <v>0</v>
      </c>
      <c r="K64" s="333">
        <f t="shared" si="93"/>
        <v>0</v>
      </c>
      <c r="L64" s="333">
        <f t="shared" si="93"/>
        <v>0</v>
      </c>
      <c r="M64" s="333">
        <f t="shared" si="93"/>
        <v>92385600</v>
      </c>
      <c r="N64" s="333">
        <f t="shared" si="93"/>
        <v>111749500</v>
      </c>
      <c r="O64" s="333">
        <f t="shared" si="93"/>
        <v>68631300</v>
      </c>
      <c r="P64" s="333">
        <f t="shared" si="93"/>
        <v>180202000</v>
      </c>
      <c r="Q64" s="333">
        <f t="shared" si="93"/>
        <v>0</v>
      </c>
      <c r="R64" s="333">
        <f t="shared" si="93"/>
        <v>68107800</v>
      </c>
      <c r="S64" s="333">
        <f t="shared" si="93"/>
        <v>41687600</v>
      </c>
      <c r="T64" s="333">
        <f t="shared" si="93"/>
        <v>35316100</v>
      </c>
      <c r="U64" s="333">
        <f t="shared" si="93"/>
        <v>55796100</v>
      </c>
      <c r="V64" s="333">
        <f t="shared" si="93"/>
        <v>148122600</v>
      </c>
      <c r="W64" s="333">
        <f t="shared" si="93"/>
        <v>57477000</v>
      </c>
      <c r="X64" s="333">
        <f t="shared" si="93"/>
        <v>0</v>
      </c>
      <c r="Y64" s="333">
        <f t="shared" si="93"/>
        <v>28970100</v>
      </c>
      <c r="Z64" s="333">
        <f t="shared" si="93"/>
        <v>27012700</v>
      </c>
      <c r="AA64" s="333">
        <f t="shared" si="93"/>
        <v>112501800</v>
      </c>
      <c r="AB64" s="333">
        <f t="shared" si="93"/>
        <v>72863800</v>
      </c>
      <c r="AC64" s="333">
        <f t="shared" si="93"/>
        <v>121972500</v>
      </c>
      <c r="AD64" s="333">
        <f t="shared" si="93"/>
        <v>21291500</v>
      </c>
      <c r="AE64" s="333">
        <f t="shared" si="93"/>
        <v>0</v>
      </c>
      <c r="AF64" s="333">
        <f t="shared" si="93"/>
        <v>0</v>
      </c>
      <c r="AG64" s="333">
        <f t="shared" si="93"/>
        <v>0</v>
      </c>
      <c r="AH64" s="333">
        <f t="shared" si="93"/>
        <v>0</v>
      </c>
      <c r="AI64" s="333">
        <f t="shared" si="93"/>
        <v>0</v>
      </c>
      <c r="AJ64" s="333">
        <f t="shared" si="93"/>
        <v>0</v>
      </c>
      <c r="AK64" s="333">
        <f t="shared" si="93"/>
        <v>0</v>
      </c>
      <c r="AL64" s="333">
        <f t="shared" si="93"/>
        <v>0</v>
      </c>
      <c r="AM64" s="333">
        <f t="shared" si="93"/>
        <v>1244088000</v>
      </c>
      <c r="AN64" s="341"/>
      <c r="AO64" s="321">
        <f t="shared" ref="AO64:AW64" si="94">SUM(AO61:AO63)</f>
        <v>0</v>
      </c>
      <c r="AP64" s="321">
        <f t="shared" si="94"/>
        <v>0</v>
      </c>
      <c r="AQ64" s="321">
        <f t="shared" si="94"/>
        <v>452968400</v>
      </c>
      <c r="AR64" s="321">
        <f t="shared" si="94"/>
        <v>0</v>
      </c>
      <c r="AS64" s="321">
        <f t="shared" si="94"/>
        <v>406507200</v>
      </c>
      <c r="AT64" s="321">
        <f t="shared" si="94"/>
        <v>0</v>
      </c>
      <c r="AU64" s="321">
        <f t="shared" si="94"/>
        <v>384612400</v>
      </c>
      <c r="AV64" s="321">
        <f t="shared" si="94"/>
        <v>0</v>
      </c>
      <c r="AW64" s="321">
        <f t="shared" si="94"/>
        <v>0</v>
      </c>
      <c r="AX64" s="341"/>
      <c r="AY64" s="342">
        <f>SUM(AY61:AY63)</f>
        <v>1244088000</v>
      </c>
      <c r="BA64" s="276"/>
    </row>
    <row r="65" spans="1:53" s="279" customFormat="1" ht="17.25" thickTop="1" x14ac:dyDescent="0.25">
      <c r="A65" s="1436" t="s">
        <v>166</v>
      </c>
      <c r="B65" s="1148" t="s">
        <v>165</v>
      </c>
      <c r="C65" s="650"/>
      <c r="D65" s="904"/>
      <c r="E65" s="343"/>
      <c r="F65" s="917"/>
      <c r="G65" s="917"/>
      <c r="H65" s="343"/>
      <c r="I65" s="343"/>
      <c r="J65" s="343"/>
      <c r="K65" s="343"/>
      <c r="L65" s="343">
        <v>83370500</v>
      </c>
      <c r="M65" s="343">
        <v>69423000</v>
      </c>
      <c r="N65" s="343">
        <v>95047400</v>
      </c>
      <c r="O65" s="343">
        <v>106255500</v>
      </c>
      <c r="P65" s="343">
        <v>41612200</v>
      </c>
      <c r="Q65" s="343"/>
      <c r="R65" s="917"/>
      <c r="S65" s="343">
        <v>105723500</v>
      </c>
      <c r="T65" s="343">
        <v>133864400</v>
      </c>
      <c r="U65" s="343">
        <v>146971600</v>
      </c>
      <c r="V65" s="343">
        <v>64319300</v>
      </c>
      <c r="W65" s="343">
        <v>56475100</v>
      </c>
      <c r="X65" s="343"/>
      <c r="Y65" s="904">
        <v>74202200</v>
      </c>
      <c r="Z65" s="1166">
        <v>57691000</v>
      </c>
      <c r="AA65" s="1166">
        <v>80384000</v>
      </c>
      <c r="AB65" s="1166">
        <v>140391300</v>
      </c>
      <c r="AC65" s="1166">
        <v>135544000</v>
      </c>
      <c r="AD65" s="859">
        <v>48459500</v>
      </c>
      <c r="AE65" s="904"/>
      <c r="AF65" s="904"/>
      <c r="AG65" s="904"/>
      <c r="AH65" s="904"/>
      <c r="AI65" s="904"/>
      <c r="AJ65" s="904"/>
      <c r="AK65" s="904"/>
      <c r="AL65" s="904"/>
      <c r="AM65" s="429">
        <f>SUM(D65:AL65)</f>
        <v>1439734500</v>
      </c>
      <c r="AN65" s="341"/>
      <c r="AO65" s="320">
        <f>D65+E65+F65+G65+H65+I65+J65</f>
        <v>0</v>
      </c>
      <c r="AP65" s="1167"/>
      <c r="AQ65" s="429">
        <f>K65+L65+M65+N65+O65+P65+Q65</f>
        <v>395708600</v>
      </c>
      <c r="AR65" s="1167"/>
      <c r="AS65" s="429">
        <f>R65+S65+T65+U65+V65+W65+X65</f>
        <v>507353900</v>
      </c>
      <c r="AT65" s="1167"/>
      <c r="AU65" s="429">
        <f>Y65+Z65+AA65+AB65+AC65+AD65+AE65</f>
        <v>536672000</v>
      </c>
      <c r="AV65" s="1167"/>
      <c r="AW65" s="429">
        <f>AF65+AG65+AH65+AI65+AJ65+AK65+AL65</f>
        <v>0</v>
      </c>
      <c r="AX65" s="1167"/>
      <c r="AY65" s="429">
        <f>AO65+AQ65+AS65+AU65+AW65</f>
        <v>1439734500</v>
      </c>
      <c r="BA65" s="276"/>
    </row>
    <row r="66" spans="1:53" s="279" customFormat="1" x14ac:dyDescent="0.25">
      <c r="A66" s="1437"/>
      <c r="B66" s="1148" t="s">
        <v>4305</v>
      </c>
      <c r="C66" s="1168"/>
      <c r="D66" s="917"/>
      <c r="E66" s="917"/>
      <c r="F66" s="917"/>
      <c r="G66" s="917"/>
      <c r="H66" s="917"/>
      <c r="I66" s="917"/>
      <c r="J66" s="917"/>
      <c r="K66" s="917"/>
      <c r="L66" s="917"/>
      <c r="M66" s="917"/>
      <c r="N66" s="917"/>
      <c r="O66" s="917"/>
      <c r="P66" s="917"/>
      <c r="Q66" s="917"/>
      <c r="R66" s="917"/>
      <c r="S66" s="917"/>
      <c r="T66" s="917"/>
      <c r="U66" s="917"/>
      <c r="V66" s="917"/>
      <c r="W66" s="917"/>
      <c r="X66" s="917"/>
      <c r="Y66" s="917"/>
      <c r="Z66" s="917"/>
      <c r="AA66" s="917"/>
      <c r="AB66" s="917"/>
      <c r="AC66" s="917"/>
      <c r="AD66" s="1169"/>
      <c r="AE66" s="917"/>
      <c r="AF66" s="917"/>
      <c r="AG66" s="917"/>
      <c r="AH66" s="917"/>
      <c r="AI66" s="917"/>
      <c r="AJ66" s="917"/>
      <c r="AK66" s="917"/>
      <c r="AL66" s="917"/>
      <c r="AM66" s="429">
        <f t="shared" ref="AM66:AM67" si="95">SUM(D66:AL66)</f>
        <v>0</v>
      </c>
      <c r="AN66" s="341"/>
      <c r="AO66" s="320">
        <f>D66+E66+F66+G66+H66+I66+J66</f>
        <v>0</v>
      </c>
      <c r="AP66" s="1167"/>
      <c r="AQ66" s="429">
        <f>K66+L66+M66+N66+O66+P66+Q66</f>
        <v>0</v>
      </c>
      <c r="AR66" s="1167"/>
      <c r="AS66" s="429">
        <f>R66+S66+T66+U66+V66+W66+X66</f>
        <v>0</v>
      </c>
      <c r="AT66" s="1167"/>
      <c r="AU66" s="429">
        <f>Y66+Z66+AA66+AB66+AC66+AD66+AE66</f>
        <v>0</v>
      </c>
      <c r="AV66" s="1167"/>
      <c r="AW66" s="429">
        <f t="shared" ref="AW66:AW67" si="96">AF66+AG66+AH66+AI66+AJ66+AK66+AL66</f>
        <v>0</v>
      </c>
      <c r="AX66" s="1167"/>
      <c r="AY66" s="429">
        <f>AO66+AQ66+AS66+AU66+AW66</f>
        <v>0</v>
      </c>
      <c r="BA66" s="276"/>
    </row>
    <row r="67" spans="1:53" s="283" customFormat="1" ht="17.25" thickBot="1" x14ac:dyDescent="0.3">
      <c r="A67" s="1438"/>
      <c r="B67" s="1148" t="s">
        <v>4306</v>
      </c>
      <c r="C67" s="651"/>
      <c r="D67" s="865"/>
      <c r="E67" s="652"/>
      <c r="F67" s="652"/>
      <c r="G67" s="652"/>
      <c r="H67" s="652"/>
      <c r="I67" s="652"/>
      <c r="J67" s="652"/>
      <c r="K67" s="652"/>
      <c r="L67" s="652"/>
      <c r="M67" s="652"/>
      <c r="N67" s="652"/>
      <c r="O67" s="652"/>
      <c r="P67" s="652"/>
      <c r="Q67" s="652"/>
      <c r="R67" s="652"/>
      <c r="S67" s="652"/>
      <c r="T67" s="652"/>
      <c r="U67" s="652"/>
      <c r="V67" s="652"/>
      <c r="W67" s="652"/>
      <c r="X67" s="652"/>
      <c r="Y67" s="871"/>
      <c r="Z67" s="865"/>
      <c r="AA67" s="865"/>
      <c r="AB67" s="865"/>
      <c r="AC67" s="865"/>
      <c r="AD67" s="872"/>
      <c r="AE67" s="865"/>
      <c r="AF67" s="865"/>
      <c r="AG67" s="865"/>
      <c r="AH67" s="865"/>
      <c r="AI67" s="865"/>
      <c r="AJ67" s="865"/>
      <c r="AK67" s="865"/>
      <c r="AL67" s="865"/>
      <c r="AM67" s="429">
        <f t="shared" si="95"/>
        <v>0</v>
      </c>
      <c r="AN67" s="344"/>
      <c r="AO67" s="320">
        <f>D67+E67+F67+G67+H67+I67+J67</f>
        <v>0</v>
      </c>
      <c r="AP67" s="1167"/>
      <c r="AQ67" s="429">
        <f>K67+L67+M67+N67+O67+P67+Q67</f>
        <v>0</v>
      </c>
      <c r="AR67" s="1167"/>
      <c r="AS67" s="429">
        <f>R67+S67+T67+U67+V67+W67+X67</f>
        <v>0</v>
      </c>
      <c r="AT67" s="1167"/>
      <c r="AU67" s="429">
        <f>Y67+Z67+AA67+AB67+AC67+AD67+AE67</f>
        <v>0</v>
      </c>
      <c r="AV67" s="1167"/>
      <c r="AW67" s="429">
        <f t="shared" si="96"/>
        <v>0</v>
      </c>
      <c r="AX67" s="1167"/>
      <c r="AY67" s="429">
        <f>AO67+AQ67+AS67+AU67+AW67</f>
        <v>0</v>
      </c>
      <c r="BA67" s="284"/>
    </row>
    <row r="68" spans="1:53" s="279" customFormat="1" ht="18" thickTop="1" thickBot="1" x14ac:dyDescent="0.3">
      <c r="A68" s="970"/>
      <c r="B68" s="971" t="s">
        <v>24</v>
      </c>
      <c r="C68" s="972"/>
      <c r="D68" s="974">
        <f t="shared" ref="D68" si="97">SUM(D65:D67)</f>
        <v>0</v>
      </c>
      <c r="E68" s="973">
        <f>SUM(E65:E67)</f>
        <v>0</v>
      </c>
      <c r="F68" s="973">
        <f>SUM(F65:F67)</f>
        <v>0</v>
      </c>
      <c r="G68" s="973">
        <f>SUM(G65:G67)</f>
        <v>0</v>
      </c>
      <c r="H68" s="973">
        <f t="shared" ref="H68:AL68" si="98">SUM(H65:H67)</f>
        <v>0</v>
      </c>
      <c r="I68" s="973">
        <f t="shared" si="98"/>
        <v>0</v>
      </c>
      <c r="J68" s="974">
        <f t="shared" si="98"/>
        <v>0</v>
      </c>
      <c r="K68" s="973">
        <f t="shared" si="98"/>
        <v>0</v>
      </c>
      <c r="L68" s="973">
        <f>SUM(L65:L67)</f>
        <v>83370500</v>
      </c>
      <c r="M68" s="973">
        <f>SUM(M65:M67)</f>
        <v>69423000</v>
      </c>
      <c r="N68" s="973">
        <f t="shared" si="98"/>
        <v>95047400</v>
      </c>
      <c r="O68" s="973">
        <f t="shared" si="98"/>
        <v>106255500</v>
      </c>
      <c r="P68" s="973">
        <f t="shared" si="98"/>
        <v>41612200</v>
      </c>
      <c r="Q68" s="973">
        <f t="shared" si="98"/>
        <v>0</v>
      </c>
      <c r="R68" s="973">
        <f t="shared" si="98"/>
        <v>0</v>
      </c>
      <c r="S68" s="973">
        <f t="shared" si="98"/>
        <v>105723500</v>
      </c>
      <c r="T68" s="973">
        <f t="shared" si="98"/>
        <v>133864400</v>
      </c>
      <c r="U68" s="974">
        <f t="shared" si="98"/>
        <v>146971600</v>
      </c>
      <c r="V68" s="973">
        <f t="shared" si="98"/>
        <v>64319300</v>
      </c>
      <c r="W68" s="973">
        <f t="shared" si="98"/>
        <v>56475100</v>
      </c>
      <c r="X68" s="973">
        <f t="shared" si="98"/>
        <v>0</v>
      </c>
      <c r="Y68" s="974">
        <f t="shared" si="98"/>
        <v>74202200</v>
      </c>
      <c r="Z68" s="974">
        <f t="shared" si="98"/>
        <v>57691000</v>
      </c>
      <c r="AA68" s="974">
        <f t="shared" si="98"/>
        <v>80384000</v>
      </c>
      <c r="AB68" s="974">
        <f t="shared" si="98"/>
        <v>140391300</v>
      </c>
      <c r="AC68" s="974">
        <f>SUM(AC65:AC67)</f>
        <v>135544000</v>
      </c>
      <c r="AD68" s="974">
        <f t="shared" si="98"/>
        <v>48459500</v>
      </c>
      <c r="AE68" s="974">
        <f t="shared" si="98"/>
        <v>0</v>
      </c>
      <c r="AF68" s="974">
        <f t="shared" si="98"/>
        <v>0</v>
      </c>
      <c r="AG68" s="974">
        <f t="shared" si="98"/>
        <v>0</v>
      </c>
      <c r="AH68" s="974">
        <f t="shared" si="98"/>
        <v>0</v>
      </c>
      <c r="AI68" s="974">
        <f t="shared" si="98"/>
        <v>0</v>
      </c>
      <c r="AJ68" s="974">
        <f t="shared" si="98"/>
        <v>0</v>
      </c>
      <c r="AK68" s="974">
        <f t="shared" si="98"/>
        <v>0</v>
      </c>
      <c r="AL68" s="974">
        <f t="shared" si="98"/>
        <v>0</v>
      </c>
      <c r="AM68" s="321">
        <f>SUM(D68:AL68)</f>
        <v>1439734500</v>
      </c>
      <c r="AN68" s="341"/>
      <c r="AO68" s="321">
        <f t="shared" ref="AO68:AW68" si="99">SUM(AO65:AO67)</f>
        <v>0</v>
      </c>
      <c r="AP68" s="321">
        <f t="shared" si="99"/>
        <v>0</v>
      </c>
      <c r="AQ68" s="321">
        <f t="shared" si="99"/>
        <v>395708600</v>
      </c>
      <c r="AR68" s="321">
        <f t="shared" si="99"/>
        <v>0</v>
      </c>
      <c r="AS68" s="321">
        <f t="shared" si="99"/>
        <v>507353900</v>
      </c>
      <c r="AT68" s="321">
        <f t="shared" si="99"/>
        <v>0</v>
      </c>
      <c r="AU68" s="321">
        <f t="shared" si="99"/>
        <v>536672000</v>
      </c>
      <c r="AV68" s="321">
        <f t="shared" si="99"/>
        <v>0</v>
      </c>
      <c r="AW68" s="321">
        <f t="shared" si="99"/>
        <v>0</v>
      </c>
      <c r="AX68" s="341"/>
      <c r="AY68" s="342">
        <f>SUM(AY65:AY67)</f>
        <v>1439734500</v>
      </c>
      <c r="BA68" s="276"/>
    </row>
    <row r="69" spans="1:53" s="285" customFormat="1" ht="18" thickTop="1" thickBot="1" x14ac:dyDescent="0.3">
      <c r="A69" s="975" t="s">
        <v>167</v>
      </c>
      <c r="B69" s="976"/>
      <c r="C69" s="976"/>
      <c r="D69" s="977">
        <f t="shared" ref="D69" si="100">D12+D16+D20+D24+D28+D32+D36+D40+D44+D48+D56+D64+D68+D52+D60</f>
        <v>4194578</v>
      </c>
      <c r="E69" s="977">
        <f t="shared" ref="E69:AL69" si="101">E12+E16+E20+E24+E28+E32+E36+E40+E44+E48+E56+E64+E68+E52+E60</f>
        <v>444401078</v>
      </c>
      <c r="F69" s="977">
        <f t="shared" si="101"/>
        <v>19832597</v>
      </c>
      <c r="G69" s="977">
        <f t="shared" si="101"/>
        <v>49440599</v>
      </c>
      <c r="H69" s="977">
        <f t="shared" si="101"/>
        <v>102719442</v>
      </c>
      <c r="I69" s="977">
        <f t="shared" si="101"/>
        <v>0</v>
      </c>
      <c r="J69" s="977">
        <f t="shared" si="101"/>
        <v>0</v>
      </c>
      <c r="K69" s="977">
        <f t="shared" si="101"/>
        <v>993583260.43000007</v>
      </c>
      <c r="L69" s="977">
        <f t="shared" si="101"/>
        <v>5294381377.0100002</v>
      </c>
      <c r="M69" s="977">
        <f t="shared" si="101"/>
        <v>7387410108.8600006</v>
      </c>
      <c r="N69" s="977">
        <f t="shared" si="101"/>
        <v>9007086380</v>
      </c>
      <c r="O69" s="977">
        <f t="shared" si="101"/>
        <v>4676975377</v>
      </c>
      <c r="P69" s="977">
        <f t="shared" si="101"/>
        <v>4134121268</v>
      </c>
      <c r="Q69" s="977">
        <f t="shared" si="101"/>
        <v>0</v>
      </c>
      <c r="R69" s="977">
        <f t="shared" si="101"/>
        <v>3629055858</v>
      </c>
      <c r="S69" s="977">
        <f t="shared" si="101"/>
        <v>3653589243</v>
      </c>
      <c r="T69" s="977">
        <f t="shared" si="101"/>
        <v>4989708901</v>
      </c>
      <c r="U69" s="977">
        <f t="shared" si="101"/>
        <v>3987950982</v>
      </c>
      <c r="V69" s="977">
        <f t="shared" si="101"/>
        <v>6235948885.8000002</v>
      </c>
      <c r="W69" s="977">
        <f t="shared" si="101"/>
        <v>6796060607.9400005</v>
      </c>
      <c r="X69" s="977">
        <f t="shared" si="101"/>
        <v>0</v>
      </c>
      <c r="Y69" s="977">
        <f t="shared" si="101"/>
        <v>3179803275</v>
      </c>
      <c r="Z69" s="977">
        <f t="shared" si="101"/>
        <v>3141386063.6700001</v>
      </c>
      <c r="AA69" s="977">
        <f t="shared" si="101"/>
        <v>3126102096</v>
      </c>
      <c r="AB69" s="977">
        <f t="shared" si="101"/>
        <v>3472039157</v>
      </c>
      <c r="AC69" s="977">
        <f t="shared" si="101"/>
        <v>4136051794</v>
      </c>
      <c r="AD69" s="977">
        <f t="shared" si="101"/>
        <v>5034094457</v>
      </c>
      <c r="AE69" s="977">
        <f t="shared" si="101"/>
        <v>0</v>
      </c>
      <c r="AF69" s="977">
        <f t="shared" si="101"/>
        <v>0</v>
      </c>
      <c r="AG69" s="977">
        <f t="shared" si="101"/>
        <v>0</v>
      </c>
      <c r="AH69" s="977">
        <f t="shared" si="101"/>
        <v>0</v>
      </c>
      <c r="AI69" s="977">
        <f t="shared" si="101"/>
        <v>0</v>
      </c>
      <c r="AJ69" s="977">
        <f t="shared" si="101"/>
        <v>0</v>
      </c>
      <c r="AK69" s="977">
        <f t="shared" si="101"/>
        <v>0</v>
      </c>
      <c r="AL69" s="977">
        <f t="shared" si="101"/>
        <v>0</v>
      </c>
      <c r="AM69" s="345">
        <f>AM12+AM16+AM20+AM24+AM28+AM32+AM36+AM40+AM44+AM48+AM56+AM64+AM68+AM52+AM60</f>
        <v>83495937385.709991</v>
      </c>
      <c r="AN69" s="346"/>
      <c r="AO69" s="1170">
        <f>D69+E69+F69+G69+H69+I69+J69</f>
        <v>620588294</v>
      </c>
      <c r="AP69" s="346"/>
      <c r="AQ69" s="1170">
        <f>K69+L69+M69+N69+O69+P69+Q69</f>
        <v>31493557771.300003</v>
      </c>
      <c r="AR69" s="346"/>
      <c r="AS69" s="345">
        <f>R69+S69+T69+U69+V69+W69+X69</f>
        <v>29292314477.739998</v>
      </c>
      <c r="AT69" s="345">
        <f>S69+T69+U69+V69+W69+X69+Y69</f>
        <v>28843061894.739998</v>
      </c>
      <c r="AU69" s="345">
        <f>T69+U69+V69+W69+X69+Y69+Z69</f>
        <v>28330858715.409996</v>
      </c>
      <c r="AV69" s="345">
        <f>U69+V69+W69+X69+Y69+Z69+AA69</f>
        <v>26467251910.409996</v>
      </c>
      <c r="AW69" s="345">
        <f>V69+W69+X69+Y69+Z69+AA69+AB69</f>
        <v>25951340085.410004</v>
      </c>
      <c r="AX69" s="346"/>
      <c r="AY69" s="345">
        <f>AY12+AY16+AY20+AY24+AY28+AY32+AY36+AY40+AY44+AY48+AY56+AY64+AY60+AY68+AY52</f>
        <v>83495937385.709991</v>
      </c>
    </row>
    <row r="70" spans="1:53" ht="17.25" thickTop="1" x14ac:dyDescent="0.25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82521631385.709991</v>
      </c>
      <c r="AN70" s="339"/>
      <c r="AO70" s="288"/>
      <c r="AP70" s="339"/>
      <c r="AQ70" s="288"/>
      <c r="AR70" s="339"/>
      <c r="AS70" s="288"/>
      <c r="AT70" s="339"/>
      <c r="AU70" s="288"/>
      <c r="AV70" s="339"/>
      <c r="AW70" s="320"/>
      <c r="AX70" s="339"/>
      <c r="AY70" s="288"/>
    </row>
    <row r="71" spans="1:53" x14ac:dyDescent="0.25">
      <c r="A71" s="1145" t="s">
        <v>168</v>
      </c>
      <c r="B71" s="449" t="s">
        <v>5948</v>
      </c>
      <c r="C71" s="449"/>
      <c r="D71" s="448"/>
      <c r="E71" s="448"/>
      <c r="F71" s="448"/>
      <c r="G71" s="448"/>
      <c r="H71" s="448"/>
      <c r="I71" s="917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29">
        <f t="shared" ref="AM71:AM79" si="102">SUM(D71:AE71)</f>
        <v>0</v>
      </c>
      <c r="AN71" s="289"/>
      <c r="AO71" s="429">
        <f t="shared" ref="AO71:AO79" si="103">D71+E71+F71+G71+H71+I71+J71</f>
        <v>0</v>
      </c>
      <c r="AP71" s="339"/>
      <c r="AQ71" s="429">
        <f t="shared" ref="AQ71:AQ79" si="104">K71+L71+M71+N71+O71+P71+Q71</f>
        <v>0</v>
      </c>
      <c r="AR71" s="339"/>
      <c r="AS71" s="429">
        <f t="shared" ref="AS71:AS100" si="105">R71+S71+T71+U71+V71+W71+X71</f>
        <v>0</v>
      </c>
      <c r="AT71" s="339"/>
      <c r="AU71" s="429">
        <f t="shared" ref="AU71:AU79" si="106">Y71+Z71+AA71+AB71+AC71+AD71+AE71</f>
        <v>0</v>
      </c>
      <c r="AV71" s="339"/>
      <c r="AW71" s="429"/>
      <c r="AX71" s="339"/>
      <c r="AY71" s="429">
        <f t="shared" ref="AY71:AY100" si="107">AO71+AQ71+AS71+AU71+AW71</f>
        <v>0</v>
      </c>
      <c r="AZ71" s="276"/>
    </row>
    <row r="72" spans="1:53" x14ac:dyDescent="0.25">
      <c r="A72" s="1145"/>
      <c r="B72" s="449" t="s">
        <v>6223</v>
      </c>
      <c r="C72" s="449"/>
      <c r="D72" s="448"/>
      <c r="E72" s="448"/>
      <c r="F72" s="448"/>
      <c r="G72" s="448"/>
      <c r="H72" s="448"/>
      <c r="I72" s="917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  <c r="AB72" s="448"/>
      <c r="AC72" s="448"/>
      <c r="AD72" s="448"/>
      <c r="AE72" s="448"/>
      <c r="AF72" s="448"/>
      <c r="AG72" s="448"/>
      <c r="AH72" s="448"/>
      <c r="AI72" s="448"/>
      <c r="AJ72" s="448"/>
      <c r="AK72" s="448"/>
      <c r="AL72" s="448"/>
      <c r="AM72" s="429"/>
      <c r="AN72" s="289"/>
      <c r="AO72" s="429"/>
      <c r="AP72" s="339"/>
      <c r="AQ72" s="429"/>
      <c r="AR72" s="339"/>
      <c r="AS72" s="429"/>
      <c r="AT72" s="339"/>
      <c r="AU72" s="429"/>
      <c r="AV72" s="339"/>
      <c r="AW72" s="429"/>
      <c r="AX72" s="339"/>
      <c r="AY72" s="429"/>
      <c r="AZ72" s="276"/>
    </row>
    <row r="73" spans="1:53" x14ac:dyDescent="0.25">
      <c r="A73" s="1145"/>
      <c r="B73" s="449" t="s">
        <v>29</v>
      </c>
      <c r="C73" s="449"/>
      <c r="D73" s="448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>
        <f>144038147+269270023</f>
        <v>413308170</v>
      </c>
      <c r="U73" s="448"/>
      <c r="V73" s="448"/>
      <c r="W73" s="448"/>
      <c r="X73" s="448"/>
      <c r="Y73" s="448"/>
      <c r="Z73" s="448"/>
      <c r="AA73" s="448"/>
      <c r="AB73" s="448"/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M73" s="429">
        <f t="shared" si="102"/>
        <v>413308170</v>
      </c>
      <c r="AN73" s="339"/>
      <c r="AO73" s="429">
        <f t="shared" si="103"/>
        <v>0</v>
      </c>
      <c r="AP73" s="339"/>
      <c r="AQ73" s="429">
        <f t="shared" si="104"/>
        <v>0</v>
      </c>
      <c r="AR73" s="339"/>
      <c r="AS73" s="429">
        <f t="shared" si="105"/>
        <v>413308170</v>
      </c>
      <c r="AT73" s="339"/>
      <c r="AU73" s="429">
        <f t="shared" si="106"/>
        <v>0</v>
      </c>
      <c r="AV73" s="339"/>
      <c r="AW73" s="429"/>
      <c r="AX73" s="339"/>
      <c r="AY73" s="429">
        <f t="shared" si="107"/>
        <v>413308170</v>
      </c>
      <c r="AZ73" s="276"/>
    </row>
    <row r="74" spans="1:53" x14ac:dyDescent="0.25">
      <c r="A74" s="1145"/>
      <c r="B74" s="449" t="s">
        <v>128</v>
      </c>
      <c r="C74" s="449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  <c r="AB74" s="448"/>
      <c r="AC74" s="448"/>
      <c r="AD74" s="448"/>
      <c r="AE74" s="448"/>
      <c r="AF74" s="448"/>
      <c r="AG74" s="448"/>
      <c r="AH74" s="448"/>
      <c r="AI74" s="448"/>
      <c r="AJ74" s="448"/>
      <c r="AK74" s="448"/>
      <c r="AL74" s="448"/>
      <c r="AM74" s="429">
        <f t="shared" si="102"/>
        <v>0</v>
      </c>
      <c r="AN74" s="339"/>
      <c r="AO74" s="429">
        <f t="shared" si="103"/>
        <v>0</v>
      </c>
      <c r="AP74" s="339"/>
      <c r="AQ74" s="429">
        <f t="shared" si="104"/>
        <v>0</v>
      </c>
      <c r="AR74" s="339"/>
      <c r="AS74" s="429">
        <f t="shared" si="105"/>
        <v>0</v>
      </c>
      <c r="AT74" s="339"/>
      <c r="AU74" s="429">
        <f t="shared" si="106"/>
        <v>0</v>
      </c>
      <c r="AV74" s="339"/>
      <c r="AW74" s="429"/>
      <c r="AX74" s="339"/>
      <c r="AY74" s="429">
        <f t="shared" si="107"/>
        <v>0</v>
      </c>
      <c r="AZ74" s="276"/>
    </row>
    <row r="75" spans="1:53" x14ac:dyDescent="0.25">
      <c r="A75" s="1145"/>
      <c r="B75" s="449" t="s">
        <v>31</v>
      </c>
      <c r="C75" s="449"/>
      <c r="D75" s="448"/>
      <c r="E75" s="448"/>
      <c r="G75" s="448"/>
      <c r="H75" s="448"/>
      <c r="I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si="102"/>
        <v>0</v>
      </c>
      <c r="AN75" s="339"/>
      <c r="AO75" s="429">
        <f t="shared" si="103"/>
        <v>0</v>
      </c>
      <c r="AP75" s="339"/>
      <c r="AQ75" s="429">
        <f t="shared" si="104"/>
        <v>0</v>
      </c>
      <c r="AR75" s="339"/>
      <c r="AS75" s="429">
        <f t="shared" si="105"/>
        <v>0</v>
      </c>
      <c r="AT75" s="339"/>
      <c r="AU75" s="429">
        <f t="shared" si="106"/>
        <v>0</v>
      </c>
      <c r="AV75" s="339"/>
      <c r="AW75" s="429"/>
      <c r="AX75" s="339"/>
      <c r="AY75" s="429">
        <f t="shared" si="107"/>
        <v>0</v>
      </c>
      <c r="AZ75" s="276"/>
    </row>
    <row r="76" spans="1:53" x14ac:dyDescent="0.25">
      <c r="A76" s="1145"/>
      <c r="B76" s="449" t="s">
        <v>33</v>
      </c>
      <c r="C76" s="449"/>
      <c r="D76" s="448"/>
      <c r="E76" s="448"/>
      <c r="F76" s="448"/>
      <c r="G76" s="448"/>
      <c r="H76" s="448"/>
      <c r="I76" s="448"/>
      <c r="J76" s="448"/>
      <c r="L76" s="448"/>
      <c r="M76" s="448"/>
      <c r="N76" s="448"/>
      <c r="O76" s="448"/>
      <c r="P76" s="448"/>
      <c r="Q76" s="448"/>
      <c r="R76" s="917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>
        <f t="shared" si="102"/>
        <v>0</v>
      </c>
      <c r="AN76" s="339"/>
      <c r="AO76" s="429">
        <f t="shared" si="103"/>
        <v>0</v>
      </c>
      <c r="AP76" s="339"/>
      <c r="AQ76" s="429">
        <f t="shared" si="104"/>
        <v>0</v>
      </c>
      <c r="AR76" s="339"/>
      <c r="AS76" s="429">
        <f t="shared" si="105"/>
        <v>0</v>
      </c>
      <c r="AT76" s="339"/>
      <c r="AU76" s="429">
        <f t="shared" si="106"/>
        <v>0</v>
      </c>
      <c r="AV76" s="339"/>
      <c r="AW76" s="429"/>
      <c r="AX76" s="339"/>
      <c r="AY76" s="429">
        <f t="shared" si="107"/>
        <v>0</v>
      </c>
      <c r="AZ76" s="276"/>
    </row>
    <row r="77" spans="1:53" x14ac:dyDescent="0.25">
      <c r="A77" s="1145"/>
      <c r="B77" s="449" t="s">
        <v>35</v>
      </c>
      <c r="C77" s="449"/>
      <c r="D77" s="448"/>
      <c r="E77" s="448"/>
      <c r="F77" s="448"/>
      <c r="G77" s="448"/>
      <c r="H77" s="448"/>
      <c r="I77" s="448"/>
      <c r="J77" s="448"/>
      <c r="K77" s="448"/>
      <c r="L77" s="448"/>
      <c r="M77" s="448"/>
      <c r="N77" s="448"/>
      <c r="O77" s="448">
        <v>78248471</v>
      </c>
      <c r="P77" s="448"/>
      <c r="Q77" s="448"/>
      <c r="R77" s="448"/>
      <c r="S77" s="448"/>
      <c r="T77" s="448"/>
      <c r="U77" s="448"/>
      <c r="V77" s="905">
        <v>1915911590</v>
      </c>
      <c r="W77" s="448"/>
      <c r="X77" s="448"/>
      <c r="Y77" s="448"/>
      <c r="Z77" s="448"/>
      <c r="AA77" s="448"/>
      <c r="AB77" s="448"/>
      <c r="AC77" s="448"/>
      <c r="AD77" s="448"/>
      <c r="AE77" s="448"/>
      <c r="AF77" s="448"/>
      <c r="AG77" s="448"/>
      <c r="AH77" s="448"/>
      <c r="AI77" s="448"/>
      <c r="AJ77" s="448"/>
      <c r="AK77" s="448"/>
      <c r="AL77" s="448"/>
      <c r="AM77" s="429">
        <f t="shared" si="102"/>
        <v>1994160061</v>
      </c>
      <c r="AN77" s="339"/>
      <c r="AO77" s="429">
        <f t="shared" si="103"/>
        <v>0</v>
      </c>
      <c r="AP77" s="339"/>
      <c r="AQ77" s="429">
        <f t="shared" si="104"/>
        <v>78248471</v>
      </c>
      <c r="AR77" s="339"/>
      <c r="AS77" s="429">
        <f t="shared" si="105"/>
        <v>1915911590</v>
      </c>
      <c r="AT77" s="339"/>
      <c r="AU77" s="429">
        <f t="shared" si="106"/>
        <v>0</v>
      </c>
      <c r="AV77" s="339"/>
      <c r="AW77" s="429"/>
      <c r="AX77" s="339"/>
      <c r="AY77" s="429">
        <f t="shared" si="107"/>
        <v>1994160061</v>
      </c>
      <c r="AZ77" s="276"/>
    </row>
    <row r="78" spans="1:53" x14ac:dyDescent="0.25">
      <c r="A78" s="1145"/>
      <c r="B78" s="449" t="s">
        <v>37</v>
      </c>
      <c r="C78" s="449"/>
      <c r="D78" s="448"/>
      <c r="E78" s="448"/>
      <c r="F78" s="448"/>
      <c r="G78" s="448"/>
      <c r="H78" s="448"/>
      <c r="I78" s="448"/>
      <c r="J78" s="448"/>
      <c r="K78" s="448">
        <v>70589597</v>
      </c>
      <c r="L78" s="448"/>
      <c r="M78" s="448"/>
      <c r="N78" s="448"/>
      <c r="O78" s="448"/>
      <c r="P78" s="448"/>
      <c r="Q78" s="448"/>
      <c r="R78" s="448"/>
      <c r="S78" s="448"/>
      <c r="T78" s="448">
        <v>6403324</v>
      </c>
      <c r="U78" s="448"/>
      <c r="V78" s="448"/>
      <c r="W78" s="448"/>
      <c r="X78" s="448"/>
      <c r="Y78" s="448">
        <v>1095079</v>
      </c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29">
        <f t="shared" si="102"/>
        <v>78088000</v>
      </c>
      <c r="AN78" s="339"/>
      <c r="AO78" s="429">
        <f t="shared" si="103"/>
        <v>0</v>
      </c>
      <c r="AP78" s="339"/>
      <c r="AQ78" s="429">
        <f t="shared" si="104"/>
        <v>70589597</v>
      </c>
      <c r="AR78" s="339"/>
      <c r="AS78" s="429">
        <f t="shared" si="105"/>
        <v>6403324</v>
      </c>
      <c r="AT78" s="339"/>
      <c r="AU78" s="429">
        <f t="shared" si="106"/>
        <v>1095079</v>
      </c>
      <c r="AV78" s="339"/>
      <c r="AW78" s="429"/>
      <c r="AX78" s="339"/>
      <c r="AY78" s="429">
        <f t="shared" si="107"/>
        <v>78088000</v>
      </c>
      <c r="AZ78" s="276"/>
    </row>
    <row r="79" spans="1:53" x14ac:dyDescent="0.25">
      <c r="A79" s="1145"/>
      <c r="B79" s="449" t="s">
        <v>38</v>
      </c>
      <c r="C79" s="449"/>
      <c r="D79" s="448"/>
      <c r="E79" s="448"/>
      <c r="F79" s="448"/>
      <c r="G79" s="448"/>
      <c r="H79" s="448"/>
      <c r="I79" s="448"/>
      <c r="J79" s="448"/>
      <c r="K79" s="448">
        <v>850484624</v>
      </c>
      <c r="L79" s="448"/>
      <c r="M79" s="448"/>
      <c r="N79" s="448"/>
      <c r="O79" s="429"/>
      <c r="P79" s="448"/>
      <c r="Q79" s="448"/>
      <c r="R79" s="448"/>
      <c r="S79" s="448"/>
      <c r="T79" s="448"/>
      <c r="U79" s="448"/>
      <c r="V79" s="448">
        <v>1069000</v>
      </c>
      <c r="W79" s="448"/>
      <c r="X79" s="448"/>
      <c r="Y79" s="448"/>
      <c r="Z79" s="448">
        <v>559085399</v>
      </c>
      <c r="AA79" s="448"/>
      <c r="AB79" s="448"/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102"/>
        <v>1410639023</v>
      </c>
      <c r="AN79" s="339"/>
      <c r="AO79" s="429">
        <f t="shared" si="103"/>
        <v>0</v>
      </c>
      <c r="AP79" s="339"/>
      <c r="AQ79" s="429">
        <f t="shared" si="104"/>
        <v>850484624</v>
      </c>
      <c r="AR79" s="339"/>
      <c r="AS79" s="429">
        <f t="shared" si="105"/>
        <v>1069000</v>
      </c>
      <c r="AT79" s="339"/>
      <c r="AU79" s="429">
        <f t="shared" si="106"/>
        <v>559085399</v>
      </c>
      <c r="AV79" s="339"/>
      <c r="AW79" s="429"/>
      <c r="AX79" s="339"/>
      <c r="AY79" s="429">
        <f>AO79+AQ79+AS79+AU79+AW79</f>
        <v>1410639023</v>
      </c>
      <c r="AZ79" s="276"/>
    </row>
    <row r="80" spans="1:53" x14ac:dyDescent="0.25">
      <c r="A80" s="1145"/>
      <c r="B80" s="449" t="s">
        <v>129</v>
      </c>
      <c r="C80" s="449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29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/>
      <c r="AN80" s="339"/>
      <c r="AO80" s="429"/>
      <c r="AP80" s="339"/>
      <c r="AQ80" s="429"/>
      <c r="AR80" s="339"/>
      <c r="AS80" s="429">
        <f t="shared" si="105"/>
        <v>0</v>
      </c>
      <c r="AT80" s="339"/>
      <c r="AU80" s="429"/>
      <c r="AV80" s="339"/>
      <c r="AW80" s="429"/>
      <c r="AX80" s="339"/>
      <c r="AY80" s="429"/>
      <c r="AZ80" s="276"/>
    </row>
    <row r="81" spans="1:52" x14ac:dyDescent="0.25">
      <c r="A81" s="1145"/>
      <c r="B81" s="449" t="s">
        <v>46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29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/>
      <c r="AN81" s="339"/>
      <c r="AO81" s="429"/>
      <c r="AP81" s="339"/>
      <c r="AQ81" s="429"/>
      <c r="AR81" s="339"/>
      <c r="AS81" s="429">
        <f t="shared" si="105"/>
        <v>0</v>
      </c>
      <c r="AT81" s="339"/>
      <c r="AU81" s="429"/>
      <c r="AV81" s="339"/>
      <c r="AW81" s="429"/>
      <c r="AX81" s="339"/>
      <c r="AY81" s="429"/>
      <c r="AZ81" s="276"/>
    </row>
    <row r="82" spans="1:52" x14ac:dyDescent="0.25">
      <c r="A82" s="1145"/>
      <c r="B82" s="449" t="s">
        <v>5986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1171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ref="AM82:AM100" si="108">SUM(D82:AE82)</f>
        <v>0</v>
      </c>
      <c r="AN82" s="339"/>
      <c r="AO82" s="429">
        <f t="shared" ref="AO82:AO100" si="109">D82+E82+F82+G82+H82+I82+J82</f>
        <v>0</v>
      </c>
      <c r="AP82" s="339"/>
      <c r="AQ82" s="429">
        <f t="shared" ref="AQ82:AQ100" si="110">K82+L82+M82+N82+O82+P82+Q82</f>
        <v>0</v>
      </c>
      <c r="AR82" s="339"/>
      <c r="AS82" s="429">
        <f t="shared" si="105"/>
        <v>0</v>
      </c>
      <c r="AT82" s="339"/>
      <c r="AU82" s="429">
        <f t="shared" ref="AU82:AU100" si="111">Y82+Z82+AA82+AB82+AC82+AD82+AE82</f>
        <v>0</v>
      </c>
      <c r="AV82" s="339"/>
      <c r="AW82" s="429"/>
      <c r="AX82" s="339"/>
      <c r="AY82" s="429">
        <f t="shared" si="107"/>
        <v>0</v>
      </c>
      <c r="AZ82" s="276"/>
    </row>
    <row r="83" spans="1:52" x14ac:dyDescent="0.25">
      <c r="A83" s="1145"/>
      <c r="B83" s="449" t="s">
        <v>48</v>
      </c>
      <c r="C83" s="449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>
        <v>24496958</v>
      </c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108"/>
        <v>24496958</v>
      </c>
      <c r="AN83" s="339"/>
      <c r="AO83" s="429">
        <f t="shared" si="109"/>
        <v>0</v>
      </c>
      <c r="AP83" s="339"/>
      <c r="AQ83" s="429">
        <f t="shared" si="110"/>
        <v>0</v>
      </c>
      <c r="AR83" s="339"/>
      <c r="AS83" s="429">
        <f t="shared" si="105"/>
        <v>24496958</v>
      </c>
      <c r="AT83" s="339"/>
      <c r="AU83" s="429">
        <f t="shared" si="111"/>
        <v>0</v>
      </c>
      <c r="AV83" s="339"/>
      <c r="AW83" s="429"/>
      <c r="AX83" s="339"/>
      <c r="AY83" s="429">
        <f t="shared" si="107"/>
        <v>24496958</v>
      </c>
      <c r="AZ83" s="276"/>
    </row>
    <row r="84" spans="1:52" x14ac:dyDescent="0.25">
      <c r="A84" s="1145"/>
      <c r="B84" s="449" t="s">
        <v>50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>
        <f t="shared" si="108"/>
        <v>0</v>
      </c>
      <c r="AN84" s="339"/>
      <c r="AO84" s="429">
        <f t="shared" si="109"/>
        <v>0</v>
      </c>
      <c r="AP84" s="339"/>
      <c r="AQ84" s="429">
        <f t="shared" si="110"/>
        <v>0</v>
      </c>
      <c r="AR84" s="339"/>
      <c r="AS84" s="429">
        <f t="shared" si="105"/>
        <v>0</v>
      </c>
      <c r="AT84" s="339"/>
      <c r="AU84" s="429">
        <f t="shared" si="111"/>
        <v>0</v>
      </c>
      <c r="AV84" s="339"/>
      <c r="AW84" s="429"/>
      <c r="AX84" s="339"/>
      <c r="AY84" s="429">
        <f t="shared" si="107"/>
        <v>0</v>
      </c>
      <c r="AZ84" s="276"/>
    </row>
    <row r="85" spans="1:52" x14ac:dyDescent="0.25">
      <c r="A85" s="1145"/>
      <c r="B85" s="449" t="s">
        <v>52</v>
      </c>
      <c r="C85" s="449"/>
      <c r="D85" s="448"/>
      <c r="E85" s="448"/>
      <c r="F85" s="448"/>
      <c r="G85" s="448"/>
      <c r="H85" s="448"/>
      <c r="I85" s="448"/>
      <c r="J85" s="448"/>
      <c r="K85" s="448"/>
      <c r="L85" s="448"/>
      <c r="M85" s="448"/>
      <c r="N85" s="448"/>
      <c r="O85" s="448"/>
      <c r="P85" s="448"/>
      <c r="Q85" s="448"/>
      <c r="R85" s="448"/>
      <c r="S85" s="448"/>
      <c r="T85" s="448"/>
      <c r="U85" s="448"/>
      <c r="V85" s="448"/>
      <c r="W85" s="448"/>
      <c r="X85" s="448"/>
      <c r="Y85" s="448"/>
      <c r="Z85" s="448"/>
      <c r="AA85" s="448"/>
      <c r="AB85" s="448"/>
      <c r="AC85" s="448">
        <v>87000</v>
      </c>
      <c r="AD85" s="448"/>
      <c r="AE85" s="448"/>
      <c r="AF85" s="448"/>
      <c r="AG85" s="448"/>
      <c r="AH85" s="448"/>
      <c r="AI85" s="448"/>
      <c r="AJ85" s="448"/>
      <c r="AK85" s="448"/>
      <c r="AL85" s="448"/>
      <c r="AM85" s="429">
        <f t="shared" si="108"/>
        <v>87000</v>
      </c>
      <c r="AN85" s="339"/>
      <c r="AO85" s="429">
        <f t="shared" si="109"/>
        <v>0</v>
      </c>
      <c r="AP85" s="339"/>
      <c r="AQ85" s="429">
        <f t="shared" si="110"/>
        <v>0</v>
      </c>
      <c r="AR85" s="339"/>
      <c r="AS85" s="429">
        <f t="shared" si="105"/>
        <v>0</v>
      </c>
      <c r="AT85" s="339"/>
      <c r="AU85" s="429">
        <f t="shared" si="111"/>
        <v>87000</v>
      </c>
      <c r="AV85" s="339"/>
      <c r="AW85" s="429"/>
      <c r="AX85" s="339"/>
      <c r="AY85" s="429">
        <f t="shared" si="107"/>
        <v>87000</v>
      </c>
      <c r="AZ85" s="276"/>
    </row>
    <row r="86" spans="1:52" x14ac:dyDescent="0.25">
      <c r="A86" s="1145"/>
      <c r="B86" s="449" t="s">
        <v>55</v>
      </c>
      <c r="C86" s="449"/>
      <c r="D86" s="448"/>
      <c r="E86" s="448"/>
      <c r="F86" s="448"/>
      <c r="G86" s="448"/>
      <c r="H86" s="448"/>
      <c r="I86" s="448"/>
      <c r="J86" s="917"/>
      <c r="K86" s="448"/>
      <c r="L86" s="448"/>
      <c r="M86" s="448"/>
      <c r="N86" s="448"/>
      <c r="O86" s="448"/>
      <c r="P86" s="448"/>
      <c r="Q86" s="448"/>
      <c r="R86" s="448"/>
      <c r="S86" s="448"/>
      <c r="T86" s="1150"/>
      <c r="U86" s="448"/>
      <c r="V86" s="448"/>
      <c r="W86" s="448"/>
      <c r="X86" s="448"/>
      <c r="Y86" s="1172"/>
      <c r="Z86" s="1172"/>
      <c r="AA86" s="448"/>
      <c r="AB86" s="448"/>
      <c r="AC86" s="1150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si="108"/>
        <v>0</v>
      </c>
      <c r="AN86" s="339"/>
      <c r="AO86" s="429">
        <f t="shared" si="109"/>
        <v>0</v>
      </c>
      <c r="AP86" s="339"/>
      <c r="AQ86" s="429">
        <f t="shared" si="110"/>
        <v>0</v>
      </c>
      <c r="AR86" s="339"/>
      <c r="AS86" s="429">
        <f t="shared" si="105"/>
        <v>0</v>
      </c>
      <c r="AT86" s="339"/>
      <c r="AU86" s="429">
        <f t="shared" si="111"/>
        <v>0</v>
      </c>
      <c r="AV86" s="339"/>
      <c r="AW86" s="429"/>
      <c r="AX86" s="339"/>
      <c r="AY86" s="429">
        <f t="shared" si="107"/>
        <v>0</v>
      </c>
      <c r="AZ86" s="276"/>
    </row>
    <row r="87" spans="1:52" x14ac:dyDescent="0.25">
      <c r="A87" s="1145"/>
      <c r="B87" s="449" t="s">
        <v>57</v>
      </c>
      <c r="C87" s="449"/>
      <c r="D87" s="448"/>
      <c r="E87" s="448"/>
      <c r="F87" s="448"/>
      <c r="G87" s="448"/>
      <c r="H87" s="448"/>
      <c r="I87" s="448"/>
      <c r="J87" s="448"/>
      <c r="K87" s="448">
        <v>162238482</v>
      </c>
      <c r="L87" s="448"/>
      <c r="M87" s="448"/>
      <c r="N87" s="448"/>
      <c r="O87" s="448"/>
      <c r="P87" s="448"/>
      <c r="Q87" s="448"/>
      <c r="R87" s="448"/>
      <c r="S87" s="448"/>
      <c r="T87" s="917"/>
      <c r="U87" s="448"/>
      <c r="V87" s="448"/>
      <c r="W87" s="448"/>
      <c r="X87" s="448"/>
      <c r="Y87" s="448">
        <v>52765551</v>
      </c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29">
        <f t="shared" si="108"/>
        <v>215004033</v>
      </c>
      <c r="AN87" s="339"/>
      <c r="AO87" s="429">
        <f t="shared" si="109"/>
        <v>0</v>
      </c>
      <c r="AP87" s="339"/>
      <c r="AQ87" s="429">
        <f t="shared" si="110"/>
        <v>162238482</v>
      </c>
      <c r="AR87" s="339"/>
      <c r="AS87" s="429">
        <f t="shared" si="105"/>
        <v>0</v>
      </c>
      <c r="AT87" s="339"/>
      <c r="AU87" s="429">
        <f t="shared" si="111"/>
        <v>52765551</v>
      </c>
      <c r="AV87" s="339"/>
      <c r="AW87" s="429"/>
      <c r="AX87" s="339"/>
      <c r="AY87" s="429">
        <f t="shared" si="107"/>
        <v>215004033</v>
      </c>
      <c r="AZ87" s="276"/>
    </row>
    <row r="88" spans="1:52" x14ac:dyDescent="0.25">
      <c r="A88" s="1145"/>
      <c r="B88" s="449" t="s">
        <v>6121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917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/>
      <c r="AN88" s="339"/>
      <c r="AO88" s="429"/>
      <c r="AP88" s="339"/>
      <c r="AQ88" s="429"/>
      <c r="AR88" s="339"/>
      <c r="AS88" s="429"/>
      <c r="AT88" s="339"/>
      <c r="AU88" s="429"/>
      <c r="AV88" s="339"/>
      <c r="AW88" s="429"/>
      <c r="AX88" s="339"/>
      <c r="AY88" s="429"/>
      <c r="AZ88" s="276"/>
    </row>
    <row r="89" spans="1:52" x14ac:dyDescent="0.25">
      <c r="A89" s="1145"/>
      <c r="B89" s="449" t="s">
        <v>5974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108"/>
        <v>0</v>
      </c>
      <c r="AN89" s="339"/>
      <c r="AO89" s="429">
        <f t="shared" si="109"/>
        <v>0</v>
      </c>
      <c r="AP89" s="339"/>
      <c r="AQ89" s="429">
        <f t="shared" si="110"/>
        <v>0</v>
      </c>
      <c r="AR89" s="339"/>
      <c r="AS89" s="429">
        <f t="shared" si="105"/>
        <v>0</v>
      </c>
      <c r="AT89" s="339"/>
      <c r="AU89" s="429">
        <f t="shared" si="111"/>
        <v>0</v>
      </c>
      <c r="AV89" s="339"/>
      <c r="AW89" s="429"/>
      <c r="AX89" s="339"/>
      <c r="AY89" s="429">
        <f t="shared" si="107"/>
        <v>0</v>
      </c>
      <c r="AZ89" s="276"/>
    </row>
    <row r="90" spans="1:52" x14ac:dyDescent="0.25">
      <c r="A90" s="1145"/>
      <c r="B90" s="449" t="s">
        <v>59</v>
      </c>
      <c r="C90" s="449"/>
      <c r="D90" s="448"/>
      <c r="E90" s="448"/>
      <c r="F90" s="448"/>
      <c r="G90" s="448"/>
      <c r="H90" s="448"/>
      <c r="I90" s="448"/>
      <c r="J90" s="448"/>
      <c r="K90" s="448"/>
      <c r="L90" s="448"/>
      <c r="M90" s="448"/>
      <c r="N90" s="448">
        <v>201340</v>
      </c>
      <c r="O90" s="448">
        <f>24889098+16126844+330000</f>
        <v>41345942</v>
      </c>
      <c r="P90" s="448"/>
      <c r="Q90" s="448"/>
      <c r="R90" s="448"/>
      <c r="S90" s="448">
        <v>59487972</v>
      </c>
      <c r="T90" s="448"/>
      <c r="U90" s="448"/>
      <c r="V90" s="448">
        <v>82834238</v>
      </c>
      <c r="W90" s="448"/>
      <c r="X90" s="448"/>
      <c r="Y90" s="448"/>
      <c r="Z90" s="448"/>
      <c r="AA90" s="448"/>
      <c r="AB90" s="448"/>
      <c r="AC90" s="448"/>
      <c r="AD90" s="448"/>
      <c r="AE90" s="448"/>
      <c r="AF90" s="448"/>
      <c r="AG90" s="448"/>
      <c r="AH90" s="448"/>
      <c r="AI90" s="448"/>
      <c r="AJ90" s="448"/>
      <c r="AK90" s="448"/>
      <c r="AL90" s="448"/>
      <c r="AM90" s="429">
        <f t="shared" si="108"/>
        <v>183869492</v>
      </c>
      <c r="AN90" s="339"/>
      <c r="AO90" s="429">
        <f t="shared" si="109"/>
        <v>0</v>
      </c>
      <c r="AP90" s="339"/>
      <c r="AQ90" s="429">
        <f t="shared" si="110"/>
        <v>41547282</v>
      </c>
      <c r="AR90" s="339"/>
      <c r="AS90" s="429">
        <f t="shared" si="105"/>
        <v>142322210</v>
      </c>
      <c r="AT90" s="339"/>
      <c r="AU90" s="429">
        <f t="shared" si="111"/>
        <v>0</v>
      </c>
      <c r="AV90" s="339"/>
      <c r="AW90" s="429"/>
      <c r="AX90" s="339"/>
      <c r="AY90" s="429">
        <f t="shared" si="107"/>
        <v>183869492</v>
      </c>
      <c r="AZ90" s="276"/>
    </row>
    <row r="91" spans="1:52" x14ac:dyDescent="0.25">
      <c r="A91" s="1145"/>
      <c r="B91" s="449" t="s">
        <v>5945</v>
      </c>
      <c r="C91" s="449"/>
      <c r="D91" s="448"/>
      <c r="E91" s="448"/>
      <c r="F91" s="448"/>
      <c r="G91" s="448"/>
      <c r="H91" s="448"/>
      <c r="I91" s="448"/>
      <c r="J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108"/>
        <v>0</v>
      </c>
      <c r="AN91" s="339"/>
      <c r="AO91" s="429">
        <f t="shared" si="109"/>
        <v>0</v>
      </c>
      <c r="AP91" s="339"/>
      <c r="AQ91" s="429">
        <f t="shared" si="110"/>
        <v>0</v>
      </c>
      <c r="AR91" s="339"/>
      <c r="AS91" s="429">
        <f t="shared" si="105"/>
        <v>0</v>
      </c>
      <c r="AT91" s="339"/>
      <c r="AU91" s="429">
        <f t="shared" si="111"/>
        <v>0</v>
      </c>
      <c r="AV91" s="339"/>
      <c r="AW91" s="429"/>
      <c r="AX91" s="339"/>
      <c r="AY91" s="429">
        <f t="shared" si="107"/>
        <v>0</v>
      </c>
      <c r="AZ91" s="276"/>
    </row>
    <row r="92" spans="1:52" x14ac:dyDescent="0.25">
      <c r="A92" s="1145"/>
      <c r="B92" s="449" t="s">
        <v>61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>
        <f t="shared" si="108"/>
        <v>0</v>
      </c>
      <c r="AN92" s="339"/>
      <c r="AO92" s="429">
        <f t="shared" si="109"/>
        <v>0</v>
      </c>
      <c r="AP92" s="339"/>
      <c r="AQ92" s="429">
        <f t="shared" si="110"/>
        <v>0</v>
      </c>
      <c r="AR92" s="339"/>
      <c r="AS92" s="429">
        <f t="shared" si="105"/>
        <v>0</v>
      </c>
      <c r="AT92" s="339"/>
      <c r="AU92" s="429">
        <f t="shared" si="111"/>
        <v>0</v>
      </c>
      <c r="AV92" s="339"/>
      <c r="AW92" s="429"/>
      <c r="AX92" s="339"/>
      <c r="AY92" s="429">
        <f t="shared" si="107"/>
        <v>0</v>
      </c>
      <c r="AZ92" s="276"/>
    </row>
    <row r="93" spans="1:52" x14ac:dyDescent="0.25">
      <c r="A93" s="1145"/>
      <c r="B93" s="449" t="s">
        <v>62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336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108"/>
        <v>0</v>
      </c>
      <c r="AN93" s="339"/>
      <c r="AO93" s="429">
        <f t="shared" si="109"/>
        <v>0</v>
      </c>
      <c r="AP93" s="339"/>
      <c r="AQ93" s="429">
        <f t="shared" si="110"/>
        <v>0</v>
      </c>
      <c r="AR93" s="339"/>
      <c r="AS93" s="429">
        <f t="shared" si="105"/>
        <v>0</v>
      </c>
      <c r="AT93" s="339"/>
      <c r="AU93" s="429">
        <f t="shared" si="111"/>
        <v>0</v>
      </c>
      <c r="AV93" s="339"/>
      <c r="AW93" s="429"/>
      <c r="AX93" s="339"/>
      <c r="AY93" s="429">
        <f t="shared" si="107"/>
        <v>0</v>
      </c>
      <c r="AZ93" s="276"/>
    </row>
    <row r="94" spans="1:52" x14ac:dyDescent="0.25">
      <c r="A94" s="447"/>
      <c r="B94" s="449" t="s">
        <v>6088</v>
      </c>
      <c r="C94" s="449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/>
      <c r="U94" s="448"/>
      <c r="V94" s="448"/>
      <c r="W94" s="448"/>
      <c r="X94" s="448"/>
      <c r="Y94" s="336"/>
      <c r="Z94" s="448"/>
      <c r="AA94" s="448"/>
      <c r="AB94" s="448"/>
      <c r="AC94" s="448">
        <f>4608800+2326000</f>
        <v>6934800</v>
      </c>
      <c r="AD94" s="448"/>
      <c r="AE94" s="448"/>
      <c r="AF94" s="448"/>
      <c r="AG94" s="448"/>
      <c r="AH94" s="448"/>
      <c r="AI94" s="448"/>
      <c r="AJ94" s="448"/>
      <c r="AK94" s="448"/>
      <c r="AL94" s="448"/>
      <c r="AM94" s="429"/>
      <c r="AN94" s="339"/>
      <c r="AO94" s="429"/>
      <c r="AP94" s="339"/>
      <c r="AQ94" s="429"/>
      <c r="AR94" s="339"/>
      <c r="AS94" s="429"/>
      <c r="AT94" s="339"/>
      <c r="AU94" s="429"/>
      <c r="AV94" s="339"/>
      <c r="AW94" s="429"/>
      <c r="AX94" s="339"/>
      <c r="AY94" s="429"/>
      <c r="AZ94" s="276"/>
    </row>
    <row r="95" spans="1:52" x14ac:dyDescent="0.25">
      <c r="A95" s="447"/>
      <c r="B95" s="449" t="s">
        <v>64</v>
      </c>
      <c r="C95" s="449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336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108"/>
        <v>0</v>
      </c>
      <c r="AN95" s="339"/>
      <c r="AO95" s="429">
        <f t="shared" si="109"/>
        <v>0</v>
      </c>
      <c r="AP95" s="339"/>
      <c r="AQ95" s="429">
        <f t="shared" si="110"/>
        <v>0</v>
      </c>
      <c r="AR95" s="339"/>
      <c r="AS95" s="429">
        <f t="shared" si="105"/>
        <v>0</v>
      </c>
      <c r="AT95" s="339"/>
      <c r="AU95" s="429">
        <f t="shared" si="111"/>
        <v>0</v>
      </c>
      <c r="AV95" s="339"/>
      <c r="AW95" s="429"/>
      <c r="AX95" s="339"/>
      <c r="AY95" s="429">
        <f t="shared" si="107"/>
        <v>0</v>
      </c>
      <c r="AZ95" s="276"/>
    </row>
    <row r="96" spans="1:52" x14ac:dyDescent="0.25">
      <c r="A96" s="447"/>
      <c r="B96" s="449" t="s">
        <v>4881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336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108"/>
        <v>0</v>
      </c>
      <c r="AN96" s="339"/>
      <c r="AO96" s="429">
        <f t="shared" si="109"/>
        <v>0</v>
      </c>
      <c r="AP96" s="339"/>
      <c r="AQ96" s="429">
        <f t="shared" si="110"/>
        <v>0</v>
      </c>
      <c r="AR96" s="339"/>
      <c r="AS96" s="429">
        <f t="shared" si="105"/>
        <v>0</v>
      </c>
      <c r="AT96" s="339"/>
      <c r="AU96" s="429">
        <f t="shared" si="111"/>
        <v>0</v>
      </c>
      <c r="AV96" s="339"/>
      <c r="AW96" s="429"/>
      <c r="AX96" s="339"/>
      <c r="AY96" s="429">
        <f t="shared" si="107"/>
        <v>0</v>
      </c>
      <c r="AZ96" s="276"/>
    </row>
    <row r="97" spans="1:52" x14ac:dyDescent="0.25">
      <c r="A97" s="447"/>
      <c r="B97" s="449" t="s">
        <v>5985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108"/>
        <v>0</v>
      </c>
      <c r="AN97" s="339"/>
      <c r="AO97" s="429">
        <f t="shared" si="109"/>
        <v>0</v>
      </c>
      <c r="AP97" s="339"/>
      <c r="AQ97" s="429">
        <f t="shared" si="110"/>
        <v>0</v>
      </c>
      <c r="AR97" s="339"/>
      <c r="AS97" s="429">
        <f t="shared" si="105"/>
        <v>0</v>
      </c>
      <c r="AT97" s="339"/>
      <c r="AU97" s="429">
        <f t="shared" si="111"/>
        <v>0</v>
      </c>
      <c r="AV97" s="339"/>
      <c r="AW97" s="429"/>
      <c r="AX97" s="339"/>
      <c r="AY97" s="429">
        <f t="shared" si="107"/>
        <v>0</v>
      </c>
      <c r="AZ97" s="276"/>
    </row>
    <row r="98" spans="1:52" x14ac:dyDescent="0.25">
      <c r="A98" s="447"/>
      <c r="B98" s="449" t="s">
        <v>155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>
        <f t="shared" si="108"/>
        <v>0</v>
      </c>
      <c r="AN98" s="339"/>
      <c r="AO98" s="429">
        <f t="shared" si="109"/>
        <v>0</v>
      </c>
      <c r="AP98" s="339"/>
      <c r="AQ98" s="429">
        <f t="shared" si="110"/>
        <v>0</v>
      </c>
      <c r="AR98" s="339"/>
      <c r="AS98" s="429">
        <f t="shared" si="105"/>
        <v>0</v>
      </c>
      <c r="AT98" s="339"/>
      <c r="AU98" s="429">
        <f t="shared" si="111"/>
        <v>0</v>
      </c>
      <c r="AV98" s="339"/>
      <c r="AW98" s="429"/>
      <c r="AX98" s="339"/>
      <c r="AY98" s="429">
        <f t="shared" si="107"/>
        <v>0</v>
      </c>
      <c r="AZ98" s="276"/>
    </row>
    <row r="99" spans="1:52" x14ac:dyDescent="0.25">
      <c r="A99" s="447"/>
      <c r="B99" s="449" t="s">
        <v>68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/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108"/>
        <v>0</v>
      </c>
      <c r="AN99" s="339"/>
      <c r="AO99" s="429">
        <f t="shared" si="109"/>
        <v>0</v>
      </c>
      <c r="AP99" s="339"/>
      <c r="AQ99" s="429">
        <f t="shared" si="110"/>
        <v>0</v>
      </c>
      <c r="AR99" s="339"/>
      <c r="AS99" s="429">
        <f t="shared" si="105"/>
        <v>0</v>
      </c>
      <c r="AT99" s="339"/>
      <c r="AU99" s="429">
        <f t="shared" si="111"/>
        <v>0</v>
      </c>
      <c r="AV99" s="339"/>
      <c r="AW99" s="429"/>
      <c r="AX99" s="339"/>
      <c r="AY99" s="429">
        <f t="shared" si="107"/>
        <v>0</v>
      </c>
      <c r="AZ99" s="276"/>
    </row>
    <row r="100" spans="1:52" x14ac:dyDescent="0.25">
      <c r="A100" s="447"/>
      <c r="B100" s="449" t="s">
        <v>70</v>
      </c>
      <c r="C100" s="895"/>
      <c r="D100" s="448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108"/>
        <v>0</v>
      </c>
      <c r="AN100" s="339"/>
      <c r="AO100" s="429">
        <f t="shared" si="109"/>
        <v>0</v>
      </c>
      <c r="AP100" s="339"/>
      <c r="AQ100" s="429">
        <f t="shared" si="110"/>
        <v>0</v>
      </c>
      <c r="AR100" s="339"/>
      <c r="AS100" s="429">
        <f t="shared" si="105"/>
        <v>0</v>
      </c>
      <c r="AT100" s="339"/>
      <c r="AU100" s="429">
        <f t="shared" si="111"/>
        <v>0</v>
      </c>
      <c r="AV100" s="339"/>
      <c r="AW100" s="429"/>
      <c r="AX100" s="339"/>
      <c r="AY100" s="429">
        <f t="shared" si="107"/>
        <v>0</v>
      </c>
      <c r="AZ100" s="276"/>
    </row>
    <row r="101" spans="1:52" x14ac:dyDescent="0.25">
      <c r="A101" s="937" t="s">
        <v>169</v>
      </c>
      <c r="B101" s="938"/>
      <c r="C101" s="287"/>
      <c r="D101" s="1348">
        <f>SUM(D71:D100)</f>
        <v>0</v>
      </c>
      <c r="E101" s="873">
        <f t="shared" ref="E101:AL101" si="112">SUM(E71:E100)</f>
        <v>0</v>
      </c>
      <c r="F101" s="873">
        <f t="shared" si="112"/>
        <v>0</v>
      </c>
      <c r="G101" s="873">
        <f t="shared" si="112"/>
        <v>0</v>
      </c>
      <c r="H101" s="873">
        <f t="shared" si="112"/>
        <v>0</v>
      </c>
      <c r="I101" s="873">
        <f t="shared" si="112"/>
        <v>0</v>
      </c>
      <c r="J101" s="873">
        <f t="shared" si="112"/>
        <v>0</v>
      </c>
      <c r="K101" s="873">
        <f t="shared" si="112"/>
        <v>1083312703</v>
      </c>
      <c r="L101" s="873">
        <f t="shared" si="112"/>
        <v>0</v>
      </c>
      <c r="M101" s="873">
        <f t="shared" si="112"/>
        <v>0</v>
      </c>
      <c r="N101" s="873">
        <f t="shared" si="112"/>
        <v>201340</v>
      </c>
      <c r="O101" s="873">
        <f>SUM(O71:O100)</f>
        <v>119594413</v>
      </c>
      <c r="P101" s="873">
        <f t="shared" si="112"/>
        <v>0</v>
      </c>
      <c r="Q101" s="873">
        <f t="shared" si="112"/>
        <v>0</v>
      </c>
      <c r="R101" s="873">
        <f t="shared" si="112"/>
        <v>0</v>
      </c>
      <c r="S101" s="873">
        <f t="shared" si="112"/>
        <v>59487972</v>
      </c>
      <c r="T101" s="873">
        <f t="shared" si="112"/>
        <v>444208452</v>
      </c>
      <c r="U101" s="873">
        <f t="shared" si="112"/>
        <v>0</v>
      </c>
      <c r="V101" s="873">
        <f t="shared" si="112"/>
        <v>1999814828</v>
      </c>
      <c r="W101" s="873">
        <f t="shared" si="112"/>
        <v>0</v>
      </c>
      <c r="X101" s="873">
        <f t="shared" si="112"/>
        <v>0</v>
      </c>
      <c r="Y101" s="873">
        <f t="shared" si="112"/>
        <v>53860630</v>
      </c>
      <c r="Z101" s="873">
        <f t="shared" si="112"/>
        <v>559085399</v>
      </c>
      <c r="AA101" s="873">
        <f t="shared" si="112"/>
        <v>0</v>
      </c>
      <c r="AB101" s="873">
        <f t="shared" si="112"/>
        <v>0</v>
      </c>
      <c r="AC101" s="873">
        <f t="shared" si="112"/>
        <v>7021800</v>
      </c>
      <c r="AD101" s="873">
        <f t="shared" si="112"/>
        <v>0</v>
      </c>
      <c r="AE101" s="873">
        <f t="shared" si="112"/>
        <v>0</v>
      </c>
      <c r="AF101" s="873">
        <f t="shared" si="112"/>
        <v>0</v>
      </c>
      <c r="AG101" s="873">
        <f t="shared" si="112"/>
        <v>0</v>
      </c>
      <c r="AH101" s="873">
        <f t="shared" si="112"/>
        <v>0</v>
      </c>
      <c r="AI101" s="873">
        <f t="shared" si="112"/>
        <v>0</v>
      </c>
      <c r="AJ101" s="873">
        <f t="shared" si="112"/>
        <v>0</v>
      </c>
      <c r="AK101" s="873">
        <f t="shared" si="112"/>
        <v>0</v>
      </c>
      <c r="AL101" s="873">
        <f t="shared" si="112"/>
        <v>0</v>
      </c>
      <c r="AM101" s="873">
        <f>SUM(AM71:AM100)</f>
        <v>4319652737</v>
      </c>
      <c r="AN101" s="339"/>
      <c r="AO101" s="1173">
        <f>SUM(AO71:AO100)</f>
        <v>0</v>
      </c>
      <c r="AP101" s="1173">
        <f t="shared" ref="AP101:AW101" si="113">SUM(AP71:AP100)</f>
        <v>0</v>
      </c>
      <c r="AQ101" s="1173">
        <f t="shared" si="113"/>
        <v>1203108456</v>
      </c>
      <c r="AR101" s="1173">
        <f t="shared" si="113"/>
        <v>0</v>
      </c>
      <c r="AS101" s="1173">
        <f t="shared" si="113"/>
        <v>2503511252</v>
      </c>
      <c r="AT101" s="1173">
        <f t="shared" si="113"/>
        <v>0</v>
      </c>
      <c r="AU101" s="1173">
        <f t="shared" si="113"/>
        <v>613033029</v>
      </c>
      <c r="AV101" s="1173">
        <f t="shared" si="113"/>
        <v>0</v>
      </c>
      <c r="AW101" s="1173">
        <f t="shared" si="113"/>
        <v>0</v>
      </c>
      <c r="AX101" s="1173">
        <f t="shared" ref="AX101" si="114">SUM(AX71:AX97)</f>
        <v>0</v>
      </c>
      <c r="AY101" s="1173">
        <f>AO101+AQ101+AS101+AU101+AW101</f>
        <v>4319652737</v>
      </c>
    </row>
    <row r="102" spans="1:52" x14ac:dyDescent="0.25">
      <c r="A102" s="1145"/>
      <c r="B102" s="1174" t="s">
        <v>4763</v>
      </c>
      <c r="C102" s="1174"/>
      <c r="D102" s="1176">
        <f>5239000+168280</f>
        <v>5407280</v>
      </c>
      <c r="E102" s="954"/>
      <c r="F102" s="947"/>
      <c r="G102" s="947"/>
      <c r="H102" s="947"/>
      <c r="I102" s="947"/>
      <c r="J102" s="947"/>
      <c r="K102" s="1175"/>
      <c r="L102" s="947"/>
      <c r="M102" s="947"/>
      <c r="N102" s="947"/>
      <c r="O102" s="947"/>
      <c r="P102" s="947"/>
      <c r="Q102" s="947"/>
      <c r="R102" s="947"/>
      <c r="S102" s="947"/>
      <c r="T102" s="947"/>
      <c r="U102" s="947"/>
      <c r="V102" s="947"/>
      <c r="W102" s="947"/>
      <c r="X102" s="947"/>
      <c r="Y102" s="338"/>
      <c r="Z102" s="875"/>
      <c r="AA102" s="947"/>
      <c r="AB102" s="875"/>
      <c r="AC102" s="1176"/>
      <c r="AD102" s="1176"/>
      <c r="AE102" s="947"/>
      <c r="AF102" s="947"/>
      <c r="AG102" s="954"/>
      <c r="AH102" s="954"/>
      <c r="AI102" s="947"/>
      <c r="AJ102" s="954"/>
      <c r="AK102" s="947"/>
      <c r="AL102" s="947"/>
      <c r="AM102" s="1175">
        <f>SUM(C102:AE102)</f>
        <v>5407280</v>
      </c>
      <c r="AN102" s="339"/>
      <c r="AO102" s="429">
        <f>D101+E102+F102+G102+H102+I102+J102</f>
        <v>0</v>
      </c>
      <c r="AP102" s="429">
        <f>E102+F102+G102+H102+I102+J102+K102</f>
        <v>0</v>
      </c>
      <c r="AQ102" s="429">
        <f>K102+L102+M102+N102+O102+P102+Q102</f>
        <v>0</v>
      </c>
      <c r="AR102" s="429">
        <f>G102+H102+I102+J102+K102+L102+M102</f>
        <v>0</v>
      </c>
      <c r="AS102" s="429">
        <f>R102+S102+T102+U102+V102+W102+X102</f>
        <v>0</v>
      </c>
      <c r="AT102" s="429">
        <f>I102+J102+K102+L102+M102+N102+O102</f>
        <v>0</v>
      </c>
      <c r="AU102" s="429">
        <f>Y102+Z102+AA102+AB102+AC102+AD102+AE102</f>
        <v>0</v>
      </c>
      <c r="AV102" s="429" t="e">
        <f>#REF!+#REF!+#REF!+#REF!+#REF!+#REF!+#REF!</f>
        <v>#REF!</v>
      </c>
      <c r="AW102" s="429"/>
      <c r="AX102" s="339"/>
      <c r="AY102" s="1175">
        <f>AO102+AQ102+AS102+AU102+AW102</f>
        <v>0</v>
      </c>
    </row>
    <row r="103" spans="1:52" x14ac:dyDescent="0.25">
      <c r="B103" s="290"/>
      <c r="C103" s="29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N103" s="339"/>
      <c r="AO103" s="334"/>
      <c r="AP103" s="339"/>
      <c r="AQ103" s="334"/>
      <c r="AR103" s="339"/>
      <c r="AS103" s="334"/>
      <c r="AT103" s="339"/>
      <c r="AU103" s="334"/>
      <c r="AV103" s="339"/>
      <c r="AW103" s="429"/>
      <c r="AX103" s="339"/>
      <c r="AY103" s="429"/>
    </row>
    <row r="104" spans="1:52" s="292" customFormat="1" ht="21" customHeight="1" thickBot="1" x14ac:dyDescent="0.3">
      <c r="A104" s="1177" t="s">
        <v>170</v>
      </c>
      <c r="B104" s="1178"/>
      <c r="C104" s="1178"/>
      <c r="D104" s="1179">
        <f>D69+D101+D102</f>
        <v>9601858</v>
      </c>
      <c r="E104" s="1179">
        <f>E69+E101+E102</f>
        <v>444401078</v>
      </c>
      <c r="F104" s="1179">
        <f>F69+F101+F102</f>
        <v>19832597</v>
      </c>
      <c r="G104" s="1179">
        <f>G69+G101+G102</f>
        <v>49440599</v>
      </c>
      <c r="H104" s="1179">
        <f t="shared" ref="H104:AL104" si="115">H69+H101+H102</f>
        <v>102719442</v>
      </c>
      <c r="I104" s="1179">
        <f t="shared" si="115"/>
        <v>0</v>
      </c>
      <c r="J104" s="1179">
        <f t="shared" si="115"/>
        <v>0</v>
      </c>
      <c r="K104" s="1179">
        <f t="shared" si="115"/>
        <v>2076895963.4300001</v>
      </c>
      <c r="L104" s="1179">
        <f t="shared" si="115"/>
        <v>5294381377.0100002</v>
      </c>
      <c r="M104" s="1179">
        <f t="shared" si="115"/>
        <v>7387410108.8600006</v>
      </c>
      <c r="N104" s="1179">
        <f t="shared" si="115"/>
        <v>9007287720</v>
      </c>
      <c r="O104" s="1179">
        <f t="shared" si="115"/>
        <v>4796569790</v>
      </c>
      <c r="P104" s="1179">
        <f t="shared" si="115"/>
        <v>4134121268</v>
      </c>
      <c r="Q104" s="1179">
        <f t="shared" si="115"/>
        <v>0</v>
      </c>
      <c r="R104" s="1179">
        <f>R69+R101+R102</f>
        <v>3629055858</v>
      </c>
      <c r="S104" s="1179">
        <f t="shared" si="115"/>
        <v>3713077215</v>
      </c>
      <c r="T104" s="1179">
        <f>T69+T101+T102</f>
        <v>5433917353</v>
      </c>
      <c r="U104" s="1179">
        <f t="shared" si="115"/>
        <v>3987950982</v>
      </c>
      <c r="V104" s="1179">
        <f>V69+V101+V102</f>
        <v>8235763713.8000002</v>
      </c>
      <c r="W104" s="1179">
        <f t="shared" si="115"/>
        <v>6796060607.9400005</v>
      </c>
      <c r="X104" s="1179">
        <f t="shared" si="115"/>
        <v>0</v>
      </c>
      <c r="Y104" s="1179">
        <f t="shared" si="115"/>
        <v>3233663905</v>
      </c>
      <c r="Z104" s="1179">
        <f t="shared" si="115"/>
        <v>3700471462.6700001</v>
      </c>
      <c r="AA104" s="1179">
        <f t="shared" si="115"/>
        <v>3126102096</v>
      </c>
      <c r="AB104" s="1179">
        <f t="shared" si="115"/>
        <v>3472039157</v>
      </c>
      <c r="AC104" s="1179">
        <f t="shared" si="115"/>
        <v>4143073594</v>
      </c>
      <c r="AD104" s="1179">
        <f t="shared" si="115"/>
        <v>5034094457</v>
      </c>
      <c r="AE104" s="1179">
        <f t="shared" si="115"/>
        <v>0</v>
      </c>
      <c r="AF104" s="1179">
        <f t="shared" si="115"/>
        <v>0</v>
      </c>
      <c r="AG104" s="1179">
        <f t="shared" si="115"/>
        <v>0</v>
      </c>
      <c r="AH104" s="1179">
        <f t="shared" si="115"/>
        <v>0</v>
      </c>
      <c r="AI104" s="1179">
        <f t="shared" si="115"/>
        <v>0</v>
      </c>
      <c r="AJ104" s="1179">
        <f t="shared" si="115"/>
        <v>0</v>
      </c>
      <c r="AK104" s="1179">
        <f t="shared" si="115"/>
        <v>0</v>
      </c>
      <c r="AL104" s="1179">
        <f t="shared" si="115"/>
        <v>0</v>
      </c>
      <c r="AM104" s="1179">
        <f>AM69+AM101+AM102</f>
        <v>87820997402.709991</v>
      </c>
      <c r="AN104" s="291"/>
      <c r="AO104" s="1180">
        <f>AO69+AO101</f>
        <v>620588294</v>
      </c>
      <c r="AP104" s="1180"/>
      <c r="AQ104" s="1180">
        <f t="shared" ref="AQ104:AW104" si="116">AQ69+AQ101</f>
        <v>32696666227.300003</v>
      </c>
      <c r="AR104" s="1180"/>
      <c r="AS104" s="1180">
        <f t="shared" si="116"/>
        <v>31795825729.739998</v>
      </c>
      <c r="AT104" s="1180"/>
      <c r="AU104" s="1180">
        <f t="shared" si="116"/>
        <v>28943891744.409996</v>
      </c>
      <c r="AV104" s="1180"/>
      <c r="AW104" s="1180">
        <f t="shared" si="116"/>
        <v>25951340085.410004</v>
      </c>
      <c r="AX104" s="291"/>
      <c r="AY104" s="1180">
        <f>AY102+AY101+AY69</f>
        <v>87815590122.709991</v>
      </c>
    </row>
    <row r="105" spans="1:52" ht="21.75" thickBot="1" x14ac:dyDescent="0.4">
      <c r="W105" s="293"/>
      <c r="Y105" s="294"/>
      <c r="AY105" s="276"/>
    </row>
    <row r="106" spans="1:52" x14ac:dyDescent="0.25">
      <c r="A106" s="271" t="s">
        <v>18</v>
      </c>
      <c r="D106" s="276"/>
      <c r="E106" s="262"/>
      <c r="F106" s="276"/>
      <c r="G106" s="262"/>
      <c r="H106" s="678"/>
      <c r="I106" s="262"/>
      <c r="J106" s="262"/>
      <c r="K106" s="690"/>
      <c r="L106" s="678"/>
      <c r="M106" s="678"/>
      <c r="N106" s="940"/>
      <c r="O106" s="262"/>
      <c r="P106" s="262"/>
      <c r="Q106" s="262"/>
      <c r="R106" s="262"/>
      <c r="S106" s="262"/>
      <c r="T106" s="262"/>
      <c r="U106" s="940"/>
      <c r="V106" s="678"/>
      <c r="W106" s="940"/>
      <c r="X106" s="262"/>
      <c r="Y106" s="262"/>
      <c r="Z106" s="262"/>
      <c r="AA106" s="262"/>
      <c r="AB106" s="678"/>
      <c r="AC106" s="940"/>
      <c r="AD106" s="262"/>
      <c r="AE106" s="262"/>
      <c r="AF106" s="262"/>
      <c r="AG106" s="262"/>
      <c r="AH106" s="940"/>
      <c r="AI106" s="262"/>
      <c r="AJ106" s="262"/>
      <c r="AK106" s="262"/>
      <c r="AL106" s="262"/>
      <c r="AM106" s="262"/>
    </row>
    <row r="107" spans="1:52" x14ac:dyDescent="0.25">
      <c r="D107" s="262"/>
      <c r="E107" s="678"/>
      <c r="F107" s="262"/>
      <c r="G107" s="940"/>
      <c r="H107" s="262"/>
      <c r="I107" s="262"/>
      <c r="J107" s="262"/>
      <c r="K107" s="678"/>
      <c r="L107" s="940"/>
      <c r="M107" s="262"/>
      <c r="N107" s="262"/>
      <c r="O107" s="678"/>
      <c r="P107" s="262"/>
      <c r="Q107" s="262"/>
      <c r="R107" s="262"/>
      <c r="S107" s="262"/>
      <c r="T107" s="262"/>
      <c r="U107" s="262"/>
      <c r="V107" s="262"/>
      <c r="W107" s="943"/>
      <c r="X107" s="262"/>
      <c r="Y107" s="943"/>
      <c r="Z107" s="262"/>
      <c r="AA107" s="262"/>
      <c r="AB107" s="940"/>
      <c r="AC107" s="940"/>
      <c r="AD107" s="262"/>
      <c r="AE107" s="262"/>
      <c r="AF107" s="940"/>
      <c r="AG107" s="262"/>
      <c r="AH107" s="262"/>
      <c r="AI107" s="262"/>
      <c r="AJ107" s="262"/>
      <c r="AK107" s="262"/>
      <c r="AL107" s="262"/>
      <c r="AM107" s="262"/>
    </row>
    <row r="108" spans="1:52" x14ac:dyDescent="0.25">
      <c r="D108" s="262"/>
      <c r="E108" s="262"/>
      <c r="F108" s="262"/>
      <c r="G108" s="678"/>
      <c r="H108" s="262"/>
      <c r="I108" s="262"/>
      <c r="J108" s="262"/>
      <c r="K108" s="262"/>
      <c r="L108" s="262"/>
      <c r="M108" s="262"/>
      <c r="N108" s="940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/>
      <c r="Z108" s="262"/>
      <c r="AA108" s="262"/>
      <c r="AB108" s="262"/>
      <c r="AC108" s="262"/>
      <c r="AD108" s="262"/>
      <c r="AE108" s="262"/>
      <c r="AF108" s="262"/>
      <c r="AG108" s="262"/>
      <c r="AH108" s="262"/>
      <c r="AI108" s="262"/>
      <c r="AJ108" s="262"/>
      <c r="AK108" s="262"/>
      <c r="AL108" s="262"/>
      <c r="AM108" s="262"/>
    </row>
    <row r="109" spans="1:52" x14ac:dyDescent="0.25">
      <c r="B109" s="334"/>
      <c r="C109" s="334"/>
      <c r="AM109" s="262"/>
    </row>
    <row r="110" spans="1:52" x14ac:dyDescent="0.25">
      <c r="F110" s="295"/>
    </row>
    <row r="111" spans="1:52" x14ac:dyDescent="0.25">
      <c r="F111" s="295"/>
    </row>
    <row r="112" spans="1:52" x14ac:dyDescent="0.25">
      <c r="F112" s="295"/>
    </row>
    <row r="113" spans="1:39" x14ac:dyDescent="0.25">
      <c r="F113" s="295"/>
    </row>
    <row r="114" spans="1:39" x14ac:dyDescent="0.25">
      <c r="F114" s="295"/>
    </row>
    <row r="115" spans="1:39" x14ac:dyDescent="0.25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 x14ac:dyDescent="0.25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 x14ac:dyDescent="0.25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 x14ac:dyDescent="0.25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</sheetData>
  <sortState ref="B71:B97">
    <sortCondition ref="B71"/>
  </sortState>
  <mergeCells count="25"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  <mergeCell ref="AY6:AY7"/>
    <mergeCell ref="A9:A11"/>
    <mergeCell ref="AO6:AO7"/>
    <mergeCell ref="AQ6:AQ7"/>
    <mergeCell ref="A13:A15"/>
    <mergeCell ref="A6:A7"/>
    <mergeCell ref="B6:B7"/>
    <mergeCell ref="F6:AE6"/>
    <mergeCell ref="AM6:AM7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workbookViewId="0">
      <selection sqref="A1:XFD1048576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355" t="s">
        <v>131</v>
      </c>
      <c r="C2" s="1355" t="s">
        <v>5961</v>
      </c>
      <c r="D2" s="1355" t="s">
        <v>5979</v>
      </c>
      <c r="E2" s="1355" t="s">
        <v>5963</v>
      </c>
      <c r="F2" s="1355" t="s">
        <v>5980</v>
      </c>
      <c r="G2" s="1355" t="s">
        <v>6002</v>
      </c>
      <c r="H2" s="1355" t="s">
        <v>5983</v>
      </c>
      <c r="I2" s="1355" t="s">
        <v>5981</v>
      </c>
      <c r="J2" s="1355" t="s">
        <v>5982</v>
      </c>
      <c r="K2" s="897" t="s">
        <v>6003</v>
      </c>
      <c r="L2" s="897" t="s">
        <v>6041</v>
      </c>
    </row>
    <row r="3" spans="2:12" x14ac:dyDescent="0.25">
      <c r="B3" s="362">
        <v>1</v>
      </c>
      <c r="C3" s="362" t="s">
        <v>6039</v>
      </c>
      <c r="D3" s="562">
        <v>750000000</v>
      </c>
      <c r="E3" s="362"/>
      <c r="F3" s="362"/>
      <c r="G3" s="362"/>
      <c r="H3" s="562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 x14ac:dyDescent="0.25">
      <c r="B4" s="362"/>
      <c r="C4" s="362" t="s">
        <v>6039</v>
      </c>
      <c r="D4" s="562">
        <v>750000000</v>
      </c>
      <c r="E4" s="562">
        <v>7604167</v>
      </c>
      <c r="F4" s="562"/>
      <c r="G4" s="562">
        <v>100000</v>
      </c>
      <c r="H4" s="562">
        <f t="shared" ref="H4:H39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 x14ac:dyDescent="0.25">
      <c r="B5" s="362">
        <v>2</v>
      </c>
      <c r="C5" s="362" t="s">
        <v>6128</v>
      </c>
      <c r="D5" s="562">
        <v>3000000000</v>
      </c>
      <c r="E5" s="562">
        <v>31583334</v>
      </c>
      <c r="F5" s="562"/>
      <c r="G5" s="562">
        <v>100000</v>
      </c>
      <c r="H5" s="562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 x14ac:dyDescent="0.25">
      <c r="B6" s="362">
        <v>3</v>
      </c>
      <c r="C6" s="362" t="s">
        <v>6037</v>
      </c>
      <c r="D6" s="562">
        <v>3500000000</v>
      </c>
      <c r="E6" s="562"/>
      <c r="F6" s="562"/>
      <c r="G6" s="562"/>
      <c r="H6" s="562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 x14ac:dyDescent="0.25">
      <c r="B7" s="362"/>
      <c r="C7" s="362" t="s">
        <v>6037</v>
      </c>
      <c r="D7" s="562">
        <v>3500000000</v>
      </c>
      <c r="E7" s="562">
        <v>36361111</v>
      </c>
      <c r="F7" s="562">
        <v>10000</v>
      </c>
      <c r="G7" s="562"/>
      <c r="H7" s="562">
        <f t="shared" si="0"/>
        <v>36371111</v>
      </c>
      <c r="I7" s="364">
        <v>44545</v>
      </c>
      <c r="J7" s="364">
        <v>44904</v>
      </c>
      <c r="K7" s="362" t="s">
        <v>688</v>
      </c>
      <c r="L7" s="611">
        <v>44551</v>
      </c>
    </row>
    <row r="8" spans="2:12" x14ac:dyDescent="0.25">
      <c r="B8" s="362">
        <v>4</v>
      </c>
      <c r="C8" s="362" t="s">
        <v>6036</v>
      </c>
      <c r="D8" s="562">
        <v>500000000</v>
      </c>
      <c r="E8" s="562"/>
      <c r="F8" s="562"/>
      <c r="G8" s="562"/>
      <c r="H8" s="562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 x14ac:dyDescent="0.25">
      <c r="B9" s="362"/>
      <c r="C9" s="362" t="s">
        <v>6036</v>
      </c>
      <c r="D9" s="562">
        <v>500000000</v>
      </c>
      <c r="E9" s="362"/>
      <c r="F9" s="362"/>
      <c r="G9" s="362"/>
      <c r="H9" s="562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 x14ac:dyDescent="0.25">
      <c r="B10" s="362"/>
      <c r="C10" s="362" t="s">
        <v>6036</v>
      </c>
      <c r="D10" s="562">
        <v>500000000</v>
      </c>
      <c r="E10" s="562">
        <v>5263889</v>
      </c>
      <c r="F10" s="362"/>
      <c r="G10" s="562">
        <v>100000</v>
      </c>
      <c r="H10" s="562">
        <f t="shared" si="0"/>
        <v>5363889</v>
      </c>
      <c r="I10" s="364">
        <v>44409</v>
      </c>
      <c r="J10" s="364">
        <v>44774</v>
      </c>
      <c r="K10" s="362" t="s">
        <v>153</v>
      </c>
      <c r="L10" s="611">
        <v>44431</v>
      </c>
    </row>
    <row r="11" spans="2:12" x14ac:dyDescent="0.25">
      <c r="B11" s="362">
        <v>5</v>
      </c>
      <c r="C11" s="362" t="s">
        <v>6028</v>
      </c>
      <c r="D11" s="562">
        <v>2250000000</v>
      </c>
      <c r="E11" s="562"/>
      <c r="F11" s="562"/>
      <c r="G11" s="562"/>
      <c r="H11" s="562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 x14ac:dyDescent="0.25">
      <c r="B12" s="362"/>
      <c r="C12" s="362" t="s">
        <v>6028</v>
      </c>
      <c r="D12" s="562">
        <v>2250000000</v>
      </c>
      <c r="E12" s="562">
        <v>22250000</v>
      </c>
      <c r="F12" s="562">
        <v>10000</v>
      </c>
      <c r="G12" s="562"/>
      <c r="H12" s="562">
        <f t="shared" si="0"/>
        <v>22260000</v>
      </c>
      <c r="I12" s="364">
        <v>44480</v>
      </c>
      <c r="J12" s="364">
        <v>44088</v>
      </c>
      <c r="K12" s="362" t="s">
        <v>688</v>
      </c>
      <c r="L12" s="611">
        <v>44482</v>
      </c>
    </row>
    <row r="13" spans="2:12" x14ac:dyDescent="0.25">
      <c r="B13" s="362">
        <v>6</v>
      </c>
      <c r="C13" s="362" t="s">
        <v>6033</v>
      </c>
      <c r="D13" s="562">
        <v>16000000000</v>
      </c>
      <c r="E13" s="562"/>
      <c r="F13" s="562"/>
      <c r="G13" s="562"/>
      <c r="H13" s="562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 x14ac:dyDescent="0.25">
      <c r="B14" s="362"/>
      <c r="C14" s="362" t="s">
        <v>6033</v>
      </c>
      <c r="D14" s="562">
        <v>20000000</v>
      </c>
      <c r="E14" s="562">
        <v>78333333</v>
      </c>
      <c r="F14" s="562">
        <v>10000</v>
      </c>
      <c r="G14" s="562"/>
      <c r="H14" s="562">
        <f t="shared" si="0"/>
        <v>78343333</v>
      </c>
      <c r="I14" s="364">
        <v>44435</v>
      </c>
      <c r="J14" s="364">
        <v>44561</v>
      </c>
      <c r="K14" s="362" t="s">
        <v>688</v>
      </c>
      <c r="L14" s="611">
        <v>44439</v>
      </c>
    </row>
    <row r="15" spans="2:12" x14ac:dyDescent="0.25">
      <c r="B15" s="362"/>
      <c r="C15" s="362" t="s">
        <v>6033</v>
      </c>
      <c r="D15" s="562">
        <v>20000000000</v>
      </c>
      <c r="E15" s="562">
        <v>202777778</v>
      </c>
      <c r="F15" s="562">
        <v>10000</v>
      </c>
      <c r="G15" s="562"/>
      <c r="H15" s="562">
        <f t="shared" si="0"/>
        <v>202787778</v>
      </c>
      <c r="I15" s="364">
        <v>44211</v>
      </c>
      <c r="J15" s="364">
        <v>44940</v>
      </c>
      <c r="K15" s="362" t="s">
        <v>688</v>
      </c>
      <c r="L15" s="611">
        <v>44561</v>
      </c>
    </row>
    <row r="16" spans="2:12" x14ac:dyDescent="0.25">
      <c r="B16" s="362">
        <v>7</v>
      </c>
      <c r="C16" s="362" t="s">
        <v>6031</v>
      </c>
      <c r="D16" s="562">
        <v>1500000000</v>
      </c>
      <c r="E16" s="562"/>
      <c r="F16" s="562"/>
      <c r="G16" s="562"/>
      <c r="H16" s="562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 x14ac:dyDescent="0.25">
      <c r="B17" s="362">
        <v>8</v>
      </c>
      <c r="C17" s="362" t="s">
        <v>6001</v>
      </c>
      <c r="D17" s="562">
        <v>8000000000</v>
      </c>
      <c r="E17" s="562">
        <v>83861111</v>
      </c>
      <c r="F17" s="562"/>
      <c r="G17" s="562">
        <v>100000</v>
      </c>
      <c r="H17" s="562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 x14ac:dyDescent="0.25">
      <c r="B18" s="362"/>
      <c r="C18" s="362"/>
      <c r="D18" s="562">
        <v>8000000000</v>
      </c>
      <c r="E18" s="562">
        <v>81211112</v>
      </c>
      <c r="F18" s="562"/>
      <c r="G18" s="562"/>
      <c r="H18" s="562">
        <f t="shared" si="0"/>
        <v>81211112</v>
      </c>
      <c r="I18" s="364">
        <v>44620</v>
      </c>
      <c r="J18" s="364">
        <v>44985</v>
      </c>
      <c r="K18" s="362" t="s">
        <v>6029</v>
      </c>
      <c r="L18" s="611">
        <v>44615</v>
      </c>
    </row>
    <row r="19" spans="2:12" x14ac:dyDescent="0.25">
      <c r="B19" s="362">
        <v>9</v>
      </c>
      <c r="C19" s="362" t="s">
        <v>6030</v>
      </c>
      <c r="D19" s="562">
        <v>5000000000</v>
      </c>
      <c r="E19" s="562"/>
      <c r="F19" s="562"/>
      <c r="G19" s="562"/>
      <c r="H19" s="562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 x14ac:dyDescent="0.25">
      <c r="B20" s="362">
        <v>10</v>
      </c>
      <c r="C20" s="362" t="s">
        <v>6027</v>
      </c>
      <c r="D20" s="562">
        <v>12000000000</v>
      </c>
      <c r="E20" s="562"/>
      <c r="F20" s="562"/>
      <c r="G20" s="562"/>
      <c r="H20" s="562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 x14ac:dyDescent="0.25">
      <c r="B21" s="362"/>
      <c r="C21" s="362" t="s">
        <v>6027</v>
      </c>
      <c r="D21" s="562">
        <v>12000000000</v>
      </c>
      <c r="E21" s="562">
        <v>123433334</v>
      </c>
      <c r="F21" s="562"/>
      <c r="G21" s="562"/>
      <c r="H21" s="562">
        <f t="shared" si="0"/>
        <v>123433334</v>
      </c>
      <c r="I21" s="364">
        <v>44495</v>
      </c>
      <c r="J21" s="364">
        <v>44851</v>
      </c>
      <c r="K21" s="362" t="s">
        <v>6029</v>
      </c>
      <c r="L21" s="611">
        <v>44557</v>
      </c>
    </row>
    <row r="22" spans="2:12" x14ac:dyDescent="0.25">
      <c r="B22" s="362">
        <v>11</v>
      </c>
      <c r="C22" s="362" t="s">
        <v>6034</v>
      </c>
      <c r="D22" s="562">
        <v>500000000</v>
      </c>
      <c r="E22" s="562"/>
      <c r="F22" s="562"/>
      <c r="G22" s="562"/>
      <c r="H22" s="562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 x14ac:dyDescent="0.25">
      <c r="B23" s="362"/>
      <c r="C23" s="362" t="s">
        <v>6034</v>
      </c>
      <c r="D23" s="562">
        <v>1000000000</v>
      </c>
      <c r="E23" s="562">
        <v>10238889</v>
      </c>
      <c r="F23" s="562"/>
      <c r="G23" s="562"/>
      <c r="H23" s="562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 x14ac:dyDescent="0.25">
      <c r="B24" s="362">
        <v>12</v>
      </c>
      <c r="C24" s="362" t="s">
        <v>4563</v>
      </c>
      <c r="D24" s="562">
        <v>12500000000</v>
      </c>
      <c r="E24" s="362"/>
      <c r="F24" s="362"/>
      <c r="G24" s="362"/>
      <c r="H24" s="562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 x14ac:dyDescent="0.25">
      <c r="B25" s="362"/>
      <c r="C25" s="362" t="s">
        <v>4563</v>
      </c>
      <c r="D25" s="562">
        <v>750000000</v>
      </c>
      <c r="E25" s="362"/>
      <c r="F25" s="362"/>
      <c r="G25" s="362"/>
      <c r="H25" s="562">
        <f t="shared" si="0"/>
        <v>0</v>
      </c>
      <c r="I25" s="364">
        <v>43952</v>
      </c>
      <c r="J25" s="364">
        <v>44043</v>
      </c>
      <c r="K25" s="362"/>
      <c r="L25" s="611">
        <v>43949</v>
      </c>
    </row>
    <row r="26" spans="2:12" x14ac:dyDescent="0.25">
      <c r="B26" s="362"/>
      <c r="C26" s="362" t="s">
        <v>4563</v>
      </c>
      <c r="D26" s="562">
        <v>5000000000</v>
      </c>
      <c r="E26" s="362"/>
      <c r="F26" s="362"/>
      <c r="G26" s="362"/>
      <c r="H26" s="562">
        <f t="shared" si="0"/>
        <v>0</v>
      </c>
      <c r="I26" s="364">
        <v>44043</v>
      </c>
      <c r="J26" s="364">
        <v>44196</v>
      </c>
      <c r="K26" s="362"/>
      <c r="L26" s="611">
        <v>44022</v>
      </c>
    </row>
    <row r="27" spans="2:12" x14ac:dyDescent="0.25">
      <c r="B27" s="362"/>
      <c r="C27" s="362" t="s">
        <v>4563</v>
      </c>
      <c r="D27" s="562">
        <v>5000000000</v>
      </c>
      <c r="E27" s="362"/>
      <c r="F27" s="362"/>
      <c r="G27" s="362"/>
      <c r="H27" s="562">
        <f t="shared" si="0"/>
        <v>0</v>
      </c>
      <c r="I27" s="364">
        <v>44068</v>
      </c>
      <c r="J27" s="364">
        <v>44416</v>
      </c>
      <c r="K27" s="362"/>
      <c r="L27" s="611">
        <v>44074</v>
      </c>
    </row>
    <row r="28" spans="2:12" x14ac:dyDescent="0.25">
      <c r="B28" s="362"/>
      <c r="C28" s="362" t="s">
        <v>4563</v>
      </c>
      <c r="D28" s="562">
        <v>2500000000</v>
      </c>
      <c r="E28" s="362"/>
      <c r="F28" s="362"/>
      <c r="G28" s="362"/>
      <c r="H28" s="562">
        <f t="shared" si="0"/>
        <v>0</v>
      </c>
      <c r="I28" s="364">
        <v>44105</v>
      </c>
      <c r="J28" s="364">
        <v>44414</v>
      </c>
      <c r="K28" s="362"/>
      <c r="L28" s="611">
        <v>44110</v>
      </c>
    </row>
    <row r="29" spans="2:12" x14ac:dyDescent="0.25">
      <c r="B29" s="362"/>
      <c r="C29" s="362" t="s">
        <v>4563</v>
      </c>
      <c r="D29" s="562">
        <v>14150000000</v>
      </c>
      <c r="E29" s="562">
        <v>82541667</v>
      </c>
      <c r="F29" s="562">
        <v>6000</v>
      </c>
      <c r="G29" s="562"/>
      <c r="H29" s="562">
        <f t="shared" si="0"/>
        <v>82547667</v>
      </c>
      <c r="I29" s="364">
        <v>44197</v>
      </c>
      <c r="J29" s="364">
        <v>44377</v>
      </c>
      <c r="K29" s="362"/>
      <c r="L29" s="611">
        <v>44200</v>
      </c>
    </row>
    <row r="30" spans="2:12" x14ac:dyDescent="0.25">
      <c r="B30" s="362"/>
      <c r="C30" s="362" t="s">
        <v>4563</v>
      </c>
      <c r="D30" s="562">
        <v>14150000000</v>
      </c>
      <c r="E30" s="562">
        <v>36554167</v>
      </c>
      <c r="F30" s="562">
        <v>10000</v>
      </c>
      <c r="G30" s="562"/>
      <c r="H30" s="562">
        <f t="shared" si="0"/>
        <v>36564167</v>
      </c>
      <c r="I30" s="364">
        <v>44377</v>
      </c>
      <c r="J30" s="364">
        <v>44470</v>
      </c>
      <c r="K30" s="362"/>
      <c r="L30" s="611">
        <v>44344</v>
      </c>
    </row>
    <row r="31" spans="2:12" x14ac:dyDescent="0.25">
      <c r="B31" s="362"/>
      <c r="C31" s="362" t="s">
        <v>4563</v>
      </c>
      <c r="D31" s="562">
        <v>5000000000</v>
      </c>
      <c r="E31" s="562">
        <v>22222222</v>
      </c>
      <c r="F31" s="562"/>
      <c r="G31" s="562">
        <v>100000</v>
      </c>
      <c r="H31" s="562">
        <f t="shared" si="0"/>
        <v>22322222</v>
      </c>
      <c r="I31" s="364">
        <v>44415</v>
      </c>
      <c r="J31" s="364">
        <v>44561</v>
      </c>
      <c r="K31" s="362" t="s">
        <v>153</v>
      </c>
      <c r="L31" s="611">
        <v>44434</v>
      </c>
    </row>
    <row r="32" spans="2:12" x14ac:dyDescent="0.25">
      <c r="B32" s="362">
        <v>13</v>
      </c>
      <c r="C32" s="362" t="s">
        <v>6035</v>
      </c>
      <c r="D32" s="562">
        <v>11000000000</v>
      </c>
      <c r="E32" s="562"/>
      <c r="F32" s="562"/>
      <c r="G32" s="562"/>
      <c r="H32" s="562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 x14ac:dyDescent="0.25">
      <c r="B33" s="362"/>
      <c r="C33" s="362" t="s">
        <v>6035</v>
      </c>
      <c r="D33" s="562">
        <v>11000000000</v>
      </c>
      <c r="E33" s="562">
        <v>111527778</v>
      </c>
      <c r="F33" s="562"/>
      <c r="G33" s="562">
        <v>10000</v>
      </c>
      <c r="H33" s="562">
        <f t="shared" si="0"/>
        <v>111537778</v>
      </c>
      <c r="I33" s="364">
        <v>44465</v>
      </c>
      <c r="J33" s="364">
        <v>44830</v>
      </c>
      <c r="K33" s="362" t="s">
        <v>6029</v>
      </c>
      <c r="L33" s="611">
        <v>44461</v>
      </c>
    </row>
    <row r="34" spans="2:12" x14ac:dyDescent="0.25">
      <c r="B34" s="362">
        <v>14</v>
      </c>
      <c r="C34" s="362" t="s">
        <v>6038</v>
      </c>
      <c r="D34" s="562">
        <v>500000000</v>
      </c>
      <c r="E34" s="362"/>
      <c r="F34" s="362"/>
      <c r="G34" s="362"/>
      <c r="H34" s="562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 x14ac:dyDescent="0.25">
      <c r="B35" s="362"/>
      <c r="C35" s="362" t="s">
        <v>6106</v>
      </c>
      <c r="D35" s="562">
        <v>2500000000</v>
      </c>
      <c r="E35" s="562">
        <v>26319444</v>
      </c>
      <c r="F35" s="362"/>
      <c r="G35" s="562">
        <v>100000</v>
      </c>
      <c r="H35" s="562">
        <f t="shared" si="0"/>
        <v>26419444</v>
      </c>
      <c r="I35" s="364">
        <v>44322</v>
      </c>
      <c r="J35" s="364">
        <v>44322</v>
      </c>
      <c r="K35" s="362" t="s">
        <v>6029</v>
      </c>
      <c r="L35" s="611">
        <v>44326</v>
      </c>
    </row>
    <row r="36" spans="2:12" x14ac:dyDescent="0.25">
      <c r="B36" s="362">
        <v>15</v>
      </c>
      <c r="C36" s="362" t="s">
        <v>6032</v>
      </c>
      <c r="D36" s="562">
        <v>3500000000</v>
      </c>
      <c r="E36" s="562"/>
      <c r="F36" s="562"/>
      <c r="G36" s="562"/>
      <c r="H36" s="562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 x14ac:dyDescent="0.25">
      <c r="B37" s="362"/>
      <c r="C37" s="362" t="s">
        <v>6032</v>
      </c>
      <c r="D37" s="562">
        <v>7500000000</v>
      </c>
      <c r="E37" s="562"/>
      <c r="F37" s="562"/>
      <c r="G37" s="562"/>
      <c r="H37" s="562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 x14ac:dyDescent="0.25">
      <c r="B38" s="362"/>
      <c r="C38" s="362" t="s">
        <v>6032</v>
      </c>
      <c r="D38" s="562">
        <v>10000000000</v>
      </c>
      <c r="E38" s="562">
        <v>100555556</v>
      </c>
      <c r="F38" s="562">
        <v>12000</v>
      </c>
      <c r="G38" s="562"/>
      <c r="H38" s="562">
        <f t="shared" si="0"/>
        <v>100567556</v>
      </c>
      <c r="I38" s="364">
        <v>44267</v>
      </c>
      <c r="J38" s="364">
        <v>44614</v>
      </c>
      <c r="K38" s="362" t="s">
        <v>688</v>
      </c>
      <c r="L38" s="611">
        <v>44280</v>
      </c>
    </row>
    <row r="39" spans="2:12" x14ac:dyDescent="0.25">
      <c r="B39" s="362"/>
      <c r="C39" s="362" t="s">
        <v>6032</v>
      </c>
      <c r="D39" s="562">
        <v>10000000000</v>
      </c>
      <c r="E39" s="562">
        <v>70000000</v>
      </c>
      <c r="F39" s="562"/>
      <c r="G39" s="562">
        <v>10000</v>
      </c>
      <c r="H39" s="562">
        <f t="shared" si="0"/>
        <v>70010000</v>
      </c>
      <c r="I39" s="364">
        <v>44614</v>
      </c>
      <c r="J39" s="364">
        <v>44866</v>
      </c>
      <c r="K39" s="362" t="s">
        <v>688</v>
      </c>
      <c r="L39" s="611">
        <v>44587</v>
      </c>
    </row>
    <row r="40" spans="2:12" x14ac:dyDescent="0.25">
      <c r="B40" s="362"/>
      <c r="C40" s="362"/>
      <c r="D40" s="562"/>
      <c r="E40" s="562"/>
      <c r="F40" s="562"/>
      <c r="G40" s="562"/>
      <c r="H40" s="362"/>
      <c r="I40" s="364"/>
      <c r="J40" s="364"/>
      <c r="K40" s="362"/>
      <c r="L40" s="362"/>
    </row>
    <row r="41" spans="2:12" x14ac:dyDescent="0.25">
      <c r="B41" s="362"/>
      <c r="C41" s="362"/>
      <c r="D41" s="562"/>
      <c r="E41" s="562"/>
      <c r="F41" s="562"/>
      <c r="G41" s="562"/>
      <c r="H41" s="362"/>
      <c r="I41" s="364"/>
      <c r="J41" s="364"/>
      <c r="K41" s="362"/>
      <c r="L41" s="362"/>
    </row>
    <row r="42" spans="2:12" x14ac:dyDescent="0.25">
      <c r="D42" s="465"/>
      <c r="E42" s="465"/>
      <c r="F42" s="465"/>
      <c r="G42" s="465"/>
      <c r="I42" s="366"/>
      <c r="J42" s="366"/>
    </row>
    <row r="43" spans="2:12" x14ac:dyDescent="0.25">
      <c r="D43" s="465"/>
      <c r="E43" s="465"/>
      <c r="F43" s="465"/>
      <c r="G43" s="465"/>
    </row>
    <row r="44" spans="2:12" x14ac:dyDescent="0.25">
      <c r="D44" s="465"/>
      <c r="E44" s="465"/>
      <c r="F44" s="465"/>
      <c r="G44" s="465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25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583" t="s">
        <v>131</v>
      </c>
      <c r="B2" s="1583" t="s">
        <v>3436</v>
      </c>
      <c r="C2" s="1584" t="s">
        <v>3443</v>
      </c>
      <c r="D2" s="1584"/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5" t="s">
        <v>24</v>
      </c>
    </row>
    <row r="3" spans="1:27" s="1" customFormat="1" x14ac:dyDescent="0.25">
      <c r="A3" s="1652"/>
      <c r="B3" s="1652"/>
      <c r="C3" s="608" t="s">
        <v>3456</v>
      </c>
      <c r="D3" s="608" t="s">
        <v>3444</v>
      </c>
      <c r="E3" s="608" t="s">
        <v>3445</v>
      </c>
      <c r="F3" s="608" t="s">
        <v>3444</v>
      </c>
      <c r="G3" s="608" t="s">
        <v>3446</v>
      </c>
      <c r="H3" s="608" t="s">
        <v>3444</v>
      </c>
      <c r="I3" s="608" t="s">
        <v>3447</v>
      </c>
      <c r="J3" s="608" t="s">
        <v>3444</v>
      </c>
      <c r="K3" s="608" t="s">
        <v>3448</v>
      </c>
      <c r="L3" s="608" t="s">
        <v>3444</v>
      </c>
      <c r="M3" s="608" t="s">
        <v>3449</v>
      </c>
      <c r="N3" s="608" t="s">
        <v>3444</v>
      </c>
      <c r="O3" s="608" t="s">
        <v>3450</v>
      </c>
      <c r="P3" s="608" t="s">
        <v>3444</v>
      </c>
      <c r="Q3" s="608" t="s">
        <v>3451</v>
      </c>
      <c r="R3" s="608" t="s">
        <v>3444</v>
      </c>
      <c r="S3" s="608" t="s">
        <v>3452</v>
      </c>
      <c r="T3" s="608" t="s">
        <v>3444</v>
      </c>
      <c r="U3" s="608" t="s">
        <v>3453</v>
      </c>
      <c r="V3" s="608" t="s">
        <v>3444</v>
      </c>
      <c r="W3" s="608" t="s">
        <v>3454</v>
      </c>
      <c r="X3" s="608" t="s">
        <v>3444</v>
      </c>
      <c r="Y3" s="608" t="s">
        <v>3455</v>
      </c>
      <c r="Z3" s="608" t="s">
        <v>3444</v>
      </c>
      <c r="AA3" s="1585"/>
    </row>
    <row r="4" spans="1:27" x14ac:dyDescent="0.25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2">
        <v>142048300</v>
      </c>
      <c r="K4" s="364">
        <v>43979</v>
      </c>
      <c r="L4" s="562">
        <v>142048300</v>
      </c>
      <c r="M4" s="364">
        <v>44011</v>
      </c>
      <c r="N4" s="562">
        <v>142048300</v>
      </c>
      <c r="O4" s="611">
        <v>44041</v>
      </c>
      <c r="P4" s="562">
        <v>142048300</v>
      </c>
      <c r="Q4" s="611">
        <v>44071</v>
      </c>
      <c r="R4" s="562">
        <v>142048300</v>
      </c>
      <c r="S4" s="611">
        <v>44103</v>
      </c>
      <c r="T4" s="562">
        <v>142048300</v>
      </c>
      <c r="U4" s="611">
        <v>44131</v>
      </c>
      <c r="V4" s="562">
        <v>142048300</v>
      </c>
      <c r="W4" s="611">
        <v>44162</v>
      </c>
      <c r="X4" s="562">
        <v>142048300</v>
      </c>
      <c r="Y4" s="611">
        <v>44193</v>
      </c>
      <c r="Z4" s="694">
        <f>70661200+12601000+58786100</f>
        <v>142048300</v>
      </c>
      <c r="AA4" s="562">
        <f>Z4+X4+V4+T4+R4+P4+N4+L4+J4+H4+F4+C4</f>
        <v>1562575159</v>
      </c>
    </row>
    <row r="5" spans="1:27" x14ac:dyDescent="0.25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2">
        <v>17070000</v>
      </c>
      <c r="K5" s="364">
        <v>43953</v>
      </c>
      <c r="L5" s="562">
        <v>17070000</v>
      </c>
      <c r="M5" s="364">
        <v>44013</v>
      </c>
      <c r="N5" s="562">
        <v>17070000</v>
      </c>
      <c r="O5" s="611">
        <v>44042</v>
      </c>
      <c r="P5" s="562">
        <v>17070000</v>
      </c>
      <c r="Q5" s="611">
        <v>44071</v>
      </c>
      <c r="R5" s="562">
        <v>17070000</v>
      </c>
      <c r="S5" s="611">
        <v>44104</v>
      </c>
      <c r="T5" s="562">
        <v>17070000</v>
      </c>
      <c r="U5" s="611">
        <v>44137</v>
      </c>
      <c r="V5" s="562">
        <v>17070000</v>
      </c>
      <c r="W5" s="611">
        <v>44166</v>
      </c>
      <c r="X5" s="562">
        <v>17070000</v>
      </c>
      <c r="Y5" s="611">
        <v>44194</v>
      </c>
      <c r="Z5" s="562">
        <v>17070000</v>
      </c>
      <c r="AA5" s="562">
        <f t="shared" ref="AA5:AA70" si="0">Z5+X5+V5+T5+R5+P5+N5+L5+J5+H5+F5+C5</f>
        <v>187813864</v>
      </c>
    </row>
    <row r="6" spans="1:27" x14ac:dyDescent="0.25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2">
        <v>3000000</v>
      </c>
      <c r="K6" s="364">
        <v>43966</v>
      </c>
      <c r="L6" s="562">
        <v>3000000</v>
      </c>
      <c r="M6" s="364">
        <v>43998</v>
      </c>
      <c r="N6" s="562">
        <v>3000000</v>
      </c>
      <c r="O6" s="611">
        <v>44027</v>
      </c>
      <c r="P6" s="562">
        <v>3000000</v>
      </c>
      <c r="Q6" s="611">
        <v>44057</v>
      </c>
      <c r="R6" s="562">
        <v>3000000</v>
      </c>
      <c r="S6" s="611">
        <v>44089</v>
      </c>
      <c r="T6" s="562">
        <v>3000000</v>
      </c>
      <c r="U6" s="362"/>
      <c r="V6" s="362"/>
      <c r="W6" s="362"/>
      <c r="X6" s="362"/>
      <c r="Y6" s="611">
        <v>44180</v>
      </c>
      <c r="Z6" s="562">
        <v>3000000</v>
      </c>
      <c r="AA6" s="562">
        <f t="shared" si="0"/>
        <v>27043850</v>
      </c>
    </row>
    <row r="7" spans="1:27" x14ac:dyDescent="0.25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2">
        <v>4250000</v>
      </c>
      <c r="K7" s="364"/>
      <c r="L7" s="562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2">
        <f t="shared" si="0"/>
        <v>8500000</v>
      </c>
    </row>
    <row r="8" spans="1:27" ht="15" customHeight="1" x14ac:dyDescent="0.25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2">
        <v>125933023</v>
      </c>
      <c r="K8" s="364">
        <v>43978</v>
      </c>
      <c r="L8" s="562">
        <v>135087671</v>
      </c>
      <c r="M8" s="364">
        <v>44011</v>
      </c>
      <c r="N8" s="562">
        <v>132493067</v>
      </c>
      <c r="O8" s="611">
        <v>44022</v>
      </c>
      <c r="P8" s="562">
        <v>67917053</v>
      </c>
      <c r="Q8" s="611">
        <v>44071</v>
      </c>
      <c r="R8" s="562">
        <v>137510096</v>
      </c>
      <c r="S8" s="611">
        <v>44102</v>
      </c>
      <c r="T8" s="562">
        <v>116156512</v>
      </c>
      <c r="U8" s="611">
        <v>44131</v>
      </c>
      <c r="V8" s="562">
        <v>122092933</v>
      </c>
      <c r="W8" s="611">
        <v>44161</v>
      </c>
      <c r="X8" s="562">
        <v>119604477</v>
      </c>
      <c r="Y8" s="611">
        <v>44194</v>
      </c>
      <c r="Z8" s="562">
        <v>119143533</v>
      </c>
      <c r="AA8" s="562">
        <f t="shared" si="0"/>
        <v>1332078363</v>
      </c>
    </row>
    <row r="9" spans="1:27" x14ac:dyDescent="0.25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2">
        <v>61183035</v>
      </c>
      <c r="K9" s="364">
        <v>43959</v>
      </c>
      <c r="L9" s="562">
        <v>63288380</v>
      </c>
      <c r="M9" s="364">
        <v>43992</v>
      </c>
      <c r="N9" s="562">
        <v>66946731</v>
      </c>
      <c r="O9" s="611">
        <v>44028</v>
      </c>
      <c r="P9" s="562">
        <v>67917053</v>
      </c>
      <c r="Q9" s="611">
        <v>44053</v>
      </c>
      <c r="R9" s="562">
        <v>5620826</v>
      </c>
      <c r="S9" s="611">
        <v>44084</v>
      </c>
      <c r="T9" s="562">
        <v>64656537</v>
      </c>
      <c r="U9" s="611">
        <v>44113</v>
      </c>
      <c r="V9" s="562">
        <v>5888926</v>
      </c>
      <c r="W9" s="611">
        <v>44145</v>
      </c>
      <c r="X9" s="562">
        <v>5583136</v>
      </c>
      <c r="Y9" s="611">
        <v>44175</v>
      </c>
      <c r="Z9" s="562">
        <v>5672661</v>
      </c>
      <c r="AA9" s="562">
        <f t="shared" si="0"/>
        <v>472764679</v>
      </c>
    </row>
    <row r="10" spans="1:27" x14ac:dyDescent="0.25">
      <c r="A10" s="362"/>
      <c r="B10" s="362"/>
      <c r="C10" s="371"/>
      <c r="D10" s="372"/>
      <c r="E10" s="371"/>
      <c r="F10" s="372"/>
      <c r="G10" s="371"/>
      <c r="H10" s="372"/>
      <c r="I10" s="371"/>
      <c r="J10" s="562"/>
      <c r="K10" s="364"/>
      <c r="L10" s="562"/>
      <c r="M10" s="364"/>
      <c r="N10" s="562"/>
      <c r="O10" s="611"/>
      <c r="P10" s="562"/>
      <c r="Q10" s="611"/>
      <c r="R10" s="562"/>
      <c r="S10" s="611"/>
      <c r="T10" s="562"/>
      <c r="U10" s="611">
        <v>44113</v>
      </c>
      <c r="V10" s="562">
        <v>62399573</v>
      </c>
      <c r="W10" s="611">
        <v>44145</v>
      </c>
      <c r="X10" s="562">
        <v>61658903</v>
      </c>
      <c r="Y10" s="611">
        <v>44175</v>
      </c>
      <c r="Z10" s="562">
        <v>60621282</v>
      </c>
      <c r="AA10" s="562">
        <f t="shared" si="0"/>
        <v>184679758</v>
      </c>
    </row>
    <row r="11" spans="1:27" x14ac:dyDescent="0.25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2">
        <v>7743503</v>
      </c>
      <c r="K11" s="364">
        <v>43992</v>
      </c>
      <c r="L11" s="562">
        <v>7743503</v>
      </c>
      <c r="M11" s="364">
        <v>44022</v>
      </c>
      <c r="N11" s="562">
        <v>9679379</v>
      </c>
      <c r="O11" s="611">
        <v>44053</v>
      </c>
      <c r="P11" s="362"/>
      <c r="Q11" s="611">
        <v>44053</v>
      </c>
      <c r="R11" s="866">
        <f>9729074</f>
        <v>9729074</v>
      </c>
      <c r="S11" s="611">
        <v>44113</v>
      </c>
      <c r="T11" s="562">
        <v>8387132</v>
      </c>
      <c r="U11" s="362"/>
      <c r="V11" s="362"/>
      <c r="W11" s="362"/>
      <c r="X11" s="362"/>
      <c r="Y11" s="362"/>
      <c r="Z11" s="362"/>
      <c r="AA11" s="562">
        <f t="shared" si="0"/>
        <v>64092194</v>
      </c>
    </row>
    <row r="12" spans="1:27" x14ac:dyDescent="0.25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2">
        <v>710738159</v>
      </c>
      <c r="I12" s="371">
        <v>43980</v>
      </c>
      <c r="J12" s="562">
        <v>757752124</v>
      </c>
      <c r="K12" s="364">
        <v>44012</v>
      </c>
      <c r="L12" s="562">
        <v>1131860548</v>
      </c>
      <c r="M12" s="364">
        <v>44042</v>
      </c>
      <c r="N12" s="562">
        <v>594010877</v>
      </c>
      <c r="O12" s="849" t="s">
        <v>5939</v>
      </c>
      <c r="P12" s="849"/>
      <c r="Q12" s="611">
        <v>44102</v>
      </c>
      <c r="R12" s="562">
        <v>325042760</v>
      </c>
      <c r="S12" s="362"/>
      <c r="T12" s="362"/>
      <c r="U12" s="362"/>
      <c r="V12" s="362"/>
      <c r="W12" s="362"/>
      <c r="X12" s="362"/>
      <c r="Y12" s="362"/>
      <c r="Z12" s="362"/>
      <c r="AA12" s="562">
        <f t="shared" si="0"/>
        <v>4156889467</v>
      </c>
    </row>
    <row r="13" spans="1:27" x14ac:dyDescent="0.25">
      <c r="A13" s="362"/>
      <c r="B13" s="362" t="s">
        <v>5355</v>
      </c>
      <c r="C13" s="579">
        <v>43906</v>
      </c>
      <c r="D13" s="673">
        <v>9014816</v>
      </c>
      <c r="E13" s="579"/>
      <c r="F13" s="673"/>
      <c r="G13" s="674"/>
      <c r="H13" s="675"/>
      <c r="I13" s="579"/>
      <c r="J13" s="675"/>
      <c r="K13" s="674"/>
      <c r="L13" s="675"/>
      <c r="M13" s="674"/>
      <c r="N13" s="630"/>
      <c r="O13" s="630"/>
      <c r="P13" s="630"/>
      <c r="Q13" s="630"/>
      <c r="R13" s="630"/>
      <c r="S13" s="630"/>
      <c r="T13" s="630"/>
      <c r="U13" s="630"/>
      <c r="V13" s="630"/>
      <c r="W13" s="630"/>
      <c r="X13" s="630"/>
      <c r="Y13" s="630"/>
      <c r="Z13" s="630"/>
      <c r="AA13" s="562">
        <f t="shared" si="0"/>
        <v>43906</v>
      </c>
    </row>
    <row r="14" spans="1:27" x14ac:dyDescent="0.25">
      <c r="A14" s="362"/>
      <c r="B14" s="362" t="s">
        <v>5356</v>
      </c>
      <c r="C14" s="579">
        <v>44006</v>
      </c>
      <c r="D14" s="673">
        <v>17448704</v>
      </c>
      <c r="E14" s="579"/>
      <c r="F14" s="673"/>
      <c r="G14" s="674"/>
      <c r="H14" s="675"/>
      <c r="I14" s="579"/>
      <c r="J14" s="675"/>
      <c r="K14" s="674"/>
      <c r="L14" s="675"/>
      <c r="M14" s="674"/>
      <c r="N14" s="630"/>
      <c r="O14" s="630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562">
        <f t="shared" si="0"/>
        <v>44006</v>
      </c>
    </row>
    <row r="15" spans="1:27" x14ac:dyDescent="0.25">
      <c r="A15" s="362"/>
      <c r="B15" s="362" t="s">
        <v>5357</v>
      </c>
      <c r="C15" s="579">
        <v>44057</v>
      </c>
      <c r="D15" s="673">
        <v>1885743</v>
      </c>
      <c r="E15" s="579"/>
      <c r="F15" s="673"/>
      <c r="G15" s="674"/>
      <c r="H15" s="675"/>
      <c r="I15" s="579"/>
      <c r="J15" s="675"/>
      <c r="K15" s="674"/>
      <c r="L15" s="675"/>
      <c r="M15" s="674"/>
      <c r="N15" s="630"/>
      <c r="O15" s="630"/>
      <c r="P15" s="630"/>
      <c r="Q15" s="630"/>
      <c r="R15" s="630"/>
      <c r="S15" s="630"/>
      <c r="T15" s="630"/>
      <c r="U15" s="630"/>
      <c r="V15" s="630"/>
      <c r="W15" s="630"/>
      <c r="X15" s="630"/>
      <c r="Y15" s="630"/>
      <c r="Z15" s="630"/>
      <c r="AA15" s="562">
        <f t="shared" si="0"/>
        <v>44057</v>
      </c>
    </row>
    <row r="16" spans="1:27" x14ac:dyDescent="0.25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9">
        <v>550000</v>
      </c>
      <c r="G16" s="371">
        <v>43979</v>
      </c>
      <c r="H16" s="372">
        <v>549999</v>
      </c>
      <c r="I16" s="371">
        <v>43979</v>
      </c>
      <c r="J16" s="562">
        <v>549999</v>
      </c>
      <c r="K16" s="364">
        <v>44014</v>
      </c>
      <c r="L16" s="612">
        <f>J16+K16</f>
        <v>594013</v>
      </c>
      <c r="M16" s="364">
        <v>44036</v>
      </c>
      <c r="N16" s="562">
        <f>368332+368332</f>
        <v>736664</v>
      </c>
      <c r="O16" s="611">
        <v>44071</v>
      </c>
      <c r="P16" s="562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2">
        <f t="shared" si="0"/>
        <v>3761318</v>
      </c>
    </row>
    <row r="17" spans="1:27" x14ac:dyDescent="0.25">
      <c r="A17" s="362"/>
      <c r="B17" s="362"/>
      <c r="C17" s="371">
        <v>43979</v>
      </c>
      <c r="D17" s="372">
        <v>368332</v>
      </c>
      <c r="E17" s="364">
        <v>43979</v>
      </c>
      <c r="F17" s="609">
        <v>368332</v>
      </c>
      <c r="G17" s="371">
        <v>43979</v>
      </c>
      <c r="H17" s="372">
        <v>368332</v>
      </c>
      <c r="I17" s="371">
        <v>43979</v>
      </c>
      <c r="J17" s="562">
        <v>350000</v>
      </c>
      <c r="K17" s="364">
        <v>44014</v>
      </c>
      <c r="L17" s="562">
        <f>K17+J17</f>
        <v>394014</v>
      </c>
      <c r="M17" s="364">
        <v>44062</v>
      </c>
      <c r="N17" s="562">
        <v>1284999</v>
      </c>
      <c r="O17" s="611">
        <v>44085</v>
      </c>
      <c r="P17" s="562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2">
        <f t="shared" si="0"/>
        <v>3159656</v>
      </c>
    </row>
    <row r="18" spans="1:27" x14ac:dyDescent="0.25">
      <c r="A18" s="362"/>
      <c r="B18" s="362"/>
      <c r="C18" s="371">
        <v>43979</v>
      </c>
      <c r="D18" s="372">
        <v>368332</v>
      </c>
      <c r="E18" s="364">
        <v>43979</v>
      </c>
      <c r="F18" s="609">
        <v>368332</v>
      </c>
      <c r="G18" s="371">
        <v>44085</v>
      </c>
      <c r="H18" s="372">
        <v>350000</v>
      </c>
      <c r="I18" s="371">
        <v>44085</v>
      </c>
      <c r="J18" s="562">
        <v>350000</v>
      </c>
      <c r="K18" s="364"/>
      <c r="L18" s="562"/>
      <c r="M18" s="364">
        <v>44085</v>
      </c>
      <c r="N18" s="562">
        <v>350000</v>
      </c>
      <c r="O18" s="611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2">
        <f t="shared" si="0"/>
        <v>1462311</v>
      </c>
    </row>
    <row r="19" spans="1:27" x14ac:dyDescent="0.25">
      <c r="A19" s="362"/>
      <c r="B19" s="362"/>
      <c r="C19" s="371">
        <v>44085</v>
      </c>
      <c r="D19" s="372">
        <v>350000</v>
      </c>
      <c r="E19" s="364"/>
      <c r="F19" s="609"/>
      <c r="G19" s="371">
        <v>44085</v>
      </c>
      <c r="H19" s="562">
        <f>159091+15909</f>
        <v>175000</v>
      </c>
      <c r="I19" s="371"/>
      <c r="J19" s="562"/>
      <c r="K19" s="364"/>
      <c r="L19" s="562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2">
        <f t="shared" si="0"/>
        <v>219085</v>
      </c>
    </row>
    <row r="20" spans="1:27" x14ac:dyDescent="0.25">
      <c r="A20" s="362"/>
      <c r="B20" s="362"/>
      <c r="C20" s="371"/>
      <c r="D20" s="372"/>
      <c r="E20" s="364"/>
      <c r="F20" s="609"/>
      <c r="G20" s="371"/>
      <c r="H20" s="372"/>
      <c r="I20" s="371"/>
      <c r="J20" s="562"/>
      <c r="K20" s="364"/>
      <c r="L20" s="562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2">
        <f t="shared" si="0"/>
        <v>0</v>
      </c>
    </row>
    <row r="21" spans="1:27" x14ac:dyDescent="0.25">
      <c r="A21" s="362"/>
      <c r="B21" s="362"/>
      <c r="C21" s="371"/>
      <c r="D21" s="372"/>
      <c r="E21" s="364"/>
      <c r="F21" s="609"/>
      <c r="G21" s="371"/>
      <c r="H21" s="372"/>
      <c r="I21" s="371"/>
      <c r="J21" s="562"/>
      <c r="K21" s="364"/>
      <c r="L21" s="562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2">
        <f t="shared" si="0"/>
        <v>0</v>
      </c>
    </row>
    <row r="22" spans="1:27" x14ac:dyDescent="0.25">
      <c r="A22" s="362"/>
      <c r="B22" s="362" t="s">
        <v>5943</v>
      </c>
      <c r="C22" s="371"/>
      <c r="D22" s="372"/>
      <c r="E22" s="364"/>
      <c r="F22" s="609"/>
      <c r="G22" s="371"/>
      <c r="H22" s="372"/>
      <c r="I22" s="371"/>
      <c r="J22" s="562"/>
      <c r="K22" s="364"/>
      <c r="L22" s="562"/>
      <c r="M22" s="364"/>
      <c r="N22" s="362"/>
      <c r="O22" s="362"/>
      <c r="P22" s="362"/>
      <c r="Q22" s="362"/>
      <c r="R22" s="362"/>
      <c r="S22" s="611">
        <v>44096</v>
      </c>
      <c r="T22" s="562">
        <v>12075800</v>
      </c>
      <c r="U22" s="611">
        <v>44139</v>
      </c>
      <c r="V22" s="562">
        <f>507000+238300+3893000+2320700</f>
        <v>6959000</v>
      </c>
      <c r="W22" s="611">
        <v>44162</v>
      </c>
      <c r="X22" s="562">
        <f>421000+2375250+3825200</f>
        <v>6621450</v>
      </c>
      <c r="Y22" s="611">
        <v>44188</v>
      </c>
      <c r="Z22" s="562">
        <f>352500+2415100+2475300</f>
        <v>5242900</v>
      </c>
      <c r="AA22" s="562">
        <f t="shared" si="0"/>
        <v>30899150</v>
      </c>
    </row>
    <row r="23" spans="1:27" x14ac:dyDescent="0.25">
      <c r="A23" s="362"/>
      <c r="B23" s="362"/>
      <c r="C23" s="371"/>
      <c r="D23" s="372"/>
      <c r="E23" s="364"/>
      <c r="F23" s="609"/>
      <c r="G23" s="371"/>
      <c r="H23" s="372"/>
      <c r="I23" s="371"/>
      <c r="J23" s="562"/>
      <c r="K23" s="364"/>
      <c r="L23" s="562"/>
      <c r="M23" s="364"/>
      <c r="N23" s="362"/>
      <c r="O23" s="362"/>
      <c r="P23" s="362"/>
      <c r="Q23" s="362"/>
      <c r="R23" s="362"/>
      <c r="S23" s="611"/>
      <c r="T23" s="562"/>
      <c r="U23" s="611"/>
      <c r="V23" s="562"/>
      <c r="W23" s="611">
        <v>44175</v>
      </c>
      <c r="X23" s="562">
        <v>454400</v>
      </c>
      <c r="Y23" s="611">
        <v>44202</v>
      </c>
      <c r="Z23" s="562">
        <v>196100</v>
      </c>
      <c r="AA23" s="562">
        <f t="shared" si="0"/>
        <v>650500</v>
      </c>
    </row>
    <row r="24" spans="1:27" x14ac:dyDescent="0.25">
      <c r="A24" s="362"/>
      <c r="B24" s="362"/>
      <c r="C24" s="371"/>
      <c r="D24" s="372"/>
      <c r="E24" s="364"/>
      <c r="F24" s="609"/>
      <c r="G24" s="371"/>
      <c r="H24" s="372"/>
      <c r="I24" s="371"/>
      <c r="J24" s="562"/>
      <c r="K24" s="364"/>
      <c r="L24" s="562"/>
      <c r="M24" s="364"/>
      <c r="N24" s="362"/>
      <c r="O24" s="362"/>
      <c r="P24" s="362"/>
      <c r="Q24" s="362"/>
      <c r="R24" s="362"/>
      <c r="S24" s="611"/>
      <c r="T24" s="562"/>
      <c r="U24" s="611"/>
      <c r="V24" s="562"/>
      <c r="W24" s="611"/>
      <c r="X24" s="562"/>
      <c r="Y24" s="611">
        <v>44202</v>
      </c>
      <c r="Z24" s="562">
        <v>955225</v>
      </c>
      <c r="AA24" s="562"/>
    </row>
    <row r="25" spans="1:27" x14ac:dyDescent="0.25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2">
        <v>2253300</v>
      </c>
      <c r="K25" s="364">
        <v>43999</v>
      </c>
      <c r="L25" s="562">
        <v>3097100</v>
      </c>
      <c r="M25" s="364">
        <v>44022</v>
      </c>
      <c r="N25" s="562">
        <v>1365900</v>
      </c>
      <c r="O25" s="611">
        <v>44048</v>
      </c>
      <c r="P25" s="562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2">
        <f t="shared" si="0"/>
        <v>19741576</v>
      </c>
    </row>
    <row r="26" spans="1:27" x14ac:dyDescent="0.25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2">
        <v>32580632</v>
      </c>
      <c r="K26" s="364">
        <v>43964</v>
      </c>
      <c r="L26" s="562">
        <v>29543000</v>
      </c>
      <c r="M26" s="364">
        <v>43997</v>
      </c>
      <c r="N26" s="562">
        <v>25903500</v>
      </c>
      <c r="O26" s="611">
        <v>44025</v>
      </c>
      <c r="P26" s="562">
        <v>25365500</v>
      </c>
      <c r="Q26" s="611">
        <v>44067</v>
      </c>
      <c r="R26" s="562">
        <v>23038000</v>
      </c>
      <c r="S26" s="611"/>
      <c r="T26" s="362"/>
      <c r="U26" s="362"/>
      <c r="V26" s="362"/>
      <c r="W26" s="362"/>
      <c r="X26" s="362"/>
      <c r="Y26" s="362"/>
      <c r="Z26" s="362"/>
      <c r="AA26" s="562">
        <f t="shared" si="0"/>
        <v>202583251</v>
      </c>
    </row>
    <row r="27" spans="1:27" x14ac:dyDescent="0.25">
      <c r="A27" s="362"/>
      <c r="B27" s="362"/>
      <c r="C27" s="371"/>
      <c r="D27" s="372"/>
      <c r="E27" s="371"/>
      <c r="F27" s="372"/>
      <c r="G27" s="853"/>
      <c r="H27" s="372"/>
      <c r="I27" s="371"/>
      <c r="J27" s="562"/>
      <c r="K27" s="364"/>
      <c r="L27" s="562"/>
      <c r="M27" s="364"/>
      <c r="N27" s="562"/>
      <c r="O27" s="611"/>
      <c r="P27" s="562"/>
      <c r="Q27" s="611">
        <v>44085</v>
      </c>
      <c r="R27" s="562">
        <f>12787450</f>
        <v>12787450</v>
      </c>
      <c r="S27" s="611"/>
      <c r="T27" s="362"/>
      <c r="U27" s="362"/>
      <c r="V27" s="362"/>
      <c r="W27" s="362"/>
      <c r="X27" s="362"/>
      <c r="Y27" s="362"/>
      <c r="Z27" s="362"/>
      <c r="AA27" s="562">
        <f t="shared" si="0"/>
        <v>12787450</v>
      </c>
    </row>
    <row r="28" spans="1:27" x14ac:dyDescent="0.25">
      <c r="A28" s="362"/>
      <c r="B28" s="362"/>
      <c r="C28" s="371"/>
      <c r="D28" s="372"/>
      <c r="E28" s="371"/>
      <c r="F28" s="372"/>
      <c r="G28" s="853"/>
      <c r="H28" s="372"/>
      <c r="I28" s="371"/>
      <c r="J28" s="562"/>
      <c r="K28" s="364"/>
      <c r="L28" s="562"/>
      <c r="M28" s="364"/>
      <c r="N28" s="562"/>
      <c r="O28" s="611"/>
      <c r="P28" s="562"/>
      <c r="Q28" s="611">
        <v>44090</v>
      </c>
      <c r="R28" s="562">
        <v>4064650</v>
      </c>
      <c r="S28" s="611"/>
      <c r="T28" s="362"/>
      <c r="U28" s="362"/>
      <c r="V28" s="362"/>
      <c r="W28" s="362"/>
      <c r="X28" s="362"/>
      <c r="Y28" s="362"/>
      <c r="Z28" s="362"/>
      <c r="AA28" s="562">
        <f t="shared" si="0"/>
        <v>4064650</v>
      </c>
    </row>
    <row r="29" spans="1:27" x14ac:dyDescent="0.25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2">
        <v>4693000</v>
      </c>
      <c r="K29" s="364">
        <v>43986</v>
      </c>
      <c r="L29" s="562">
        <v>4366050</v>
      </c>
      <c r="M29" s="364">
        <v>44020</v>
      </c>
      <c r="N29" s="562">
        <v>3810750</v>
      </c>
      <c r="O29" s="611">
        <v>44025</v>
      </c>
      <c r="P29" s="562">
        <v>1536000</v>
      </c>
      <c r="Q29" s="611">
        <v>44090</v>
      </c>
      <c r="R29" s="562">
        <v>4064650</v>
      </c>
      <c r="S29" s="611">
        <v>44120</v>
      </c>
      <c r="T29" s="562">
        <v>4079200</v>
      </c>
      <c r="U29" s="611">
        <v>44147</v>
      </c>
      <c r="V29" s="562">
        <v>3476250</v>
      </c>
      <c r="W29" s="611">
        <v>44169</v>
      </c>
      <c r="X29" s="562">
        <v>3772850</v>
      </c>
      <c r="Y29" s="611">
        <v>44200</v>
      </c>
      <c r="Z29" s="562">
        <v>4373550</v>
      </c>
      <c r="AA29" s="562">
        <f t="shared" si="0"/>
        <v>43921475</v>
      </c>
    </row>
    <row r="30" spans="1:27" x14ac:dyDescent="0.25">
      <c r="A30" s="362"/>
      <c r="B30" s="370"/>
      <c r="C30" s="371"/>
      <c r="D30" s="372"/>
      <c r="E30" s="371"/>
      <c r="F30" s="372"/>
      <c r="G30" s="366"/>
      <c r="H30" s="365"/>
      <c r="I30" s="371"/>
      <c r="J30" s="562"/>
      <c r="K30" s="364"/>
      <c r="L30" s="562"/>
      <c r="M30" s="364"/>
      <c r="N30" s="562"/>
      <c r="O30" s="611">
        <v>44055</v>
      </c>
      <c r="P30" s="562">
        <v>3566850</v>
      </c>
      <c r="Q30" s="611"/>
      <c r="R30" s="562"/>
      <c r="S30" s="611"/>
      <c r="T30" s="362"/>
      <c r="U30" s="362"/>
      <c r="V30" s="362"/>
      <c r="W30" s="362"/>
      <c r="X30" s="362"/>
      <c r="Y30" s="362"/>
      <c r="Z30" s="362"/>
      <c r="AA30" s="562">
        <f t="shared" si="0"/>
        <v>3566850</v>
      </c>
    </row>
    <row r="31" spans="1:27" x14ac:dyDescent="0.25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2">
        <v>48740000</v>
      </c>
      <c r="K31" s="364">
        <v>43971</v>
      </c>
      <c r="L31" s="562">
        <v>64365000</v>
      </c>
      <c r="M31" s="364">
        <v>44007</v>
      </c>
      <c r="N31" s="562">
        <v>46238168</v>
      </c>
      <c r="O31" s="611">
        <v>44040</v>
      </c>
      <c r="P31" s="562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2">
        <f t="shared" si="0"/>
        <v>260604111</v>
      </c>
    </row>
    <row r="32" spans="1:27" x14ac:dyDescent="0.25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2"/>
      <c r="K32" s="364"/>
      <c r="L32" s="562"/>
      <c r="M32" s="364">
        <v>44008</v>
      </c>
      <c r="N32" s="562">
        <v>36657984</v>
      </c>
      <c r="O32" s="611">
        <v>44041</v>
      </c>
      <c r="P32" s="562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2">
        <f t="shared" si="0"/>
        <v>171626740</v>
      </c>
    </row>
    <row r="33" spans="1:27" x14ac:dyDescent="0.25">
      <c r="A33" s="370"/>
      <c r="B33" s="370"/>
      <c r="C33" s="371"/>
      <c r="D33" s="372"/>
      <c r="E33" s="371"/>
      <c r="F33" s="372"/>
      <c r="G33" s="371"/>
      <c r="H33" s="372"/>
      <c r="I33" s="371"/>
      <c r="J33" s="562"/>
      <c r="K33" s="364"/>
      <c r="L33" s="562"/>
      <c r="M33" s="364"/>
      <c r="N33" s="562"/>
      <c r="O33" s="611">
        <v>44061</v>
      </c>
      <c r="P33" s="562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2">
        <f t="shared" si="0"/>
        <v>15856837</v>
      </c>
    </row>
    <row r="34" spans="1:27" x14ac:dyDescent="0.25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2">
        <v>37960000</v>
      </c>
      <c r="K34" s="364">
        <v>43971</v>
      </c>
      <c r="L34" s="562">
        <v>37380000</v>
      </c>
      <c r="M34" s="364">
        <v>44006</v>
      </c>
      <c r="N34" s="562">
        <v>10560000</v>
      </c>
      <c r="O34" s="611">
        <v>44039</v>
      </c>
      <c r="P34" s="562">
        <v>10880000</v>
      </c>
      <c r="Q34" s="611">
        <v>44067</v>
      </c>
      <c r="R34" s="562">
        <v>6550000</v>
      </c>
      <c r="S34" s="611">
        <v>44102</v>
      </c>
      <c r="T34" s="562">
        <v>9560000</v>
      </c>
      <c r="U34" s="611">
        <v>44131</v>
      </c>
      <c r="V34" s="562">
        <v>40240000</v>
      </c>
      <c r="W34" s="611">
        <v>44161</v>
      </c>
      <c r="X34" s="562">
        <v>41790000</v>
      </c>
      <c r="Y34" s="362" t="s">
        <v>5977</v>
      </c>
      <c r="Z34" s="562">
        <v>37140000</v>
      </c>
      <c r="AA34" s="562">
        <f t="shared" si="0"/>
        <v>282503853</v>
      </c>
    </row>
    <row r="35" spans="1:27" x14ac:dyDescent="0.25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2"/>
      <c r="K35" s="364"/>
      <c r="L35" s="562"/>
      <c r="M35" s="364">
        <v>44007</v>
      </c>
      <c r="N35" s="562">
        <v>24880000</v>
      </c>
      <c r="O35" s="611">
        <v>44040</v>
      </c>
      <c r="P35" s="562">
        <v>26500000</v>
      </c>
      <c r="Q35" s="611">
        <v>44068</v>
      </c>
      <c r="R35" s="562">
        <f>6550000+6180000+6250000+9250000</f>
        <v>28230000</v>
      </c>
      <c r="S35" s="611">
        <v>44103</v>
      </c>
      <c r="T35" s="562">
        <v>30620000</v>
      </c>
      <c r="U35" s="362"/>
      <c r="V35" s="362"/>
      <c r="W35" s="611"/>
      <c r="X35" s="362"/>
      <c r="Y35" s="362"/>
      <c r="Z35" s="362"/>
      <c r="AA35" s="562">
        <f t="shared" si="0"/>
        <v>123213854</v>
      </c>
    </row>
    <row r="36" spans="1:27" x14ac:dyDescent="0.25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2">
        <v>13490975</v>
      </c>
      <c r="K36" s="364">
        <v>43971</v>
      </c>
      <c r="L36" s="562">
        <v>14621800</v>
      </c>
      <c r="M36" s="364">
        <v>44006</v>
      </c>
      <c r="N36" s="562">
        <v>3259200</v>
      </c>
      <c r="O36" s="611">
        <v>44039</v>
      </c>
      <c r="P36" s="562">
        <v>6438900</v>
      </c>
      <c r="Q36" s="611">
        <v>44067</v>
      </c>
      <c r="R36" s="562">
        <f>3412500+3026400</f>
        <v>6438900</v>
      </c>
      <c r="S36" s="611">
        <v>44102</v>
      </c>
      <c r="T36" s="562">
        <v>8874125</v>
      </c>
      <c r="U36" s="611">
        <v>44131</v>
      </c>
      <c r="V36" s="562">
        <v>17316975</v>
      </c>
      <c r="W36" s="611">
        <v>44162</v>
      </c>
      <c r="X36" s="562">
        <v>15080600</v>
      </c>
      <c r="Y36" s="611" t="s">
        <v>5977</v>
      </c>
      <c r="Z36" s="562">
        <v>13504900</v>
      </c>
      <c r="AA36" s="562">
        <f t="shared" si="0"/>
        <v>110148053</v>
      </c>
    </row>
    <row r="37" spans="1:27" x14ac:dyDescent="0.25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2"/>
      <c r="K37" s="364"/>
      <c r="L37" s="562"/>
      <c r="M37" s="364">
        <v>44007</v>
      </c>
      <c r="N37" s="562">
        <v>10296800</v>
      </c>
      <c r="O37" s="611">
        <v>44040</v>
      </c>
      <c r="P37" s="562">
        <v>8013875</v>
      </c>
      <c r="Q37" s="611">
        <v>44068</v>
      </c>
      <c r="R37" s="562">
        <f>3778125+3168750+649900</f>
        <v>7596775</v>
      </c>
      <c r="S37" s="611">
        <v>44103</v>
      </c>
      <c r="T37" s="562">
        <v>7990400</v>
      </c>
      <c r="U37" s="362"/>
      <c r="V37" s="362"/>
      <c r="W37" s="362"/>
      <c r="X37" s="362"/>
      <c r="Y37" s="362"/>
      <c r="Z37" s="362"/>
      <c r="AA37" s="562">
        <f t="shared" si="0"/>
        <v>45588454</v>
      </c>
    </row>
    <row r="38" spans="1:27" x14ac:dyDescent="0.25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2">
        <f>535000+721875</f>
        <v>1256875</v>
      </c>
      <c r="K38" s="364">
        <v>43971</v>
      </c>
      <c r="L38" s="562">
        <v>4882500</v>
      </c>
      <c r="M38" s="364">
        <v>44007</v>
      </c>
      <c r="N38" s="562">
        <v>11130000</v>
      </c>
      <c r="O38" s="611">
        <v>44039</v>
      </c>
      <c r="P38" s="562">
        <v>8820000</v>
      </c>
      <c r="Q38" s="611">
        <v>44067</v>
      </c>
      <c r="R38" s="562">
        <f>2570000+3020000+3020000</f>
        <v>8610000</v>
      </c>
      <c r="S38" s="611">
        <v>44103</v>
      </c>
      <c r="T38" s="562">
        <v>22394160</v>
      </c>
      <c r="U38" s="611">
        <v>44131</v>
      </c>
      <c r="V38" s="562">
        <v>16520000</v>
      </c>
      <c r="W38" s="611">
        <v>44162</v>
      </c>
      <c r="X38" s="562">
        <v>24046654</v>
      </c>
      <c r="Y38" s="362" t="s">
        <v>5977</v>
      </c>
      <c r="Z38" s="562">
        <v>23756654</v>
      </c>
      <c r="AA38" s="562">
        <f t="shared" si="0"/>
        <v>124281087</v>
      </c>
    </row>
    <row r="39" spans="1:27" x14ac:dyDescent="0.25">
      <c r="A39" s="370"/>
      <c r="B39" s="370"/>
      <c r="C39" s="371"/>
      <c r="D39" s="372"/>
      <c r="E39" s="371"/>
      <c r="F39" s="372"/>
      <c r="G39" s="371"/>
      <c r="H39" s="372"/>
      <c r="I39" s="371"/>
      <c r="J39" s="562"/>
      <c r="K39" s="364">
        <v>43978</v>
      </c>
      <c r="L39" s="562">
        <f>2754000+3459000+2401520</f>
        <v>8614520</v>
      </c>
      <c r="M39" s="364">
        <v>44008</v>
      </c>
      <c r="N39" s="562">
        <v>7630000</v>
      </c>
      <c r="O39" s="611">
        <v>44040</v>
      </c>
      <c r="P39" s="562">
        <v>9975000</v>
      </c>
      <c r="Q39" s="611">
        <v>44068</v>
      </c>
      <c r="R39" s="562">
        <f>2310000+2520000+2520000+2870000+765000</f>
        <v>10985000</v>
      </c>
      <c r="S39" s="362"/>
      <c r="T39" s="562"/>
      <c r="U39" s="362"/>
      <c r="V39" s="362"/>
      <c r="W39" s="362"/>
      <c r="X39" s="362"/>
      <c r="Y39" s="611" t="s">
        <v>6009</v>
      </c>
      <c r="Z39" s="562">
        <v>6054329</v>
      </c>
      <c r="AA39" s="562">
        <f t="shared" si="0"/>
        <v>43258849</v>
      </c>
    </row>
    <row r="40" spans="1:27" x14ac:dyDescent="0.25">
      <c r="A40" s="370"/>
      <c r="B40" s="370"/>
      <c r="C40" s="371"/>
      <c r="D40" s="372"/>
      <c r="E40" s="371"/>
      <c r="F40" s="372"/>
      <c r="G40" s="371"/>
      <c r="H40" s="372"/>
      <c r="I40" s="371"/>
      <c r="J40" s="562"/>
      <c r="K40" s="364">
        <v>43985</v>
      </c>
      <c r="L40" s="562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2">
        <f t="shared" si="0"/>
        <v>0</v>
      </c>
    </row>
    <row r="41" spans="1:27" x14ac:dyDescent="0.25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2"/>
      <c r="K41" s="364">
        <v>43993</v>
      </c>
      <c r="L41" s="562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2">
        <f t="shared" si="0"/>
        <v>13200000</v>
      </c>
    </row>
    <row r="42" spans="1:27" x14ac:dyDescent="0.25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2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2">
        <f t="shared" si="0"/>
        <v>0</v>
      </c>
    </row>
    <row r="43" spans="1:27" x14ac:dyDescent="0.25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2"/>
      <c r="K43" s="364"/>
      <c r="L43" s="562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2">
        <f t="shared" si="0"/>
        <v>0</v>
      </c>
    </row>
    <row r="44" spans="1:27" x14ac:dyDescent="0.25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2">
        <v>11366777</v>
      </c>
      <c r="K44" s="364">
        <v>43971</v>
      </c>
      <c r="L44" s="562">
        <v>10331013</v>
      </c>
      <c r="M44" s="364">
        <v>44007</v>
      </c>
      <c r="N44" s="562">
        <v>2384577</v>
      </c>
      <c r="O44" s="611">
        <v>44039</v>
      </c>
      <c r="P44" s="562">
        <v>4297100</v>
      </c>
      <c r="Q44" s="611">
        <v>44068</v>
      </c>
      <c r="R44" s="562">
        <v>6691377</v>
      </c>
      <c r="S44" s="611">
        <v>44102</v>
      </c>
      <c r="T44" s="562">
        <v>4326200</v>
      </c>
      <c r="U44" s="611">
        <v>44131</v>
      </c>
      <c r="V44" s="562">
        <v>6640433</v>
      </c>
      <c r="W44" s="611">
        <v>44161</v>
      </c>
      <c r="X44" s="562">
        <v>6730177</v>
      </c>
      <c r="Y44" s="362" t="s">
        <v>5977</v>
      </c>
      <c r="Z44" s="562">
        <v>6701077</v>
      </c>
      <c r="AA44" s="562">
        <f t="shared" si="0"/>
        <v>75936144</v>
      </c>
    </row>
    <row r="45" spans="1:27" x14ac:dyDescent="0.25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2"/>
      <c r="K45" s="364"/>
      <c r="L45" s="562"/>
      <c r="M45" s="364">
        <v>44008</v>
      </c>
      <c r="N45" s="562">
        <v>4268000</v>
      </c>
      <c r="O45" s="611">
        <v>44040</v>
      </c>
      <c r="P45" s="562">
        <v>1637032</v>
      </c>
      <c r="Q45" s="362"/>
      <c r="R45" s="362"/>
      <c r="S45" s="611">
        <v>44103</v>
      </c>
      <c r="T45" s="562">
        <v>2403977</v>
      </c>
      <c r="U45" s="362"/>
      <c r="V45" s="362"/>
      <c r="W45" s="362"/>
      <c r="X45" s="362"/>
      <c r="Y45" s="362"/>
      <c r="Z45" s="362"/>
      <c r="AA45" s="562">
        <f t="shared" si="0"/>
        <v>15661190</v>
      </c>
    </row>
    <row r="46" spans="1:27" x14ac:dyDescent="0.25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2"/>
      <c r="K46" s="364"/>
      <c r="L46" s="562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2">
        <f t="shared" si="0"/>
        <v>43853</v>
      </c>
    </row>
    <row r="47" spans="1:27" x14ac:dyDescent="0.25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2"/>
      <c r="K47" s="364"/>
      <c r="L47" s="562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2">
        <f t="shared" si="0"/>
        <v>43857</v>
      </c>
    </row>
    <row r="48" spans="1:27" x14ac:dyDescent="0.25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2"/>
      <c r="K48" s="364"/>
      <c r="L48" s="562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2">
        <f t="shared" si="0"/>
        <v>43865</v>
      </c>
    </row>
    <row r="49" spans="1:27" x14ac:dyDescent="0.25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2"/>
      <c r="K49" s="364"/>
      <c r="L49" s="562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11">
        <v>44201</v>
      </c>
      <c r="Z49" s="562">
        <f>2914080+6305064</f>
        <v>9219144</v>
      </c>
      <c r="AA49" s="562"/>
    </row>
    <row r="50" spans="1:27" x14ac:dyDescent="0.25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2"/>
      <c r="K50" s="364"/>
      <c r="L50" s="562"/>
      <c r="M50" s="364"/>
      <c r="N50" s="362"/>
      <c r="O50" s="362"/>
      <c r="P50" s="362"/>
      <c r="Q50" s="362"/>
      <c r="R50" s="362"/>
      <c r="S50" s="611">
        <v>44102</v>
      </c>
      <c r="T50" s="562">
        <v>13950000</v>
      </c>
      <c r="U50" s="611">
        <v>44131</v>
      </c>
      <c r="V50" s="562">
        <v>62888107</v>
      </c>
      <c r="W50" s="611">
        <v>44165</v>
      </c>
      <c r="X50" s="562">
        <v>95176400</v>
      </c>
      <c r="Y50" s="611">
        <v>44193</v>
      </c>
      <c r="Z50" s="562">
        <f>18271000+16651000+20837500+14454000+15945600</f>
        <v>86159100</v>
      </c>
      <c r="AA50" s="562">
        <f t="shared" si="0"/>
        <v>258173607</v>
      </c>
    </row>
    <row r="51" spans="1:27" x14ac:dyDescent="0.25">
      <c r="A51" s="370"/>
      <c r="B51" s="370"/>
      <c r="C51" s="371"/>
      <c r="D51" s="372"/>
      <c r="E51" s="371"/>
      <c r="F51" s="372"/>
      <c r="G51" s="371"/>
      <c r="H51" s="372"/>
      <c r="I51" s="371"/>
      <c r="J51" s="562"/>
      <c r="K51" s="364"/>
      <c r="L51" s="562"/>
      <c r="M51" s="364"/>
      <c r="N51" s="362"/>
      <c r="O51" s="362"/>
      <c r="P51" s="362"/>
      <c r="Q51" s="362"/>
      <c r="R51" s="362"/>
      <c r="S51" s="611">
        <v>44105</v>
      </c>
      <c r="T51" s="562">
        <v>52800000</v>
      </c>
      <c r="U51" s="611">
        <v>44132</v>
      </c>
      <c r="V51" s="562">
        <v>14585793</v>
      </c>
      <c r="W51" s="362"/>
      <c r="X51" s="362"/>
      <c r="Y51" s="611">
        <v>44223</v>
      </c>
      <c r="Z51" s="562">
        <v>25312150</v>
      </c>
      <c r="AA51" s="562">
        <f t="shared" si="0"/>
        <v>92697943</v>
      </c>
    </row>
    <row r="52" spans="1:27" x14ac:dyDescent="0.25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2">
        <v>27301379</v>
      </c>
      <c r="K52" s="364">
        <v>43997</v>
      </c>
      <c r="L52" s="562">
        <v>8432951</v>
      </c>
      <c r="M52" s="364">
        <v>44025</v>
      </c>
      <c r="N52" s="562">
        <f>300000+4554606</f>
        <v>4854606</v>
      </c>
      <c r="O52" s="611">
        <v>44067</v>
      </c>
      <c r="P52" s="362"/>
      <c r="Q52" s="611">
        <v>44095</v>
      </c>
      <c r="R52" s="562">
        <v>59383944</v>
      </c>
      <c r="S52" s="611">
        <v>44123</v>
      </c>
      <c r="T52" s="562">
        <v>61131858</v>
      </c>
      <c r="U52" s="611">
        <v>44158</v>
      </c>
      <c r="V52" s="562">
        <v>58213858</v>
      </c>
      <c r="W52" s="611">
        <v>44186</v>
      </c>
      <c r="X52" s="562">
        <v>150648577</v>
      </c>
      <c r="Y52" s="611">
        <v>44221</v>
      </c>
      <c r="Z52" s="562">
        <v>186925629</v>
      </c>
      <c r="AA52" s="562">
        <f t="shared" si="0"/>
        <v>664112359</v>
      </c>
    </row>
    <row r="53" spans="1:27" x14ac:dyDescent="0.25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2">
        <v>36304406</v>
      </c>
      <c r="K53" s="364">
        <v>43998</v>
      </c>
      <c r="L53" s="562">
        <v>37763282</v>
      </c>
      <c r="M53" s="364">
        <v>44026</v>
      </c>
      <c r="N53" s="562">
        <f>12673281+6730776+5535031+10356129</f>
        <v>35295217</v>
      </c>
      <c r="O53" s="611">
        <v>44068</v>
      </c>
      <c r="P53" s="362"/>
      <c r="Q53" s="611">
        <v>44096</v>
      </c>
      <c r="R53" s="562">
        <v>42846982</v>
      </c>
      <c r="S53" s="611">
        <v>44124</v>
      </c>
      <c r="T53" s="562">
        <v>58179915</v>
      </c>
      <c r="U53" s="611">
        <v>44159</v>
      </c>
      <c r="V53" s="562">
        <v>72798015</v>
      </c>
      <c r="W53" s="611">
        <v>44187</v>
      </c>
      <c r="X53" s="362"/>
      <c r="Y53" s="362"/>
      <c r="Z53" s="362"/>
      <c r="AA53" s="562">
        <f t="shared" si="0"/>
        <v>425900756</v>
      </c>
    </row>
    <row r="54" spans="1:27" x14ac:dyDescent="0.25">
      <c r="A54" s="370"/>
      <c r="B54" s="370"/>
      <c r="C54" s="371"/>
      <c r="D54" s="372"/>
      <c r="E54" s="371"/>
      <c r="F54" s="372"/>
      <c r="G54" s="371"/>
      <c r="H54" s="372"/>
      <c r="I54" s="371"/>
      <c r="J54" s="562"/>
      <c r="K54" s="364">
        <v>44004</v>
      </c>
      <c r="L54" s="562">
        <f>1555000+6910136+11498111</f>
        <v>19963247</v>
      </c>
      <c r="M54" s="364">
        <v>44032</v>
      </c>
      <c r="N54" s="562">
        <f>2236208+13280603+24308678+10884889</f>
        <v>50710378</v>
      </c>
      <c r="O54" s="611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2">
        <f t="shared" si="0"/>
        <v>70673625</v>
      </c>
    </row>
    <row r="55" spans="1:27" x14ac:dyDescent="0.25">
      <c r="A55" s="370"/>
      <c r="B55" s="370"/>
      <c r="C55" s="371"/>
      <c r="D55" s="372"/>
      <c r="E55" s="371"/>
      <c r="F55" s="372"/>
      <c r="G55" s="371"/>
      <c r="H55" s="372"/>
      <c r="I55" s="371"/>
      <c r="J55" s="562"/>
      <c r="K55" s="364"/>
      <c r="L55" s="562"/>
      <c r="M55" s="364">
        <v>44033</v>
      </c>
      <c r="N55" s="562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2">
        <f t="shared" si="0"/>
        <v>36766178</v>
      </c>
    </row>
    <row r="56" spans="1:27" x14ac:dyDescent="0.25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2">
        <v>750000</v>
      </c>
      <c r="K56" s="364">
        <v>44004</v>
      </c>
      <c r="L56" s="562">
        <v>1590000</v>
      </c>
      <c r="M56" s="364">
        <v>44032</v>
      </c>
      <c r="N56" s="562">
        <v>1330000</v>
      </c>
      <c r="O56" s="852">
        <v>44039</v>
      </c>
      <c r="P56" s="565">
        <v>10880000</v>
      </c>
      <c r="Q56" s="611">
        <v>44095</v>
      </c>
      <c r="R56" s="562">
        <v>1125000</v>
      </c>
      <c r="S56" s="362" t="s">
        <v>5953</v>
      </c>
      <c r="T56" s="562">
        <v>11850000</v>
      </c>
      <c r="U56" s="611">
        <v>44162</v>
      </c>
      <c r="V56" s="562">
        <v>12545000</v>
      </c>
      <c r="W56" s="611">
        <v>44186</v>
      </c>
      <c r="X56" s="562">
        <v>13895000</v>
      </c>
      <c r="Y56" s="362" t="s">
        <v>6010</v>
      </c>
      <c r="Z56" s="562">
        <v>14320000</v>
      </c>
      <c r="AA56" s="562">
        <f t="shared" si="0"/>
        <v>70203881</v>
      </c>
    </row>
    <row r="57" spans="1:27" x14ac:dyDescent="0.25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2">
        <v>9700000</v>
      </c>
      <c r="K57" s="364">
        <v>44005</v>
      </c>
      <c r="L57" s="562">
        <v>13000000</v>
      </c>
      <c r="M57" s="364">
        <v>44033</v>
      </c>
      <c r="N57" s="562">
        <v>12480000</v>
      </c>
      <c r="O57" s="611">
        <v>44067</v>
      </c>
      <c r="P57" s="562">
        <f>375000</f>
        <v>375000</v>
      </c>
      <c r="Q57" s="611">
        <v>44096</v>
      </c>
      <c r="R57" s="562">
        <v>11845000</v>
      </c>
      <c r="S57" s="362"/>
      <c r="T57" s="362"/>
      <c r="U57" s="362"/>
      <c r="V57" s="362"/>
      <c r="W57" s="611">
        <v>44187</v>
      </c>
      <c r="X57" s="362"/>
      <c r="Y57" s="362"/>
      <c r="Z57" s="362"/>
      <c r="AA57" s="562">
        <f t="shared" si="0"/>
        <v>70345000</v>
      </c>
    </row>
    <row r="58" spans="1:27" x14ac:dyDescent="0.25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2">
        <v>3425000</v>
      </c>
      <c r="K58" s="364">
        <v>44039</v>
      </c>
      <c r="L58" s="562">
        <v>7050000</v>
      </c>
      <c r="M58" s="364">
        <v>44039</v>
      </c>
      <c r="N58" s="562">
        <v>15525000</v>
      </c>
      <c r="O58" s="611">
        <v>44068</v>
      </c>
      <c r="P58" s="562">
        <f>1175000+1175000+5790000+3180000</f>
        <v>11320000</v>
      </c>
      <c r="Q58" s="362" t="s">
        <v>5953</v>
      </c>
      <c r="R58" s="562">
        <v>33875000</v>
      </c>
      <c r="S58" s="362" t="s">
        <v>5955</v>
      </c>
      <c r="T58" s="562">
        <v>25550000</v>
      </c>
      <c r="U58" s="362" t="s">
        <v>5975</v>
      </c>
      <c r="V58" s="562">
        <v>31750000</v>
      </c>
      <c r="W58" s="362" t="s">
        <v>5976</v>
      </c>
      <c r="X58" s="562">
        <v>37475000</v>
      </c>
      <c r="Y58" s="362" t="s">
        <v>6010</v>
      </c>
      <c r="Z58" s="562">
        <v>39975000</v>
      </c>
      <c r="AA58" s="562">
        <f t="shared" si="0"/>
        <v>212963969</v>
      </c>
    </row>
    <row r="59" spans="1:27" x14ac:dyDescent="0.25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2">
        <v>3475000</v>
      </c>
      <c r="K59" s="364">
        <v>44040</v>
      </c>
      <c r="L59" s="562">
        <v>7025000</v>
      </c>
      <c r="M59" s="364">
        <v>44040</v>
      </c>
      <c r="N59" s="562">
        <v>18400000</v>
      </c>
      <c r="O59" s="362" t="s">
        <v>5953</v>
      </c>
      <c r="P59" s="562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2">
        <f t="shared" si="0"/>
        <v>63343970</v>
      </c>
    </row>
    <row r="60" spans="1:27" x14ac:dyDescent="0.25">
      <c r="A60" s="370"/>
      <c r="B60" s="370"/>
      <c r="C60" s="579">
        <v>43969</v>
      </c>
      <c r="D60" s="583">
        <v>12575000</v>
      </c>
      <c r="E60" s="584"/>
      <c r="F60" s="584"/>
      <c r="G60" s="584"/>
      <c r="H60" s="585"/>
      <c r="I60" s="533">
        <v>44039</v>
      </c>
      <c r="J60" s="564">
        <v>22475000</v>
      </c>
      <c r="K60" s="591"/>
      <c r="L60" s="564"/>
      <c r="M60" s="591"/>
      <c r="N60" s="532"/>
      <c r="O60" s="630" t="s">
        <v>5956</v>
      </c>
      <c r="P60" s="675">
        <v>86500000</v>
      </c>
      <c r="Q60" s="630"/>
      <c r="R60" s="630"/>
      <c r="S60" s="630"/>
      <c r="T60" s="630"/>
      <c r="U60" s="587" t="s">
        <v>6009</v>
      </c>
      <c r="V60" s="564">
        <v>107600000</v>
      </c>
      <c r="W60" s="532"/>
      <c r="X60" s="532"/>
      <c r="Y60" s="362"/>
      <c r="Z60" s="362"/>
      <c r="AA60" s="562">
        <f t="shared" si="0"/>
        <v>216618969</v>
      </c>
    </row>
    <row r="61" spans="1:27" x14ac:dyDescent="0.25">
      <c r="A61" s="370"/>
      <c r="B61" s="370"/>
      <c r="C61" s="579">
        <v>43970</v>
      </c>
      <c r="D61" s="580">
        <v>23975000</v>
      </c>
      <c r="E61" s="581"/>
      <c r="F61" s="581"/>
      <c r="G61" s="581"/>
      <c r="H61" s="582"/>
      <c r="I61" s="533">
        <v>44040</v>
      </c>
      <c r="J61" s="564">
        <v>19850000</v>
      </c>
      <c r="K61" s="738"/>
      <c r="L61" s="564"/>
      <c r="M61" s="591"/>
      <c r="N61" s="53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2">
        <f t="shared" si="0"/>
        <v>19893970</v>
      </c>
    </row>
    <row r="62" spans="1:27" x14ac:dyDescent="0.25">
      <c r="A62" s="370"/>
      <c r="B62" s="370" t="s">
        <v>5864</v>
      </c>
      <c r="C62" s="733"/>
      <c r="D62" s="734"/>
      <c r="E62" s="734"/>
      <c r="F62" s="734"/>
      <c r="G62" s="734"/>
      <c r="H62" s="734"/>
      <c r="I62" s="371"/>
      <c r="J62" s="562"/>
      <c r="K62" s="364">
        <v>44025</v>
      </c>
      <c r="L62" s="562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2">
        <f t="shared" si="0"/>
        <v>1275000</v>
      </c>
    </row>
    <row r="63" spans="1:27" x14ac:dyDescent="0.25">
      <c r="A63" s="370"/>
      <c r="B63" s="370"/>
      <c r="C63" s="733"/>
      <c r="D63" s="734"/>
      <c r="E63" s="734"/>
      <c r="F63" s="734"/>
      <c r="G63" s="734"/>
      <c r="H63" s="734"/>
      <c r="I63" s="371"/>
      <c r="J63" s="562"/>
      <c r="K63" s="364">
        <v>44026</v>
      </c>
      <c r="L63" s="562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2">
        <f t="shared" si="0"/>
        <v>2682000</v>
      </c>
    </row>
    <row r="64" spans="1:27" x14ac:dyDescent="0.25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2">
        <v>1108825</v>
      </c>
      <c r="I64" s="371">
        <v>44007</v>
      </c>
      <c r="J64" s="562">
        <v>2205909</v>
      </c>
      <c r="K64" s="364">
        <v>44067</v>
      </c>
      <c r="L64" s="562">
        <v>891065</v>
      </c>
      <c r="M64" s="364">
        <v>44095</v>
      </c>
      <c r="N64" s="562">
        <v>1456949</v>
      </c>
      <c r="O64" s="611">
        <v>44109</v>
      </c>
      <c r="P64" s="562">
        <v>8395938</v>
      </c>
      <c r="Q64" s="611">
        <v>44137</v>
      </c>
      <c r="R64" s="562">
        <v>2352686</v>
      </c>
      <c r="S64" s="362" t="s">
        <v>6053</v>
      </c>
      <c r="T64" s="562">
        <f>2916125</f>
        <v>2916125</v>
      </c>
      <c r="U64" s="362" t="s">
        <v>6053</v>
      </c>
      <c r="V64" s="362"/>
      <c r="W64" s="362" t="s">
        <v>6053</v>
      </c>
      <c r="X64" s="562">
        <v>5643112</v>
      </c>
      <c r="Y64" s="362" t="s">
        <v>6053</v>
      </c>
      <c r="Z64" s="562">
        <v>7702037</v>
      </c>
      <c r="AA64" s="562">
        <f t="shared" si="0"/>
        <v>34672692</v>
      </c>
    </row>
    <row r="65" spans="1:27" x14ac:dyDescent="0.25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2">
        <v>2741646</v>
      </c>
      <c r="I65" s="371">
        <v>44008</v>
      </c>
      <c r="J65" s="562">
        <v>571846</v>
      </c>
      <c r="K65" s="364">
        <v>44068</v>
      </c>
      <c r="L65" s="562">
        <v>882563</v>
      </c>
      <c r="M65" s="364">
        <v>44096</v>
      </c>
      <c r="N65" s="562">
        <v>1128135</v>
      </c>
      <c r="O65" s="611">
        <v>44110</v>
      </c>
      <c r="P65" s="562">
        <v>4630937</v>
      </c>
      <c r="Q65" s="611">
        <v>44138</v>
      </c>
      <c r="R65" s="562">
        <v>2009313</v>
      </c>
      <c r="S65" s="362"/>
      <c r="T65" s="362"/>
      <c r="U65" s="362"/>
      <c r="V65" s="362"/>
      <c r="W65" s="362"/>
      <c r="X65" s="362"/>
      <c r="Y65" s="362"/>
      <c r="Z65" s="362"/>
      <c r="AA65" s="562">
        <f t="shared" si="0"/>
        <v>12008354</v>
      </c>
    </row>
    <row r="66" spans="1:27" x14ac:dyDescent="0.25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2">
        <v>34186250</v>
      </c>
      <c r="K66" s="364">
        <v>44067</v>
      </c>
      <c r="L66" s="562">
        <f>5108500+8490500+8586250+6116500</f>
        <v>28301750</v>
      </c>
      <c r="M66" s="364">
        <v>44116</v>
      </c>
      <c r="N66" s="562">
        <v>39172500</v>
      </c>
      <c r="O66" s="611">
        <v>44141</v>
      </c>
      <c r="P66" s="562">
        <v>81553250</v>
      </c>
      <c r="Q66" s="611">
        <v>44161</v>
      </c>
      <c r="R66" s="562">
        <v>57530000</v>
      </c>
      <c r="S66" s="611">
        <v>44210</v>
      </c>
      <c r="T66" s="562">
        <v>71721250</v>
      </c>
      <c r="U66" s="611">
        <v>44223</v>
      </c>
      <c r="V66" s="562">
        <v>95457000</v>
      </c>
      <c r="W66" s="362" t="s">
        <v>6078</v>
      </c>
      <c r="X66" s="562">
        <v>85874000</v>
      </c>
      <c r="Y66" s="362"/>
      <c r="Z66" s="362"/>
      <c r="AA66" s="562">
        <f t="shared" si="0"/>
        <v>574571948</v>
      </c>
    </row>
    <row r="67" spans="1:27" x14ac:dyDescent="0.25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2">
        <v>39111500</v>
      </c>
      <c r="K67" s="364">
        <v>44068</v>
      </c>
      <c r="L67" s="562">
        <f>12847750+9630250+2081000+6577000+4744250+16719000</f>
        <v>52599250</v>
      </c>
      <c r="M67" s="364">
        <v>44117</v>
      </c>
      <c r="N67" s="562">
        <v>44429750</v>
      </c>
      <c r="O67" s="362"/>
      <c r="P67" s="362"/>
      <c r="Q67" s="362"/>
      <c r="R67" s="362"/>
      <c r="S67" s="362"/>
      <c r="T67" s="362"/>
      <c r="U67" s="611">
        <v>44256</v>
      </c>
      <c r="V67" s="562">
        <v>5054250</v>
      </c>
      <c r="W67" s="362"/>
      <c r="X67" s="362"/>
      <c r="Y67" s="362"/>
      <c r="Z67" s="362"/>
      <c r="AA67" s="562">
        <f t="shared" si="0"/>
        <v>194732199</v>
      </c>
    </row>
    <row r="68" spans="1:27" x14ac:dyDescent="0.25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2"/>
      <c r="K68" s="364"/>
      <c r="L68" s="562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2">
        <f t="shared" si="0"/>
        <v>10789500</v>
      </c>
    </row>
    <row r="69" spans="1:27" x14ac:dyDescent="0.25">
      <c r="A69" s="370"/>
      <c r="B69" s="370"/>
      <c r="C69" s="371"/>
      <c r="D69" s="372"/>
      <c r="E69" s="579">
        <v>44116</v>
      </c>
      <c r="F69" s="673">
        <v>10062500</v>
      </c>
      <c r="G69" s="579">
        <v>44117</v>
      </c>
      <c r="H69" s="673">
        <v>13875000</v>
      </c>
      <c r="I69" s="579"/>
      <c r="J69" s="675" t="s">
        <v>5949</v>
      </c>
      <c r="K69" s="591" t="s">
        <v>6078</v>
      </c>
      <c r="L69" s="564">
        <v>55900000</v>
      </c>
      <c r="M69" s="591"/>
      <c r="N69" s="532"/>
      <c r="O69" s="532"/>
      <c r="P69" s="532"/>
      <c r="Q69" s="680">
        <v>44368</v>
      </c>
      <c r="R69" s="675">
        <v>30500000</v>
      </c>
      <c r="S69" s="630"/>
      <c r="T69" s="630"/>
      <c r="U69" s="630"/>
      <c r="V69" s="630"/>
      <c r="W69" s="532"/>
      <c r="X69" s="532"/>
      <c r="Y69" s="532"/>
      <c r="Z69" s="532"/>
      <c r="AA69" s="562" t="e">
        <f t="shared" si="0"/>
        <v>#VALUE!</v>
      </c>
    </row>
    <row r="70" spans="1:27" x14ac:dyDescent="0.25">
      <c r="A70" s="370"/>
      <c r="B70" s="370"/>
      <c r="C70" s="533">
        <v>44007</v>
      </c>
      <c r="D70" s="683">
        <v>38625000</v>
      </c>
      <c r="E70" s="371"/>
      <c r="F70" s="372"/>
      <c r="G70" s="371"/>
      <c r="H70" s="372"/>
      <c r="I70" s="371"/>
      <c r="J70" s="562"/>
      <c r="K70" s="364"/>
      <c r="L70" s="562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2">
        <f t="shared" si="0"/>
        <v>44007</v>
      </c>
    </row>
    <row r="71" spans="1:27" x14ac:dyDescent="0.25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2"/>
      <c r="K71" s="364"/>
      <c r="L71" s="562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11"/>
      <c r="Y71" s="611">
        <v>44210</v>
      </c>
      <c r="Z71" s="562">
        <v>3561160</v>
      </c>
      <c r="AA71" s="562">
        <f t="shared" ref="AA71:AA111" si="1">Z71+X71+V71+T71+R71+P71+N71+L71+J71+H71+F71+C71</f>
        <v>3561160</v>
      </c>
    </row>
    <row r="72" spans="1:27" x14ac:dyDescent="0.25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2">
        <v>2659800</v>
      </c>
      <c r="K72" s="364">
        <v>43997</v>
      </c>
      <c r="L72" s="562">
        <v>2541000</v>
      </c>
      <c r="M72" s="364">
        <v>44039</v>
      </c>
      <c r="N72" s="562">
        <v>2083600</v>
      </c>
      <c r="O72" s="849" t="s">
        <v>5942</v>
      </c>
      <c r="P72" s="849"/>
      <c r="Q72" s="611">
        <v>44096</v>
      </c>
      <c r="R72" s="562">
        <v>1886000</v>
      </c>
      <c r="S72" s="611">
        <v>44123</v>
      </c>
      <c r="T72" s="562">
        <v>19860400</v>
      </c>
      <c r="U72" s="362" t="s">
        <v>5959</v>
      </c>
      <c r="V72" s="562">
        <v>14474310</v>
      </c>
      <c r="W72" s="611">
        <v>44186</v>
      </c>
      <c r="X72" s="562">
        <v>11057418</v>
      </c>
      <c r="Y72" s="611">
        <v>44223</v>
      </c>
      <c r="Z72" s="562">
        <v>8919344</v>
      </c>
      <c r="AA72" s="562">
        <f t="shared" si="1"/>
        <v>66717353</v>
      </c>
    </row>
    <row r="73" spans="1:27" x14ac:dyDescent="0.25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2">
        <v>13130700</v>
      </c>
      <c r="K73" s="364">
        <v>43998</v>
      </c>
      <c r="L73" s="562">
        <v>13636200</v>
      </c>
      <c r="M73" s="364">
        <v>44040</v>
      </c>
      <c r="N73" s="562">
        <v>7479600</v>
      </c>
      <c r="O73" s="362"/>
      <c r="P73" s="362"/>
      <c r="Q73" s="611">
        <v>44095</v>
      </c>
      <c r="R73" s="562">
        <v>651900</v>
      </c>
      <c r="S73" s="611">
        <v>44124</v>
      </c>
      <c r="T73" s="362"/>
      <c r="U73" s="362"/>
      <c r="V73" s="362"/>
      <c r="W73" s="611">
        <v>44187</v>
      </c>
      <c r="X73" s="362"/>
      <c r="Y73" s="362"/>
      <c r="Z73" s="362"/>
      <c r="AA73" s="562">
        <f t="shared" si="1"/>
        <v>52586700</v>
      </c>
    </row>
    <row r="74" spans="1:27" x14ac:dyDescent="0.25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2">
        <v>4269146</v>
      </c>
      <c r="I74" s="371">
        <v>44067</v>
      </c>
      <c r="J74" s="562">
        <f>261982+124778+70414+217973</f>
        <v>675147</v>
      </c>
      <c r="K74" s="364">
        <v>44068</v>
      </c>
      <c r="L74" s="562">
        <f>333949+223668+232470</f>
        <v>790087</v>
      </c>
      <c r="M74" s="364">
        <v>44067</v>
      </c>
      <c r="N74" s="562">
        <v>1435673</v>
      </c>
      <c r="O74" s="611">
        <v>44095</v>
      </c>
      <c r="P74" s="562">
        <v>8668940</v>
      </c>
      <c r="Q74" s="611">
        <v>44095</v>
      </c>
      <c r="R74" s="562">
        <v>6804737</v>
      </c>
      <c r="S74" s="362" t="s">
        <v>5958</v>
      </c>
      <c r="T74" s="562">
        <v>15423650</v>
      </c>
      <c r="U74" s="362" t="s">
        <v>5977</v>
      </c>
      <c r="V74" s="562">
        <v>11868461</v>
      </c>
      <c r="W74" s="362" t="s">
        <v>5977</v>
      </c>
      <c r="X74" s="562">
        <v>10241477</v>
      </c>
      <c r="Y74" s="362" t="s">
        <v>6053</v>
      </c>
      <c r="Z74" s="562">
        <v>12361907</v>
      </c>
      <c r="AA74" s="562">
        <f t="shared" si="1"/>
        <v>77082661</v>
      </c>
    </row>
    <row r="75" spans="1:27" x14ac:dyDescent="0.25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2">
        <v>3062210</v>
      </c>
      <c r="I75" s="371">
        <v>44068</v>
      </c>
      <c r="J75" s="562">
        <f>300813+130991+409023+138239+303402</f>
        <v>1282468</v>
      </c>
      <c r="K75" s="364"/>
      <c r="L75" s="562"/>
      <c r="M75" s="364">
        <v>44068</v>
      </c>
      <c r="N75" s="562">
        <v>1956804</v>
      </c>
      <c r="O75" s="611">
        <v>44096</v>
      </c>
      <c r="P75" s="562">
        <v>10244443</v>
      </c>
      <c r="Q75" s="611">
        <v>44096</v>
      </c>
      <c r="R75" s="562">
        <v>3313413</v>
      </c>
      <c r="S75" s="362"/>
      <c r="T75" s="562"/>
      <c r="U75" s="362"/>
      <c r="V75" s="362"/>
      <c r="W75" s="362"/>
      <c r="X75" s="362"/>
      <c r="Y75" s="362"/>
      <c r="Z75" s="362"/>
      <c r="AA75" s="562">
        <f t="shared" si="1"/>
        <v>26080317</v>
      </c>
    </row>
    <row r="76" spans="1:27" x14ac:dyDescent="0.25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2"/>
      <c r="K76" s="364"/>
      <c r="L76" s="562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2">
        <f t="shared" si="1"/>
        <v>43838</v>
      </c>
    </row>
    <row r="77" spans="1:27" ht="16.5" customHeight="1" x14ac:dyDescent="0.25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2"/>
      <c r="K77" s="364"/>
      <c r="L77" s="562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2">
        <f t="shared" si="1"/>
        <v>43839</v>
      </c>
    </row>
    <row r="78" spans="1:27" x14ac:dyDescent="0.25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2"/>
      <c r="K78" s="364"/>
      <c r="L78" s="562"/>
      <c r="M78" s="364">
        <v>44025</v>
      </c>
      <c r="N78" s="562">
        <f>500000+1500000+500000+3500000+500000</f>
        <v>6500000</v>
      </c>
      <c r="O78" s="611">
        <v>44067</v>
      </c>
      <c r="P78" s="562">
        <v>13500000</v>
      </c>
      <c r="Q78" s="611">
        <v>44095</v>
      </c>
      <c r="R78" s="562">
        <v>13000000</v>
      </c>
      <c r="S78" s="611">
        <v>44123</v>
      </c>
      <c r="T78" s="562">
        <v>34700000</v>
      </c>
      <c r="U78" s="611">
        <v>44158</v>
      </c>
      <c r="V78" s="562">
        <v>20200000</v>
      </c>
      <c r="W78" s="611">
        <v>44186</v>
      </c>
      <c r="X78" s="562">
        <v>25300000</v>
      </c>
      <c r="Y78" s="611">
        <v>44214</v>
      </c>
      <c r="Z78" s="562">
        <v>34920000</v>
      </c>
      <c r="AA78" s="562">
        <f t="shared" si="1"/>
        <v>156413913</v>
      </c>
    </row>
    <row r="79" spans="1:27" x14ac:dyDescent="0.25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2"/>
      <c r="K79" s="364"/>
      <c r="L79" s="562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2">
        <f t="shared" si="1"/>
        <v>2200000</v>
      </c>
    </row>
    <row r="80" spans="1:27" x14ac:dyDescent="0.25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2">
        <v>2800000</v>
      </c>
      <c r="K80" s="364"/>
      <c r="L80" s="562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2">
        <f t="shared" si="1"/>
        <v>9450000</v>
      </c>
    </row>
    <row r="81" spans="1:27" x14ac:dyDescent="0.25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2"/>
      <c r="K81" s="364"/>
      <c r="L81" s="562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2">
        <f t="shared" si="1"/>
        <v>10200000</v>
      </c>
    </row>
    <row r="82" spans="1:27" x14ac:dyDescent="0.25">
      <c r="A82" s="370"/>
      <c r="B82" s="370"/>
      <c r="C82" s="371"/>
      <c r="D82" s="372"/>
      <c r="E82" s="1653">
        <v>2500000</v>
      </c>
      <c r="F82" s="1654"/>
      <c r="G82" s="1654"/>
      <c r="H82" s="1654"/>
      <c r="I82" s="1654"/>
      <c r="J82" s="1655"/>
      <c r="K82" s="364"/>
      <c r="L82" s="562"/>
      <c r="M82" s="674">
        <v>44095</v>
      </c>
      <c r="N82" s="675">
        <v>9000000</v>
      </c>
      <c r="O82" s="630"/>
      <c r="P82" s="630"/>
      <c r="Q82" s="630"/>
      <c r="R82" s="362"/>
      <c r="S82" s="362"/>
      <c r="T82" s="362"/>
      <c r="U82" s="362"/>
      <c r="V82" s="362"/>
      <c r="W82" s="362"/>
      <c r="X82" s="362"/>
      <c r="Y82" s="362"/>
      <c r="Z82" s="362"/>
      <c r="AA82" s="562">
        <f t="shared" si="1"/>
        <v>9000000</v>
      </c>
    </row>
    <row r="83" spans="1:27" x14ac:dyDescent="0.25">
      <c r="A83" s="370"/>
      <c r="B83" s="370"/>
      <c r="C83" s="371"/>
      <c r="D83" s="372"/>
      <c r="E83" s="671"/>
      <c r="F83" s="671"/>
      <c r="G83" s="672">
        <v>43997</v>
      </c>
      <c r="H83" s="671">
        <v>800000</v>
      </c>
      <c r="I83" s="672">
        <v>43997</v>
      </c>
      <c r="J83" s="671">
        <v>1800000</v>
      </c>
      <c r="K83" s="364">
        <v>43997</v>
      </c>
      <c r="L83" s="562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2">
        <f t="shared" si="1"/>
        <v>3600000</v>
      </c>
    </row>
    <row r="84" spans="1:27" x14ac:dyDescent="0.25">
      <c r="A84" s="370"/>
      <c r="B84" s="370"/>
      <c r="C84" s="727"/>
      <c r="D84" s="728"/>
      <c r="E84" s="729"/>
      <c r="F84" s="729"/>
      <c r="G84" s="730"/>
      <c r="H84" s="729"/>
      <c r="I84" s="730"/>
      <c r="J84" s="729"/>
      <c r="K84" s="731"/>
      <c r="L84" s="732"/>
      <c r="M84" s="731">
        <v>44025</v>
      </c>
      <c r="N84" s="732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2">
        <f t="shared" si="1"/>
        <v>3200000</v>
      </c>
    </row>
    <row r="85" spans="1:27" s="567" customFormat="1" x14ac:dyDescent="0.25">
      <c r="A85" s="370"/>
      <c r="B85" s="370" t="s">
        <v>5952</v>
      </c>
      <c r="C85" s="733"/>
      <c r="D85" s="609"/>
      <c r="E85" s="671"/>
      <c r="F85" s="671"/>
      <c r="G85" s="672"/>
      <c r="H85" s="671"/>
      <c r="I85" s="672"/>
      <c r="J85" s="671"/>
      <c r="K85" s="568"/>
      <c r="L85" s="565"/>
      <c r="M85" s="674">
        <v>44123</v>
      </c>
      <c r="N85" s="675">
        <v>7500000</v>
      </c>
      <c r="O85" s="630" t="s">
        <v>5954</v>
      </c>
      <c r="P85" s="630"/>
      <c r="Q85" s="630"/>
      <c r="R85" s="630"/>
      <c r="S85" s="370"/>
      <c r="T85" s="370"/>
      <c r="U85" s="370"/>
      <c r="V85" s="370"/>
      <c r="W85" s="370"/>
      <c r="X85" s="370"/>
      <c r="Y85" s="370"/>
      <c r="Z85" s="370"/>
      <c r="AA85" s="562">
        <f t="shared" si="1"/>
        <v>7500000</v>
      </c>
    </row>
    <row r="86" spans="1:27" x14ac:dyDescent="0.25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2"/>
      <c r="K86" s="364"/>
      <c r="L86" s="562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11">
        <v>44210</v>
      </c>
      <c r="X86" s="562">
        <v>679000</v>
      </c>
      <c r="Y86" s="611">
        <v>44292</v>
      </c>
      <c r="Z86" s="562">
        <v>250000</v>
      </c>
      <c r="AA86" s="562">
        <f t="shared" si="1"/>
        <v>929000</v>
      </c>
    </row>
    <row r="87" spans="1:27" x14ac:dyDescent="0.25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2">
        <v>5900000</v>
      </c>
      <c r="K87" s="364">
        <v>43962</v>
      </c>
      <c r="L87" s="562">
        <v>5900000</v>
      </c>
      <c r="M87" s="364">
        <v>43992</v>
      </c>
      <c r="N87" s="562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2">
        <f t="shared" si="1"/>
        <v>29243840</v>
      </c>
    </row>
    <row r="88" spans="1:27" x14ac:dyDescent="0.25">
      <c r="A88" s="370"/>
      <c r="B88" s="362" t="s">
        <v>5957</v>
      </c>
      <c r="C88" s="533" t="s">
        <v>5863</v>
      </c>
      <c r="D88" s="532"/>
      <c r="E88" s="371">
        <v>43889</v>
      </c>
      <c r="F88" s="372">
        <v>1786867</v>
      </c>
      <c r="G88" s="533" t="s">
        <v>5863</v>
      </c>
      <c r="H88" s="683"/>
      <c r="I88" s="579">
        <v>44056</v>
      </c>
      <c r="J88" s="675">
        <v>4989105</v>
      </c>
      <c r="K88" s="674"/>
      <c r="L88" s="675"/>
      <c r="M88" s="674"/>
      <c r="N88" s="630"/>
      <c r="O88" s="630"/>
      <c r="P88" s="362"/>
      <c r="Q88" s="680">
        <v>44120</v>
      </c>
      <c r="R88" s="675">
        <v>2988565</v>
      </c>
      <c r="S88" s="630"/>
      <c r="T88" s="630"/>
      <c r="U88" s="680">
        <v>44148</v>
      </c>
      <c r="V88" s="675">
        <v>1059234</v>
      </c>
      <c r="W88" s="587">
        <v>44182</v>
      </c>
      <c r="X88" s="564">
        <v>859444</v>
      </c>
      <c r="Y88" s="611">
        <v>44218</v>
      </c>
      <c r="Z88" s="562">
        <v>1615959</v>
      </c>
      <c r="AA88" s="562" t="e">
        <f t="shared" si="1"/>
        <v>#VALUE!</v>
      </c>
    </row>
    <row r="89" spans="1:27" x14ac:dyDescent="0.25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2">
        <v>1650000</v>
      </c>
      <c r="K89" s="364">
        <v>43966</v>
      </c>
      <c r="L89" s="562">
        <v>1650000</v>
      </c>
      <c r="M89" s="364">
        <v>43997</v>
      </c>
      <c r="N89" s="562">
        <v>1650000</v>
      </c>
      <c r="O89" s="611">
        <v>44027</v>
      </c>
      <c r="P89" s="562">
        <v>1650000</v>
      </c>
      <c r="Q89" s="611">
        <v>44057</v>
      </c>
      <c r="R89" s="562">
        <v>1650000</v>
      </c>
      <c r="S89" s="611">
        <v>44089</v>
      </c>
      <c r="T89" s="562">
        <v>1650000</v>
      </c>
      <c r="U89" s="611">
        <v>44119</v>
      </c>
      <c r="V89" s="562">
        <v>1650000</v>
      </c>
      <c r="W89" s="611">
        <v>44148</v>
      </c>
      <c r="X89" s="562">
        <v>1650000</v>
      </c>
      <c r="Y89" s="611">
        <v>44180</v>
      </c>
      <c r="Z89" s="562">
        <v>1950000</v>
      </c>
      <c r="AA89" s="562">
        <f t="shared" si="1"/>
        <v>18497843</v>
      </c>
    </row>
    <row r="90" spans="1:27" x14ac:dyDescent="0.25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2"/>
      <c r="K90" s="364"/>
      <c r="L90" s="562"/>
      <c r="M90" s="362"/>
      <c r="N90" s="362"/>
      <c r="O90" s="364"/>
      <c r="P90" s="562"/>
      <c r="Q90" s="611">
        <v>44061</v>
      </c>
      <c r="R90" s="562">
        <v>1656000</v>
      </c>
      <c r="S90" s="611">
        <v>44091</v>
      </c>
      <c r="T90" s="562">
        <v>1656000</v>
      </c>
      <c r="U90" s="611">
        <v>44123</v>
      </c>
      <c r="V90" s="562">
        <v>1656000</v>
      </c>
      <c r="W90" s="611">
        <v>44154</v>
      </c>
      <c r="X90" s="562">
        <v>1656000</v>
      </c>
      <c r="Y90" s="611">
        <v>44182</v>
      </c>
      <c r="Z90" s="362">
        <v>1656000</v>
      </c>
      <c r="AA90" s="562">
        <f t="shared" si="1"/>
        <v>8280000</v>
      </c>
    </row>
    <row r="91" spans="1:27" x14ac:dyDescent="0.25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2">
        <v>2442346</v>
      </c>
      <c r="I91" s="371">
        <v>43964</v>
      </c>
      <c r="J91" s="562">
        <v>2433834</v>
      </c>
      <c r="K91" s="364">
        <v>43999</v>
      </c>
      <c r="L91" s="562">
        <v>2957723</v>
      </c>
      <c r="M91" s="364">
        <v>44028</v>
      </c>
      <c r="N91" s="562">
        <v>3121440</v>
      </c>
      <c r="O91" s="611">
        <v>44062</v>
      </c>
      <c r="P91" s="562">
        <v>3303169</v>
      </c>
      <c r="Q91" s="854">
        <v>44097</v>
      </c>
      <c r="R91" s="465">
        <v>2520579</v>
      </c>
      <c r="S91" s="611">
        <v>44127</v>
      </c>
      <c r="T91" s="562">
        <v>2136341</v>
      </c>
      <c r="U91" s="611">
        <v>44148</v>
      </c>
      <c r="V91" s="562">
        <v>2405700</v>
      </c>
      <c r="W91" s="611">
        <v>44183</v>
      </c>
      <c r="X91" s="562">
        <v>2254651</v>
      </c>
      <c r="Y91" s="611">
        <v>44216</v>
      </c>
      <c r="Z91" s="562">
        <v>2804248</v>
      </c>
      <c r="AA91" s="562">
        <f t="shared" si="1"/>
        <v>28671911</v>
      </c>
    </row>
    <row r="92" spans="1:27" x14ac:dyDescent="0.25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2">
        <v>35000000</v>
      </c>
      <c r="K92" s="364">
        <v>43977</v>
      </c>
      <c r="L92" s="562">
        <v>35000000</v>
      </c>
      <c r="M92" s="364">
        <v>44011</v>
      </c>
      <c r="N92" s="562">
        <v>35000000</v>
      </c>
      <c r="O92" s="611">
        <v>44039</v>
      </c>
      <c r="P92" s="562">
        <v>35000000</v>
      </c>
      <c r="Q92" s="611">
        <v>44071</v>
      </c>
      <c r="R92" s="562">
        <v>35000000</v>
      </c>
      <c r="S92" s="611">
        <v>44105</v>
      </c>
      <c r="T92" s="562">
        <v>35000000</v>
      </c>
      <c r="U92" s="611">
        <v>44131</v>
      </c>
      <c r="V92" s="562">
        <v>35000000</v>
      </c>
      <c r="W92" s="611">
        <v>44162</v>
      </c>
      <c r="X92" s="562">
        <v>35000000</v>
      </c>
      <c r="Y92" s="611">
        <v>44195</v>
      </c>
      <c r="Z92" s="562">
        <v>35000000</v>
      </c>
      <c r="AA92" s="562">
        <f t="shared" si="1"/>
        <v>385043860</v>
      </c>
    </row>
    <row r="93" spans="1:27" x14ac:dyDescent="0.25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2"/>
      <c r="K93" s="364"/>
      <c r="L93" s="562"/>
      <c r="M93" s="364"/>
      <c r="N93" s="562"/>
      <c r="O93" s="611">
        <v>44029</v>
      </c>
      <c r="P93" s="562">
        <v>7265169</v>
      </c>
      <c r="Q93" s="611">
        <v>44061</v>
      </c>
      <c r="R93" s="562">
        <v>7306370</v>
      </c>
      <c r="S93" s="611">
        <v>44091</v>
      </c>
      <c r="T93" s="562">
        <v>6347819</v>
      </c>
      <c r="U93" s="611">
        <v>44123</v>
      </c>
      <c r="V93" s="562">
        <v>7458667</v>
      </c>
      <c r="W93" s="611">
        <v>44153</v>
      </c>
      <c r="X93" s="562">
        <v>8112984</v>
      </c>
      <c r="Y93" s="611">
        <v>44182</v>
      </c>
      <c r="Z93" s="562">
        <v>8058585</v>
      </c>
      <c r="AA93" s="562">
        <f t="shared" si="1"/>
        <v>44549594</v>
      </c>
    </row>
    <row r="94" spans="1:27" x14ac:dyDescent="0.25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2"/>
      <c r="K94" s="364"/>
      <c r="L94" s="562"/>
      <c r="M94" s="362"/>
      <c r="N94" s="362"/>
      <c r="O94" s="364">
        <v>44033</v>
      </c>
      <c r="P94" s="562">
        <v>9604313</v>
      </c>
      <c r="Q94" s="611">
        <v>44061</v>
      </c>
      <c r="R94" s="562">
        <v>7181721</v>
      </c>
      <c r="S94" s="611">
        <v>44091</v>
      </c>
      <c r="T94" s="562">
        <v>7217691</v>
      </c>
      <c r="U94" s="611">
        <v>44123</v>
      </c>
      <c r="V94" s="562">
        <v>7569768</v>
      </c>
      <c r="W94" s="611">
        <v>44153</v>
      </c>
      <c r="X94" s="562">
        <v>7731859</v>
      </c>
      <c r="Y94" s="611">
        <v>44182</v>
      </c>
      <c r="Z94" s="562">
        <v>7131417</v>
      </c>
      <c r="AA94" s="562">
        <f t="shared" si="1"/>
        <v>46436769</v>
      </c>
    </row>
    <row r="95" spans="1:27" x14ac:dyDescent="0.25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2"/>
      <c r="K95" s="364"/>
      <c r="L95" s="562"/>
      <c r="M95" s="611">
        <v>44033</v>
      </c>
      <c r="N95" s="562">
        <v>1502640</v>
      </c>
      <c r="O95" s="611">
        <v>44091</v>
      </c>
      <c r="P95" s="562">
        <v>1466556</v>
      </c>
      <c r="Q95" s="611">
        <v>44123</v>
      </c>
      <c r="R95" s="562">
        <v>677077</v>
      </c>
      <c r="S95" s="611">
        <v>44160</v>
      </c>
      <c r="T95" s="562">
        <v>940959</v>
      </c>
      <c r="U95" s="611">
        <v>44182</v>
      </c>
      <c r="V95" s="562">
        <v>890970</v>
      </c>
      <c r="W95" s="611">
        <v>44217</v>
      </c>
      <c r="X95" s="562">
        <v>996457</v>
      </c>
      <c r="Y95" s="611">
        <v>44218</v>
      </c>
      <c r="Z95" s="562">
        <v>947218</v>
      </c>
      <c r="AA95" s="562">
        <f t="shared" si="1"/>
        <v>7421877</v>
      </c>
    </row>
    <row r="96" spans="1:27" x14ac:dyDescent="0.25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2"/>
      <c r="K96" s="364"/>
      <c r="L96" s="562"/>
      <c r="M96" s="364">
        <v>44035</v>
      </c>
      <c r="N96" s="562"/>
      <c r="O96" s="611">
        <v>44083</v>
      </c>
      <c r="P96" s="562">
        <v>1286328</v>
      </c>
      <c r="Q96" s="611">
        <v>44091</v>
      </c>
      <c r="R96" s="562">
        <v>1274410</v>
      </c>
      <c r="S96" s="611">
        <v>44127</v>
      </c>
      <c r="T96" s="562">
        <v>1236681</v>
      </c>
      <c r="U96" s="611">
        <v>44160</v>
      </c>
      <c r="V96" s="562">
        <v>1457827</v>
      </c>
      <c r="W96" s="611">
        <v>44188</v>
      </c>
      <c r="X96" s="562">
        <v>1632063</v>
      </c>
      <c r="Y96" s="611">
        <v>44217</v>
      </c>
      <c r="Z96" s="562">
        <v>1106108</v>
      </c>
      <c r="AA96" s="562">
        <f t="shared" si="1"/>
        <v>7993417</v>
      </c>
    </row>
    <row r="97" spans="1:27" x14ac:dyDescent="0.25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2"/>
      <c r="K97" s="364"/>
      <c r="L97" s="562"/>
      <c r="M97" s="362"/>
      <c r="N97" s="362"/>
      <c r="O97" s="364">
        <v>44033</v>
      </c>
      <c r="P97" s="562">
        <v>3575850</v>
      </c>
      <c r="Q97" s="611">
        <v>44061</v>
      </c>
      <c r="R97" s="562">
        <v>3635350</v>
      </c>
      <c r="S97" s="611">
        <v>44091</v>
      </c>
      <c r="T97" s="562">
        <v>3605600</v>
      </c>
      <c r="U97" s="611">
        <v>44123</v>
      </c>
      <c r="V97" s="562">
        <v>3685800</v>
      </c>
      <c r="W97" s="611">
        <v>44160</v>
      </c>
      <c r="X97" s="562">
        <v>3569900</v>
      </c>
      <c r="Y97" s="611">
        <v>44188</v>
      </c>
      <c r="Z97" s="562">
        <v>3768600</v>
      </c>
      <c r="AA97" s="562">
        <f t="shared" si="1"/>
        <v>21841100</v>
      </c>
    </row>
    <row r="98" spans="1:27" x14ac:dyDescent="0.25">
      <c r="A98" s="370"/>
      <c r="B98" s="362" t="s">
        <v>3131</v>
      </c>
      <c r="C98" s="364">
        <v>44070</v>
      </c>
      <c r="D98" s="562">
        <v>400000000</v>
      </c>
      <c r="E98" s="611">
        <v>44144</v>
      </c>
      <c r="F98" s="562">
        <v>400000000</v>
      </c>
      <c r="G98" s="371">
        <v>44208</v>
      </c>
      <c r="H98" s="372">
        <v>200000000</v>
      </c>
      <c r="I98" s="371">
        <v>44284</v>
      </c>
      <c r="J98" s="562">
        <v>400000000</v>
      </c>
      <c r="K98" s="364">
        <v>44333</v>
      </c>
      <c r="L98" s="562">
        <v>200000000</v>
      </c>
      <c r="M98" s="364">
        <v>44335</v>
      </c>
      <c r="N98" s="562">
        <v>200000000</v>
      </c>
      <c r="O98" s="611">
        <v>44337</v>
      </c>
      <c r="P98" s="562">
        <v>200000000</v>
      </c>
      <c r="Q98" s="611">
        <v>44341</v>
      </c>
      <c r="R98" s="562">
        <v>200000000</v>
      </c>
      <c r="S98" s="611">
        <v>44344</v>
      </c>
      <c r="T98" s="562">
        <v>200000000</v>
      </c>
      <c r="U98" s="611">
        <v>44349</v>
      </c>
      <c r="V98" s="562">
        <v>200000000</v>
      </c>
      <c r="W98" s="611">
        <v>44356</v>
      </c>
      <c r="X98" s="562">
        <v>200000000</v>
      </c>
      <c r="Y98" s="611">
        <v>44358</v>
      </c>
      <c r="Z98" s="562">
        <v>200000000</v>
      </c>
      <c r="AA98" s="562">
        <f t="shared" si="1"/>
        <v>2600044070</v>
      </c>
    </row>
    <row r="99" spans="1:27" x14ac:dyDescent="0.25">
      <c r="A99" s="370"/>
      <c r="B99" s="362"/>
      <c r="C99" s="364">
        <v>44071</v>
      </c>
      <c r="D99" s="562">
        <v>64038919</v>
      </c>
      <c r="E99" s="611">
        <v>44145</v>
      </c>
      <c r="F99" s="562">
        <v>69169894</v>
      </c>
      <c r="G99" s="371">
        <v>44209</v>
      </c>
      <c r="H99" s="372">
        <v>239696423</v>
      </c>
      <c r="I99" s="371">
        <v>44285</v>
      </c>
      <c r="J99" s="562">
        <v>138666850</v>
      </c>
      <c r="K99" s="364">
        <v>44334</v>
      </c>
      <c r="L99" s="562">
        <v>201634768</v>
      </c>
      <c r="M99" s="364">
        <v>44336</v>
      </c>
      <c r="N99" s="562">
        <v>211419459</v>
      </c>
      <c r="O99" s="611">
        <v>44340</v>
      </c>
      <c r="P99" s="562">
        <v>305574537</v>
      </c>
      <c r="Q99" s="611">
        <v>44343</v>
      </c>
      <c r="R99" s="562">
        <v>225008135</v>
      </c>
      <c r="S99" s="611">
        <v>44347</v>
      </c>
      <c r="T99" s="562">
        <v>211968542</v>
      </c>
      <c r="U99" s="611">
        <v>44350</v>
      </c>
      <c r="V99" s="562">
        <v>298014347</v>
      </c>
      <c r="W99" s="611">
        <v>44357</v>
      </c>
      <c r="X99" s="562">
        <v>223859353</v>
      </c>
      <c r="Y99" s="611">
        <v>44361</v>
      </c>
      <c r="Z99" s="562">
        <v>310944619</v>
      </c>
      <c r="AA99" s="562">
        <f t="shared" si="1"/>
        <v>2436000998</v>
      </c>
    </row>
    <row r="100" spans="1:27" x14ac:dyDescent="0.25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2">
        <v>7161500</v>
      </c>
      <c r="K100" s="364">
        <v>43978</v>
      </c>
      <c r="L100" s="562">
        <v>4963333</v>
      </c>
      <c r="M100" s="364"/>
      <c r="N100" s="362"/>
      <c r="O100" s="611">
        <v>44040</v>
      </c>
      <c r="P100" s="562">
        <v>4095000</v>
      </c>
      <c r="Q100" s="362"/>
      <c r="R100" s="362"/>
      <c r="S100" s="611">
        <v>44103</v>
      </c>
      <c r="T100" s="562">
        <v>3681000</v>
      </c>
      <c r="U100" s="611">
        <v>44131</v>
      </c>
      <c r="V100" s="562">
        <v>3070000</v>
      </c>
      <c r="W100" s="611">
        <v>44161</v>
      </c>
      <c r="X100" s="562">
        <v>3130000</v>
      </c>
      <c r="Y100" s="362"/>
      <c r="Z100" s="362"/>
      <c r="AA100" s="562">
        <f t="shared" si="1"/>
        <v>40232525</v>
      </c>
    </row>
    <row r="101" spans="1:27" x14ac:dyDescent="0.25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2">
        <v>4903333</v>
      </c>
      <c r="K101" s="364"/>
      <c r="L101" s="562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2" t="e">
        <f t="shared" si="1"/>
        <v>#VALUE!</v>
      </c>
    </row>
    <row r="102" spans="1:27" x14ac:dyDescent="0.25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2"/>
      <c r="K102" s="364"/>
      <c r="L102" s="562"/>
      <c r="M102" s="364">
        <v>44008</v>
      </c>
      <c r="N102" s="562">
        <v>1649800</v>
      </c>
      <c r="O102" s="611">
        <v>44039</v>
      </c>
      <c r="P102" s="562">
        <v>3850000</v>
      </c>
      <c r="Q102" s="362"/>
      <c r="R102" s="362"/>
      <c r="S102" s="362"/>
      <c r="T102" s="362"/>
      <c r="U102" s="611">
        <v>44130</v>
      </c>
      <c r="V102" s="562">
        <f>1848000+1520400</f>
        <v>3368400</v>
      </c>
      <c r="W102" s="611">
        <v>44161</v>
      </c>
      <c r="X102" s="562">
        <v>1718880</v>
      </c>
      <c r="Y102" s="362"/>
      <c r="Z102" s="362"/>
      <c r="AA102" s="562">
        <f t="shared" si="1"/>
        <v>18734030</v>
      </c>
    </row>
    <row r="103" spans="1:27" x14ac:dyDescent="0.25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2">
        <v>3674362</v>
      </c>
      <c r="K103" s="364"/>
      <c r="L103" s="562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2">
        <f t="shared" si="1"/>
        <v>15513082</v>
      </c>
    </row>
    <row r="104" spans="1:27" x14ac:dyDescent="0.25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2">
        <v>200000</v>
      </c>
      <c r="I104" s="371">
        <v>43928</v>
      </c>
      <c r="J104" s="562">
        <v>300000</v>
      </c>
      <c r="K104" s="364">
        <v>43966</v>
      </c>
      <c r="L104" s="562">
        <v>300000</v>
      </c>
      <c r="M104" s="364">
        <v>43988</v>
      </c>
      <c r="N104" s="562">
        <v>300000</v>
      </c>
      <c r="O104" s="611">
        <v>44015</v>
      </c>
      <c r="P104" s="562">
        <v>300000</v>
      </c>
      <c r="Q104" s="611">
        <v>44055</v>
      </c>
      <c r="R104" s="562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2">
        <f t="shared" si="1"/>
        <v>1600000</v>
      </c>
    </row>
    <row r="105" spans="1:27" x14ac:dyDescent="0.25">
      <c r="A105" s="362"/>
      <c r="B105" s="362"/>
      <c r="C105" s="371"/>
      <c r="D105" s="362"/>
      <c r="E105" s="362"/>
      <c r="F105" s="362"/>
      <c r="G105" s="371"/>
      <c r="H105" s="562"/>
      <c r="I105" s="371">
        <v>43929</v>
      </c>
      <c r="J105" s="562">
        <v>200000</v>
      </c>
      <c r="K105" s="364">
        <v>43966</v>
      </c>
      <c r="L105" s="562">
        <v>200000</v>
      </c>
      <c r="M105" s="364">
        <v>43994</v>
      </c>
      <c r="N105" s="562">
        <v>300000</v>
      </c>
      <c r="O105" s="611">
        <v>44016</v>
      </c>
      <c r="P105" s="562">
        <v>300000</v>
      </c>
      <c r="Q105" s="611">
        <v>44055</v>
      </c>
      <c r="R105" s="562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2">
        <f t="shared" si="1"/>
        <v>1300000</v>
      </c>
    </row>
    <row r="106" spans="1:27" x14ac:dyDescent="0.25">
      <c r="A106" s="362"/>
      <c r="B106" s="362"/>
      <c r="C106" s="371"/>
      <c r="D106" s="362"/>
      <c r="E106" s="362"/>
      <c r="F106" s="362"/>
      <c r="G106" s="371"/>
      <c r="H106" s="562"/>
      <c r="I106" s="371">
        <v>43938</v>
      </c>
      <c r="J106" s="562">
        <v>300000</v>
      </c>
      <c r="K106" s="364">
        <v>43970</v>
      </c>
      <c r="L106" s="562">
        <v>300000</v>
      </c>
      <c r="M106" s="364">
        <v>43999</v>
      </c>
      <c r="N106" s="562">
        <v>300000</v>
      </c>
      <c r="O106" s="611">
        <v>44022</v>
      </c>
      <c r="P106" s="562">
        <v>200000</v>
      </c>
      <c r="Q106" s="611">
        <v>44061</v>
      </c>
      <c r="R106" s="562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2">
        <f t="shared" si="1"/>
        <v>1400000</v>
      </c>
    </row>
    <row r="107" spans="1:27" x14ac:dyDescent="0.25">
      <c r="A107" s="362"/>
      <c r="B107" s="362"/>
      <c r="C107" s="371"/>
      <c r="D107" s="362"/>
      <c r="E107" s="362"/>
      <c r="F107" s="362"/>
      <c r="G107" s="371"/>
      <c r="H107" s="562"/>
      <c r="I107" s="371"/>
      <c r="J107" s="562"/>
      <c r="K107" s="364">
        <v>43972</v>
      </c>
      <c r="L107" s="562">
        <v>300000</v>
      </c>
      <c r="M107" s="364">
        <v>44014</v>
      </c>
      <c r="N107" s="562">
        <v>200000</v>
      </c>
      <c r="O107" s="611">
        <v>44050</v>
      </c>
      <c r="P107" s="562">
        <v>50000</v>
      </c>
      <c r="Q107" s="611">
        <v>44084</v>
      </c>
      <c r="R107" s="562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2">
        <f t="shared" si="1"/>
        <v>600000</v>
      </c>
    </row>
    <row r="108" spans="1:27" x14ac:dyDescent="0.25">
      <c r="A108" s="362"/>
      <c r="B108" s="362"/>
      <c r="C108" s="371"/>
      <c r="D108" s="362"/>
      <c r="E108" s="362"/>
      <c r="F108" s="362"/>
      <c r="G108" s="533">
        <v>43999</v>
      </c>
      <c r="H108" s="564">
        <v>150000</v>
      </c>
      <c r="I108" s="533"/>
      <c r="J108" s="564"/>
      <c r="K108" s="532"/>
      <c r="L108" s="532"/>
      <c r="M108" s="364">
        <v>44021</v>
      </c>
      <c r="N108" s="565">
        <v>50000</v>
      </c>
      <c r="O108" s="362"/>
      <c r="P108" s="562"/>
      <c r="Q108" s="362"/>
      <c r="R108" s="562"/>
      <c r="S108" s="362"/>
      <c r="T108" s="362"/>
      <c r="U108" s="362"/>
      <c r="V108" s="362"/>
      <c r="W108" s="362"/>
      <c r="X108" s="362"/>
      <c r="Y108" s="362"/>
      <c r="Z108" s="362"/>
      <c r="AA108" s="562">
        <f t="shared" si="1"/>
        <v>200000</v>
      </c>
    </row>
    <row r="109" spans="1:27" x14ac:dyDescent="0.25">
      <c r="A109" s="362"/>
      <c r="B109" s="362" t="s">
        <v>5951</v>
      </c>
      <c r="C109" s="371"/>
      <c r="D109" s="362"/>
      <c r="E109" s="362"/>
      <c r="F109" s="362"/>
      <c r="G109" s="733"/>
      <c r="H109" s="565"/>
      <c r="I109" s="733"/>
      <c r="J109" s="565"/>
      <c r="K109" s="370"/>
      <c r="L109" s="370"/>
      <c r="M109" s="364"/>
      <c r="N109" s="565"/>
      <c r="O109" s="362"/>
      <c r="P109" s="562"/>
      <c r="Q109" s="362"/>
      <c r="R109" s="562"/>
      <c r="S109" s="362"/>
      <c r="T109" s="362"/>
      <c r="U109" s="611">
        <v>44120</v>
      </c>
      <c r="V109" s="562">
        <v>4858750</v>
      </c>
      <c r="W109" s="611">
        <v>44154</v>
      </c>
      <c r="X109" s="562">
        <v>4887500</v>
      </c>
      <c r="Y109" s="611">
        <v>44180</v>
      </c>
      <c r="Z109" s="562">
        <f>25776000+4312500</f>
        <v>30088500</v>
      </c>
      <c r="AA109" s="562">
        <f t="shared" si="1"/>
        <v>39834750</v>
      </c>
    </row>
    <row r="110" spans="1:27" x14ac:dyDescent="0.25">
      <c r="A110" s="362"/>
      <c r="B110" s="362"/>
      <c r="C110" s="371"/>
      <c r="D110" s="362"/>
      <c r="E110" s="362"/>
      <c r="F110" s="362"/>
      <c r="G110" s="733"/>
      <c r="H110" s="565"/>
      <c r="I110" s="733"/>
      <c r="J110" s="565"/>
      <c r="K110" s="370"/>
      <c r="L110" s="370"/>
      <c r="M110" s="364"/>
      <c r="N110" s="565"/>
      <c r="O110" s="362"/>
      <c r="P110" s="562"/>
      <c r="Q110" s="362"/>
      <c r="R110" s="562"/>
      <c r="S110" s="362"/>
      <c r="T110" s="362"/>
      <c r="U110" s="611">
        <v>44120</v>
      </c>
      <c r="V110" s="562">
        <v>25513000</v>
      </c>
      <c r="W110" s="611">
        <v>44154</v>
      </c>
      <c r="X110" s="562">
        <v>25244000</v>
      </c>
      <c r="Y110" s="362"/>
      <c r="Z110" s="362"/>
      <c r="AA110" s="562">
        <f t="shared" si="1"/>
        <v>50757000</v>
      </c>
    </row>
    <row r="111" spans="1:27" x14ac:dyDescent="0.25">
      <c r="A111" s="362"/>
      <c r="B111" s="362"/>
      <c r="C111" s="371"/>
      <c r="D111" s="362"/>
      <c r="E111" s="362"/>
      <c r="F111" s="362"/>
      <c r="G111" s="733"/>
      <c r="H111" s="565"/>
      <c r="I111" s="733"/>
      <c r="J111" s="565"/>
      <c r="K111" s="370"/>
      <c r="L111" s="370"/>
      <c r="M111" s="364"/>
      <c r="N111" s="565"/>
      <c r="O111" s="362"/>
      <c r="P111" s="562"/>
      <c r="Q111" s="362"/>
      <c r="R111" s="562"/>
      <c r="S111" s="362"/>
      <c r="T111" s="362"/>
      <c r="U111" s="362"/>
      <c r="V111" s="362"/>
      <c r="W111" s="362"/>
      <c r="X111" s="362"/>
      <c r="Y111" s="362"/>
      <c r="Z111" s="362"/>
      <c r="AA111" s="562">
        <f t="shared" si="1"/>
        <v>0</v>
      </c>
    </row>
    <row r="112" spans="1:27" x14ac:dyDescent="0.25">
      <c r="A112" s="362"/>
      <c r="B112" s="362"/>
      <c r="C112" s="371"/>
      <c r="D112" s="362"/>
      <c r="E112" s="362"/>
      <c r="F112" s="362"/>
      <c r="G112" s="733"/>
      <c r="H112" s="565"/>
      <c r="I112" s="733"/>
      <c r="J112" s="565"/>
      <c r="K112" s="370"/>
      <c r="L112" s="370"/>
      <c r="M112" s="364"/>
      <c r="N112" s="565"/>
      <c r="O112" s="362"/>
      <c r="P112" s="562"/>
      <c r="Q112" s="362"/>
      <c r="R112" s="562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 x14ac:dyDescent="0.25">
      <c r="A113" s="362"/>
      <c r="B113" s="362"/>
      <c r="C113" s="371"/>
      <c r="D113" s="362"/>
      <c r="E113" s="362"/>
      <c r="F113" s="362"/>
      <c r="G113" s="733"/>
      <c r="H113" s="565"/>
      <c r="I113" s="733"/>
      <c r="J113" s="565"/>
      <c r="K113" s="370"/>
      <c r="L113" s="370"/>
      <c r="M113" s="364"/>
      <c r="N113" s="565"/>
      <c r="O113" s="362"/>
      <c r="P113" s="562"/>
      <c r="Q113" s="362"/>
      <c r="R113" s="562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 x14ac:dyDescent="0.25">
      <c r="A114" s="349"/>
      <c r="B114" s="349"/>
      <c r="C114" s="853"/>
      <c r="D114" s="349"/>
      <c r="E114" s="349"/>
      <c r="F114" s="349"/>
      <c r="G114" s="870"/>
      <c r="H114" s="868"/>
      <c r="I114" s="870"/>
      <c r="J114" s="868"/>
      <c r="K114" s="869"/>
      <c r="L114" s="869"/>
      <c r="M114" s="867"/>
      <c r="N114" s="868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 x14ac:dyDescent="0.25">
      <c r="C115" s="348"/>
      <c r="G115" s="348"/>
      <c r="P115" s="465"/>
      <c r="R115" s="465"/>
    </row>
    <row r="116" spans="1:27" x14ac:dyDescent="0.25">
      <c r="C116" s="348"/>
      <c r="G116" s="348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583" t="s">
        <v>131</v>
      </c>
      <c r="B119" s="1583" t="s">
        <v>3436</v>
      </c>
      <c r="C119" s="1584" t="s">
        <v>3443</v>
      </c>
      <c r="D119" s="1584"/>
      <c r="E119" s="1584"/>
      <c r="F119" s="1584"/>
      <c r="G119" s="1584"/>
      <c r="H119" s="1584"/>
      <c r="I119" s="1584"/>
      <c r="J119" s="1584"/>
      <c r="K119" s="1584"/>
      <c r="L119" s="1584"/>
      <c r="M119" s="1584"/>
      <c r="N119" s="1584"/>
      <c r="O119" s="1584"/>
      <c r="P119" s="1584"/>
      <c r="Q119" s="1584"/>
      <c r="R119" s="1584"/>
      <c r="S119" s="1584"/>
      <c r="T119" s="1584"/>
      <c r="U119" s="1584"/>
      <c r="V119" s="1584"/>
      <c r="W119" s="1584"/>
      <c r="X119" s="1584"/>
      <c r="Y119" s="1584"/>
      <c r="Z119" s="1584"/>
      <c r="AA119" s="1585" t="s">
        <v>24</v>
      </c>
    </row>
    <row r="120" spans="1:27" x14ac:dyDescent="0.25">
      <c r="A120" s="1652"/>
      <c r="B120" s="1652"/>
      <c r="C120" s="608" t="s">
        <v>3456</v>
      </c>
      <c r="D120" s="608" t="s">
        <v>3444</v>
      </c>
      <c r="E120" s="608" t="s">
        <v>3445</v>
      </c>
      <c r="F120" s="608" t="s">
        <v>3444</v>
      </c>
      <c r="G120" s="608" t="s">
        <v>3446</v>
      </c>
      <c r="H120" s="608" t="s">
        <v>3444</v>
      </c>
      <c r="I120" s="608" t="s">
        <v>3447</v>
      </c>
      <c r="J120" s="608" t="s">
        <v>3444</v>
      </c>
      <c r="K120" s="608" t="s">
        <v>3448</v>
      </c>
      <c r="L120" s="608" t="s">
        <v>3444</v>
      </c>
      <c r="M120" s="608" t="s">
        <v>3449</v>
      </c>
      <c r="N120" s="608" t="s">
        <v>3444</v>
      </c>
      <c r="O120" s="608" t="s">
        <v>3450</v>
      </c>
      <c r="P120" s="608" t="s">
        <v>3444</v>
      </c>
      <c r="Q120" s="608" t="s">
        <v>3451</v>
      </c>
      <c r="R120" s="608" t="s">
        <v>3444</v>
      </c>
      <c r="S120" s="608" t="s">
        <v>3452</v>
      </c>
      <c r="T120" s="608" t="s">
        <v>3444</v>
      </c>
      <c r="U120" s="608" t="s">
        <v>3453</v>
      </c>
      <c r="V120" s="608" t="s">
        <v>3444</v>
      </c>
      <c r="W120" s="608" t="s">
        <v>3454</v>
      </c>
      <c r="X120" s="608" t="s">
        <v>3444</v>
      </c>
      <c r="Y120" s="608" t="s">
        <v>3455</v>
      </c>
      <c r="Z120" s="608" t="s">
        <v>3444</v>
      </c>
      <c r="AA120" s="1585"/>
    </row>
    <row r="121" spans="1:27" x14ac:dyDescent="0.25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 x14ac:dyDescent="0.25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 x14ac:dyDescent="0.25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 x14ac:dyDescent="0.25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 x14ac:dyDescent="0.25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 x14ac:dyDescent="0.25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 x14ac:dyDescent="0.25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 x14ac:dyDescent="0.25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 x14ac:dyDescent="0.25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11">
        <v>44085</v>
      </c>
      <c r="R129" s="562">
        <v>550000</v>
      </c>
      <c r="S129" s="611">
        <v>44085</v>
      </c>
      <c r="T129" s="562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 x14ac:dyDescent="0.25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 x14ac:dyDescent="0.25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 x14ac:dyDescent="0.25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 x14ac:dyDescent="0.25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 x14ac:dyDescent="0.25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 x14ac:dyDescent="0.25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 x14ac:dyDescent="0.25">
      <c r="A136" s="370">
        <v>15</v>
      </c>
      <c r="B136" s="370" t="s">
        <v>3462</v>
      </c>
      <c r="C136" s="371"/>
      <c r="D136" s="372"/>
      <c r="E136" s="371"/>
      <c r="F136" s="610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 x14ac:dyDescent="0.25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 x14ac:dyDescent="0.25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 x14ac:dyDescent="0.25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 x14ac:dyDescent="0.25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 x14ac:dyDescent="0.25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 x14ac:dyDescent="0.25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 x14ac:dyDescent="0.25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 x14ac:dyDescent="0.25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 x14ac:dyDescent="0.25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 x14ac:dyDescent="0.25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 x14ac:dyDescent="0.25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11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 x14ac:dyDescent="0.25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11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 x14ac:dyDescent="0.25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 x14ac:dyDescent="0.25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 x14ac:dyDescent="0.25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80">
        <v>43878</v>
      </c>
      <c r="R151" s="630" t="s">
        <v>5664</v>
      </c>
      <c r="S151" s="579"/>
      <c r="T151" s="673"/>
      <c r="U151" s="579"/>
      <c r="V151" s="673"/>
      <c r="W151" s="533">
        <v>44006</v>
      </c>
      <c r="X151" s="683" t="s">
        <v>5665</v>
      </c>
      <c r="Y151" s="533"/>
      <c r="Z151" s="683">
        <v>11050000</v>
      </c>
      <c r="AA151" s="362"/>
    </row>
    <row r="152" spans="1:27" x14ac:dyDescent="0.25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 x14ac:dyDescent="0.25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 x14ac:dyDescent="0.25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 x14ac:dyDescent="0.25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 x14ac:dyDescent="0.25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 x14ac:dyDescent="0.25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 x14ac:dyDescent="0.25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 x14ac:dyDescent="0.25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 x14ac:dyDescent="0.25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 x14ac:dyDescent="0.25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 x14ac:dyDescent="0.25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 x14ac:dyDescent="0.25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 x14ac:dyDescent="0.25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 x14ac:dyDescent="0.25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 x14ac:dyDescent="0.25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 x14ac:dyDescent="0.25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 x14ac:dyDescent="0.25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 x14ac:dyDescent="0.25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 x14ac:dyDescent="0.25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 x14ac:dyDescent="0.25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 x14ac:dyDescent="0.25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 x14ac:dyDescent="0.25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 x14ac:dyDescent="0.25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 x14ac:dyDescent="0.25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596" t="s">
        <v>6063</v>
      </c>
      <c r="C1" s="1596"/>
      <c r="D1" s="1596"/>
      <c r="E1" s="1596"/>
      <c r="F1" s="1596"/>
      <c r="G1" s="1596"/>
      <c r="H1" s="1596"/>
    </row>
    <row r="2" spans="2:8" s="254" customFormat="1" x14ac:dyDescent="0.25"/>
    <row r="3" spans="2:8" x14ac:dyDescent="0.25">
      <c r="B3" s="935" t="s">
        <v>6055</v>
      </c>
      <c r="C3" s="935" t="s">
        <v>6056</v>
      </c>
      <c r="D3" s="935" t="s">
        <v>6058</v>
      </c>
      <c r="E3" s="935" t="s">
        <v>6059</v>
      </c>
      <c r="F3" s="935" t="s">
        <v>6070</v>
      </c>
      <c r="G3" s="935" t="s">
        <v>6060</v>
      </c>
      <c r="H3" s="935" t="s">
        <v>6069</v>
      </c>
    </row>
    <row r="4" spans="2:8" x14ac:dyDescent="0.25">
      <c r="B4" s="362" t="s">
        <v>288</v>
      </c>
      <c r="C4" s="362" t="s">
        <v>6057</v>
      </c>
      <c r="D4" s="364">
        <v>43738</v>
      </c>
      <c r="E4" s="364">
        <v>44803</v>
      </c>
      <c r="F4" s="562">
        <f>SUM(F7:F9)</f>
        <v>4971690500</v>
      </c>
      <c r="G4" s="562">
        <v>142048300</v>
      </c>
      <c r="H4" s="562">
        <f>SUM(H7:H9)</f>
        <v>2840966000</v>
      </c>
    </row>
    <row r="5" spans="2:8" x14ac:dyDescent="0.25">
      <c r="B5" s="362" t="s">
        <v>6061</v>
      </c>
      <c r="C5" s="362" t="s">
        <v>6062</v>
      </c>
      <c r="D5" s="364">
        <v>43649</v>
      </c>
      <c r="E5" s="364">
        <v>44715</v>
      </c>
      <c r="F5" s="562">
        <f>SUM(F11:F12)</f>
        <v>513616526</v>
      </c>
      <c r="G5" s="562">
        <v>17070000</v>
      </c>
      <c r="H5" s="562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5">
        <f>2096118800+377023200</f>
        <v>2473142000</v>
      </c>
      <c r="G7" s="936">
        <v>70661200</v>
      </c>
      <c r="H7" s="465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5">
        <f>1743853900+313659600</f>
        <v>2057513500</v>
      </c>
      <c r="G8" s="936">
        <v>58786100</v>
      </c>
      <c r="H8" s="465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5">
        <f>373799000+67236000</f>
        <v>441035000</v>
      </c>
      <c r="G9" s="936">
        <v>12601000</v>
      </c>
      <c r="H9" s="465">
        <f>228572528+23447472</f>
        <v>252020000</v>
      </c>
    </row>
    <row r="10" spans="2:8" x14ac:dyDescent="0.25">
      <c r="B10" s="254"/>
      <c r="C10" s="254"/>
      <c r="D10" s="254"/>
      <c r="E10" s="254"/>
      <c r="F10" s="465"/>
      <c r="G10" s="254"/>
      <c r="H10" s="465"/>
    </row>
    <row r="11" spans="2:8" x14ac:dyDescent="0.25">
      <c r="B11" s="254" t="s">
        <v>6061</v>
      </c>
      <c r="C11" s="254" t="s">
        <v>6067</v>
      </c>
      <c r="D11" s="254"/>
      <c r="E11" s="254"/>
      <c r="F11" s="465">
        <v>169112016</v>
      </c>
      <c r="G11" s="465">
        <v>5640000</v>
      </c>
      <c r="H11" s="465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5">
        <f>114838170+114833170+114833170</f>
        <v>344504510</v>
      </c>
      <c r="G12" s="465">
        <v>11430000</v>
      </c>
      <c r="H12" s="465">
        <f>59325556+59325556+59325556</f>
        <v>177976668</v>
      </c>
    </row>
    <row r="13" spans="2:8" x14ac:dyDescent="0.25">
      <c r="D13" s="366"/>
      <c r="F13" s="465"/>
      <c r="H13" s="465"/>
    </row>
    <row r="14" spans="2:8" x14ac:dyDescent="0.25">
      <c r="D14" s="366"/>
      <c r="H14" s="465"/>
    </row>
    <row r="15" spans="2:8" x14ac:dyDescent="0.25">
      <c r="D15" s="366"/>
    </row>
    <row r="16" spans="2:8" x14ac:dyDescent="0.25">
      <c r="D16" s="366"/>
    </row>
    <row r="17" spans="4:8" x14ac:dyDescent="0.25">
      <c r="D17" s="366"/>
    </row>
    <row r="18" spans="4:8" x14ac:dyDescent="0.25">
      <c r="D18" s="366"/>
    </row>
    <row r="19" spans="4:8" x14ac:dyDescent="0.25">
      <c r="D19" s="366"/>
    </row>
    <row r="20" spans="4:8" x14ac:dyDescent="0.25">
      <c r="D20" s="366"/>
      <c r="G20" t="s">
        <v>6206</v>
      </c>
      <c r="H20" t="s">
        <v>6207</v>
      </c>
    </row>
    <row r="21" spans="4:8" x14ac:dyDescent="0.25">
      <c r="D21" s="366"/>
    </row>
    <row r="22" spans="4:8" x14ac:dyDescent="0.25">
      <c r="D22" s="366"/>
      <c r="H22" t="s">
        <v>6110</v>
      </c>
    </row>
    <row r="23" spans="4:8" x14ac:dyDescent="0.25">
      <c r="D23" s="366"/>
    </row>
    <row r="24" spans="4:8" x14ac:dyDescent="0.25">
      <c r="D24" s="366"/>
    </row>
    <row r="25" spans="4:8" x14ac:dyDescent="0.25">
      <c r="D25" s="366"/>
    </row>
    <row r="26" spans="4:8" x14ac:dyDescent="0.25">
      <c r="D26" s="366"/>
    </row>
    <row r="27" spans="4:8" x14ac:dyDescent="0.25">
      <c r="D27" s="366"/>
    </row>
    <row r="28" spans="4:8" x14ac:dyDescent="0.25">
      <c r="D28" s="366"/>
    </row>
    <row r="29" spans="4:8" x14ac:dyDescent="0.25">
      <c r="D29" s="366"/>
    </row>
    <row r="30" spans="4:8" x14ac:dyDescent="0.25">
      <c r="D30" s="366"/>
    </row>
    <row r="31" spans="4:8" x14ac:dyDescent="0.25">
      <c r="D31" s="366"/>
    </row>
    <row r="32" spans="4:8" x14ac:dyDescent="0.25">
      <c r="D32" s="366"/>
    </row>
    <row r="33" spans="4:4" x14ac:dyDescent="0.25">
      <c r="D33" s="366"/>
    </row>
    <row r="34" spans="4:4" x14ac:dyDescent="0.25">
      <c r="D34" s="366"/>
    </row>
    <row r="35" spans="4:4" x14ac:dyDescent="0.25">
      <c r="D35" s="366"/>
    </row>
    <row r="36" spans="4:4" x14ac:dyDescent="0.25">
      <c r="D36" s="366"/>
    </row>
    <row r="37" spans="4:4" x14ac:dyDescent="0.25">
      <c r="D37" s="366"/>
    </row>
    <row r="38" spans="4:4" x14ac:dyDescent="0.25">
      <c r="D38" s="366"/>
    </row>
    <row r="39" spans="4:4" x14ac:dyDescent="0.25">
      <c r="D39" s="366"/>
    </row>
    <row r="40" spans="4:4" x14ac:dyDescent="0.25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>
      <selection sqref="A1:XFD1048576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58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596" t="s">
        <v>6136</v>
      </c>
      <c r="B1" s="1596"/>
      <c r="C1" s="1596"/>
      <c r="D1" s="1596"/>
      <c r="E1" s="1596"/>
      <c r="F1" s="1596"/>
      <c r="G1" s="1596"/>
    </row>
    <row r="3" spans="1:8" x14ac:dyDescent="0.25">
      <c r="A3" s="1656" t="s">
        <v>3119</v>
      </c>
      <c r="B3" s="1656" t="s">
        <v>6129</v>
      </c>
      <c r="C3" s="1658" t="s">
        <v>5961</v>
      </c>
      <c r="D3" s="1656" t="s">
        <v>6117</v>
      </c>
      <c r="E3" s="1659" t="s">
        <v>5341</v>
      </c>
      <c r="F3" s="1659"/>
      <c r="G3" s="1659" t="s">
        <v>6049</v>
      </c>
      <c r="H3" s="1656" t="s">
        <v>6137</v>
      </c>
    </row>
    <row r="4" spans="1:8" x14ac:dyDescent="0.25">
      <c r="A4" s="1657"/>
      <c r="B4" s="1657"/>
      <c r="C4" s="1658"/>
      <c r="D4" s="1657"/>
      <c r="E4" s="1422" t="s">
        <v>6134</v>
      </c>
      <c r="F4" s="1422" t="s">
        <v>6135</v>
      </c>
      <c r="G4" s="1659"/>
      <c r="H4" s="1657"/>
    </row>
    <row r="5" spans="1:8" x14ac:dyDescent="0.25">
      <c r="A5" s="362">
        <v>1</v>
      </c>
      <c r="B5" s="362" t="s">
        <v>6130</v>
      </c>
      <c r="C5" s="362" t="s">
        <v>6131</v>
      </c>
      <c r="D5" s="562">
        <v>18099932</v>
      </c>
      <c r="E5" s="364">
        <v>44409</v>
      </c>
      <c r="F5" s="364">
        <v>44719</v>
      </c>
      <c r="G5" s="611">
        <v>44431</v>
      </c>
      <c r="H5" s="362" t="s">
        <v>6138</v>
      </c>
    </row>
    <row r="6" spans="1:8" x14ac:dyDescent="0.25">
      <c r="A6" s="362">
        <v>2</v>
      </c>
      <c r="B6" s="362" t="s">
        <v>6130</v>
      </c>
      <c r="C6" s="362" t="s">
        <v>6132</v>
      </c>
      <c r="D6" s="562">
        <v>15390192</v>
      </c>
      <c r="E6" s="364">
        <v>44409</v>
      </c>
      <c r="F6" s="364">
        <v>44719</v>
      </c>
      <c r="G6" s="611">
        <v>44431</v>
      </c>
      <c r="H6" s="362" t="s">
        <v>6138</v>
      </c>
    </row>
    <row r="7" spans="1:8" x14ac:dyDescent="0.25">
      <c r="A7" s="362">
        <v>3</v>
      </c>
      <c r="B7" s="362" t="s">
        <v>6130</v>
      </c>
      <c r="C7" s="362" t="s">
        <v>6133</v>
      </c>
      <c r="D7" s="562">
        <v>11777205</v>
      </c>
      <c r="E7" s="364">
        <v>44409</v>
      </c>
      <c r="F7" s="364">
        <v>44719</v>
      </c>
      <c r="G7" s="611">
        <v>44431</v>
      </c>
      <c r="H7" s="362" t="s">
        <v>6138</v>
      </c>
    </row>
    <row r="8" spans="1:8" x14ac:dyDescent="0.25">
      <c r="A8" s="362">
        <v>4</v>
      </c>
      <c r="B8" s="362" t="s">
        <v>6130</v>
      </c>
      <c r="C8" s="362" t="s">
        <v>6139</v>
      </c>
      <c r="D8" s="562">
        <v>2462000</v>
      </c>
      <c r="E8" s="364">
        <v>44409</v>
      </c>
      <c r="F8" s="364">
        <v>44774</v>
      </c>
      <c r="G8" s="611">
        <v>44431</v>
      </c>
      <c r="H8" s="362" t="s">
        <v>6138</v>
      </c>
    </row>
    <row r="9" spans="1:8" x14ac:dyDescent="0.25">
      <c r="A9" s="362">
        <v>5</v>
      </c>
      <c r="B9" s="362" t="s">
        <v>6130</v>
      </c>
      <c r="C9" s="362" t="s">
        <v>6140</v>
      </c>
      <c r="D9" s="562">
        <v>2570790</v>
      </c>
      <c r="E9" s="364">
        <v>44409</v>
      </c>
      <c r="F9" s="364">
        <v>44774</v>
      </c>
      <c r="G9" s="611">
        <v>44431</v>
      </c>
      <c r="H9" s="362" t="s">
        <v>6138</v>
      </c>
    </row>
    <row r="10" spans="1:8" x14ac:dyDescent="0.25">
      <c r="A10" s="362">
        <v>6</v>
      </c>
      <c r="B10" s="362" t="s">
        <v>6130</v>
      </c>
      <c r="C10" s="362" t="s">
        <v>6141</v>
      </c>
      <c r="D10" s="562">
        <v>2570790</v>
      </c>
      <c r="E10" s="364">
        <v>44409</v>
      </c>
      <c r="F10" s="364">
        <v>44774</v>
      </c>
      <c r="G10" s="611">
        <v>44431</v>
      </c>
      <c r="H10" s="362" t="s">
        <v>6138</v>
      </c>
    </row>
    <row r="11" spans="1:8" x14ac:dyDescent="0.25">
      <c r="A11" s="362">
        <v>7</v>
      </c>
      <c r="B11" s="362" t="s">
        <v>6130</v>
      </c>
      <c r="C11" s="362" t="s">
        <v>6142</v>
      </c>
      <c r="D11" s="562">
        <v>2570790</v>
      </c>
      <c r="E11" s="364">
        <v>44409</v>
      </c>
      <c r="F11" s="364">
        <v>44774</v>
      </c>
      <c r="G11" s="611">
        <v>44431</v>
      </c>
      <c r="H11" s="362" t="s">
        <v>6138</v>
      </c>
    </row>
    <row r="12" spans="1:8" x14ac:dyDescent="0.25">
      <c r="A12" s="362">
        <v>8</v>
      </c>
      <c r="B12" s="362" t="s">
        <v>6130</v>
      </c>
      <c r="C12" s="362" t="s">
        <v>6143</v>
      </c>
      <c r="D12" s="562">
        <v>2570790</v>
      </c>
      <c r="E12" s="364">
        <v>44409</v>
      </c>
      <c r="F12" s="364">
        <v>44774</v>
      </c>
      <c r="G12" s="611">
        <v>44431</v>
      </c>
      <c r="H12" s="362" t="s">
        <v>6138</v>
      </c>
    </row>
    <row r="13" spans="1:8" x14ac:dyDescent="0.25">
      <c r="A13" s="362">
        <v>9</v>
      </c>
      <c r="B13" s="362" t="s">
        <v>6130</v>
      </c>
      <c r="C13" s="362" t="s">
        <v>6144</v>
      </c>
      <c r="D13" s="562">
        <v>2570790</v>
      </c>
      <c r="E13" s="364">
        <v>44409</v>
      </c>
      <c r="F13" s="364">
        <v>44774</v>
      </c>
      <c r="G13" s="611">
        <v>44431</v>
      </c>
      <c r="H13" s="362" t="s">
        <v>6138</v>
      </c>
    </row>
    <row r="14" spans="1:8" x14ac:dyDescent="0.25">
      <c r="A14" s="362">
        <v>10</v>
      </c>
      <c r="B14" s="362" t="s">
        <v>6130</v>
      </c>
      <c r="C14" s="362" t="s">
        <v>6156</v>
      </c>
      <c r="D14" s="562">
        <v>285781</v>
      </c>
      <c r="E14" s="364">
        <v>44320</v>
      </c>
      <c r="F14" s="364">
        <v>44808</v>
      </c>
      <c r="G14" s="611">
        <v>44455</v>
      </c>
      <c r="H14" s="362" t="s">
        <v>6157</v>
      </c>
    </row>
    <row r="15" spans="1:8" x14ac:dyDescent="0.25">
      <c r="A15" s="362">
        <v>11</v>
      </c>
      <c r="B15" s="362" t="s">
        <v>6130</v>
      </c>
      <c r="C15" s="362" t="s">
        <v>6158</v>
      </c>
      <c r="D15" s="562">
        <v>510423</v>
      </c>
      <c r="E15" s="364">
        <v>44211</v>
      </c>
      <c r="F15" s="364">
        <v>44808</v>
      </c>
      <c r="G15" s="611">
        <v>44455</v>
      </c>
      <c r="H15" s="362" t="s">
        <v>6157</v>
      </c>
    </row>
    <row r="16" spans="1:8" x14ac:dyDescent="0.25">
      <c r="A16" s="362">
        <v>12</v>
      </c>
      <c r="B16" s="362" t="s">
        <v>6130</v>
      </c>
      <c r="C16" s="362" t="s">
        <v>6159</v>
      </c>
      <c r="D16" s="562">
        <v>1140000</v>
      </c>
      <c r="E16" s="364">
        <v>44443</v>
      </c>
      <c r="F16" s="364">
        <v>44808</v>
      </c>
      <c r="G16" s="611">
        <v>44455</v>
      </c>
      <c r="H16" s="362" t="s">
        <v>6157</v>
      </c>
    </row>
    <row r="17" spans="1:8" x14ac:dyDescent="0.25">
      <c r="A17" s="362">
        <v>13</v>
      </c>
      <c r="B17" s="362" t="s">
        <v>6130</v>
      </c>
      <c r="C17" s="362" t="s">
        <v>6160</v>
      </c>
      <c r="D17" s="562">
        <v>855000</v>
      </c>
      <c r="E17" s="364">
        <v>44443</v>
      </c>
      <c r="F17" s="364">
        <v>44808</v>
      </c>
      <c r="G17" s="611">
        <v>44455</v>
      </c>
      <c r="H17" s="362" t="s">
        <v>6157</v>
      </c>
    </row>
    <row r="18" spans="1:8" x14ac:dyDescent="0.25">
      <c r="A18" s="362">
        <v>14</v>
      </c>
      <c r="B18" s="362" t="s">
        <v>6130</v>
      </c>
      <c r="C18" s="362" t="s">
        <v>6161</v>
      </c>
      <c r="D18" s="562">
        <v>570000</v>
      </c>
      <c r="E18" s="364">
        <v>44443</v>
      </c>
      <c r="F18" s="364">
        <v>44808</v>
      </c>
      <c r="G18" s="611">
        <v>44455</v>
      </c>
      <c r="H18" s="362" t="s">
        <v>6157</v>
      </c>
    </row>
    <row r="19" spans="1:8" x14ac:dyDescent="0.25">
      <c r="A19" s="362">
        <v>15</v>
      </c>
      <c r="B19" s="362" t="s">
        <v>6130</v>
      </c>
      <c r="C19" s="362" t="s">
        <v>6162</v>
      </c>
      <c r="D19" s="562">
        <v>1425000</v>
      </c>
      <c r="E19" s="364">
        <v>44443</v>
      </c>
      <c r="F19" s="364">
        <v>44808</v>
      </c>
      <c r="G19" s="611">
        <v>44455</v>
      </c>
      <c r="H19" s="362" t="s">
        <v>6157</v>
      </c>
    </row>
    <row r="20" spans="1:8" x14ac:dyDescent="0.25">
      <c r="A20" s="362">
        <v>16</v>
      </c>
      <c r="B20" s="362" t="s">
        <v>6130</v>
      </c>
      <c r="C20" s="362" t="s">
        <v>6163</v>
      </c>
      <c r="D20" s="562">
        <v>1567500</v>
      </c>
      <c r="E20" s="364">
        <v>44443</v>
      </c>
      <c r="F20" s="364">
        <v>44808</v>
      </c>
      <c r="G20" s="611">
        <v>44455</v>
      </c>
      <c r="H20" s="362" t="s">
        <v>6157</v>
      </c>
    </row>
    <row r="21" spans="1:8" x14ac:dyDescent="0.25">
      <c r="A21" s="362">
        <v>17</v>
      </c>
      <c r="B21" s="362" t="s">
        <v>6130</v>
      </c>
      <c r="C21" s="362" t="s">
        <v>6164</v>
      </c>
      <c r="D21" s="562">
        <v>1995000</v>
      </c>
      <c r="E21" s="364">
        <v>44443</v>
      </c>
      <c r="F21" s="364">
        <v>44808</v>
      </c>
      <c r="G21" s="611">
        <v>44455</v>
      </c>
      <c r="H21" s="362" t="s">
        <v>6157</v>
      </c>
    </row>
    <row r="22" spans="1:8" x14ac:dyDescent="0.25">
      <c r="A22" s="362">
        <v>18</v>
      </c>
      <c r="B22" s="362" t="s">
        <v>6130</v>
      </c>
      <c r="C22" s="362" t="s">
        <v>6165</v>
      </c>
      <c r="D22" s="562">
        <v>855000</v>
      </c>
      <c r="E22" s="364">
        <v>44443</v>
      </c>
      <c r="F22" s="364">
        <v>44808</v>
      </c>
      <c r="G22" s="611">
        <v>44455</v>
      </c>
      <c r="H22" s="362" t="s">
        <v>6157</v>
      </c>
    </row>
    <row r="23" spans="1:8" x14ac:dyDescent="0.25">
      <c r="A23" s="362">
        <v>19</v>
      </c>
      <c r="B23" s="362" t="s">
        <v>6130</v>
      </c>
      <c r="C23" s="362" t="s">
        <v>6166</v>
      </c>
      <c r="D23" s="562">
        <v>1140000</v>
      </c>
      <c r="E23" s="364">
        <v>44443</v>
      </c>
      <c r="F23" s="364">
        <v>44808</v>
      </c>
      <c r="G23" s="611">
        <v>44455</v>
      </c>
      <c r="H23" s="362" t="s">
        <v>6157</v>
      </c>
    </row>
    <row r="24" spans="1:8" x14ac:dyDescent="0.25">
      <c r="A24" s="362">
        <v>20</v>
      </c>
      <c r="B24" s="362" t="s">
        <v>6130</v>
      </c>
      <c r="C24" s="362" t="s">
        <v>6167</v>
      </c>
      <c r="D24" s="562">
        <v>1710000</v>
      </c>
      <c r="E24" s="364">
        <v>44443</v>
      </c>
      <c r="F24" s="364">
        <v>44808</v>
      </c>
      <c r="G24" s="611">
        <v>44455</v>
      </c>
      <c r="H24" s="362" t="s">
        <v>6157</v>
      </c>
    </row>
    <row r="25" spans="1:8" x14ac:dyDescent="0.25">
      <c r="A25" s="362">
        <v>21</v>
      </c>
      <c r="B25" s="362" t="s">
        <v>6130</v>
      </c>
      <c r="C25" s="362" t="s">
        <v>6168</v>
      </c>
      <c r="D25" s="562">
        <v>1995000</v>
      </c>
      <c r="E25" s="364">
        <v>44443</v>
      </c>
      <c r="F25" s="364">
        <v>44808</v>
      </c>
      <c r="G25" s="611">
        <v>44455</v>
      </c>
      <c r="H25" s="362" t="s">
        <v>6157</v>
      </c>
    </row>
    <row r="26" spans="1:8" x14ac:dyDescent="0.25">
      <c r="A26" s="362">
        <v>22</v>
      </c>
      <c r="B26" s="362" t="s">
        <v>6130</v>
      </c>
      <c r="C26" s="362" t="s">
        <v>6169</v>
      </c>
      <c r="D26" s="565">
        <v>1995000</v>
      </c>
      <c r="E26" s="364">
        <v>44443</v>
      </c>
      <c r="F26" s="364">
        <v>44808</v>
      </c>
      <c r="G26" s="611">
        <v>44455</v>
      </c>
      <c r="H26" s="362" t="s">
        <v>6157</v>
      </c>
    </row>
    <row r="27" spans="1:8" x14ac:dyDescent="0.25">
      <c r="A27" s="362">
        <v>23</v>
      </c>
      <c r="B27" s="362" t="s">
        <v>6130</v>
      </c>
      <c r="C27" s="362" t="s">
        <v>6170</v>
      </c>
      <c r="D27" s="565">
        <v>285000</v>
      </c>
      <c r="E27" s="364">
        <v>44443</v>
      </c>
      <c r="F27" s="364">
        <v>44808</v>
      </c>
      <c r="G27" s="611">
        <v>44455</v>
      </c>
      <c r="H27" s="362" t="s">
        <v>6157</v>
      </c>
    </row>
    <row r="28" spans="1:8" x14ac:dyDescent="0.25">
      <c r="A28" s="362">
        <v>24</v>
      </c>
      <c r="B28" s="362" t="s">
        <v>6130</v>
      </c>
      <c r="C28" s="362" t="s">
        <v>6171</v>
      </c>
      <c r="D28" s="565">
        <v>1425000</v>
      </c>
      <c r="E28" s="364">
        <v>44443</v>
      </c>
      <c r="F28" s="364">
        <v>44808</v>
      </c>
      <c r="G28" s="611">
        <v>44455</v>
      </c>
      <c r="H28" s="362" t="s">
        <v>6157</v>
      </c>
    </row>
    <row r="29" spans="1:8" x14ac:dyDescent="0.25">
      <c r="A29" s="362"/>
      <c r="B29" s="362"/>
      <c r="C29" s="362" t="s">
        <v>6172</v>
      </c>
      <c r="D29" s="565">
        <v>35000</v>
      </c>
      <c r="E29" s="364">
        <v>44443</v>
      </c>
      <c r="F29" s="364">
        <v>44808</v>
      </c>
      <c r="G29" s="611">
        <v>44455</v>
      </c>
      <c r="H29" s="362" t="s">
        <v>6157</v>
      </c>
    </row>
    <row r="30" spans="1:8" x14ac:dyDescent="0.25">
      <c r="A30" s="362">
        <v>25</v>
      </c>
      <c r="B30" s="362" t="s">
        <v>6231</v>
      </c>
      <c r="C30" s="362" t="s">
        <v>6232</v>
      </c>
      <c r="D30" s="565"/>
      <c r="E30" s="362"/>
      <c r="F30" s="362"/>
      <c r="G30" s="611">
        <v>44554</v>
      </c>
      <c r="H30" s="362" t="s">
        <v>6138</v>
      </c>
    </row>
    <row r="31" spans="1:8" x14ac:dyDescent="0.25">
      <c r="A31" s="362"/>
      <c r="B31" s="362"/>
      <c r="C31" s="362" t="s">
        <v>6233</v>
      </c>
      <c r="D31" s="362"/>
      <c r="E31" s="362"/>
      <c r="F31" s="362"/>
      <c r="G31" s="611">
        <v>44554</v>
      </c>
      <c r="H31" s="362" t="s">
        <v>6138</v>
      </c>
    </row>
    <row r="32" spans="1:8" x14ac:dyDescent="0.25">
      <c r="A32" s="362"/>
      <c r="B32" s="362"/>
      <c r="C32" s="362" t="s">
        <v>6234</v>
      </c>
      <c r="D32" s="362"/>
      <c r="E32" s="362"/>
      <c r="F32" s="362"/>
      <c r="G32" s="611">
        <v>44554</v>
      </c>
      <c r="H32" s="362" t="s">
        <v>6138</v>
      </c>
    </row>
    <row r="33" spans="1:8" x14ac:dyDescent="0.25">
      <c r="A33" s="362"/>
      <c r="B33" s="362"/>
      <c r="C33" s="362" t="s">
        <v>6235</v>
      </c>
      <c r="D33" s="362"/>
      <c r="E33" s="362"/>
      <c r="F33" s="362"/>
      <c r="G33" s="611">
        <v>44554</v>
      </c>
      <c r="H33" s="362" t="s">
        <v>6138</v>
      </c>
    </row>
    <row r="34" spans="1:8" x14ac:dyDescent="0.25">
      <c r="A34" s="362">
        <v>26</v>
      </c>
      <c r="B34" s="362" t="s">
        <v>6130</v>
      </c>
      <c r="C34" s="362" t="s">
        <v>6264</v>
      </c>
      <c r="D34" s="562">
        <v>323260</v>
      </c>
      <c r="E34" s="611">
        <v>44443</v>
      </c>
      <c r="F34" s="611">
        <v>44808</v>
      </c>
      <c r="G34" s="611">
        <v>44624</v>
      </c>
      <c r="H34" s="362" t="s">
        <v>6157</v>
      </c>
    </row>
    <row r="35" spans="1:8" x14ac:dyDescent="0.25">
      <c r="A35" s="362">
        <v>27</v>
      </c>
      <c r="B35" s="362" t="s">
        <v>6130</v>
      </c>
      <c r="C35" s="362" t="s">
        <v>6291</v>
      </c>
      <c r="D35" s="562">
        <v>7868160</v>
      </c>
      <c r="E35" s="614">
        <v>44652</v>
      </c>
      <c r="F35" s="614">
        <v>45017</v>
      </c>
      <c r="G35" s="611">
        <v>44663</v>
      </c>
      <c r="H35" s="362" t="s">
        <v>6138</v>
      </c>
    </row>
    <row r="36" spans="1:8" x14ac:dyDescent="0.25">
      <c r="A36" s="362"/>
      <c r="B36" s="362" t="s">
        <v>6130</v>
      </c>
      <c r="C36" s="362" t="s">
        <v>6299</v>
      </c>
      <c r="D36" s="562">
        <f>2386100+3385450</f>
        <v>5771550</v>
      </c>
      <c r="E36" s="614">
        <v>44682</v>
      </c>
      <c r="F36" s="614">
        <v>45047</v>
      </c>
      <c r="G36" s="611">
        <v>44699</v>
      </c>
      <c r="H36" s="362" t="s">
        <v>6138</v>
      </c>
    </row>
    <row r="37" spans="1:8" x14ac:dyDescent="0.25">
      <c r="A37" s="362"/>
      <c r="B37" s="362" t="s">
        <v>6130</v>
      </c>
      <c r="C37" s="362" t="s">
        <v>6301</v>
      </c>
      <c r="D37" s="562">
        <v>4704200</v>
      </c>
      <c r="E37" s="614">
        <v>44682</v>
      </c>
      <c r="F37" s="614">
        <v>45047</v>
      </c>
      <c r="G37" s="611">
        <v>44708</v>
      </c>
      <c r="H37" s="362" t="s">
        <v>6138</v>
      </c>
    </row>
    <row r="38" spans="1:8" x14ac:dyDescent="0.25">
      <c r="A38" s="362"/>
      <c r="B38" s="362"/>
      <c r="C38" s="362"/>
      <c r="D38" s="562"/>
      <c r="E38" s="362"/>
      <c r="F38" s="362"/>
      <c r="G38" s="362"/>
      <c r="H38" s="362"/>
    </row>
    <row r="39" spans="1:8" x14ac:dyDescent="0.25">
      <c r="A39" s="362"/>
      <c r="B39" s="362"/>
      <c r="C39" s="362"/>
      <c r="D39" s="562"/>
      <c r="E39" s="362"/>
      <c r="F39" s="362"/>
      <c r="G39" s="362"/>
      <c r="H39" s="362"/>
    </row>
    <row r="40" spans="1:8" x14ac:dyDescent="0.25">
      <c r="A40" s="362"/>
      <c r="B40" s="362"/>
      <c r="C40" s="362"/>
      <c r="D40" s="562"/>
      <c r="E40" s="362"/>
      <c r="F40" s="362"/>
      <c r="G40" s="362"/>
      <c r="H40" s="362"/>
    </row>
    <row r="41" spans="1:8" x14ac:dyDescent="0.25">
      <c r="A41" s="362"/>
      <c r="B41" s="362"/>
      <c r="C41" s="362"/>
      <c r="D41" s="562"/>
      <c r="E41" s="362"/>
      <c r="F41" s="362"/>
      <c r="G41" s="362"/>
      <c r="H41" s="362"/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Y33" activePane="bottomRight" state="frozen"/>
      <selection pane="topRight" activeCell="B1" sqref="B1"/>
      <selection pane="bottomLeft" activeCell="A6" sqref="A6"/>
      <selection pane="bottomRight" activeCell="AE40" sqref="AE40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1" width="13.5703125" style="125" customWidth="1"/>
    <col min="32" max="32" width="14.85546875" style="125" customWidth="1"/>
    <col min="33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6284</v>
      </c>
      <c r="B3" s="159"/>
      <c r="C3" s="159"/>
      <c r="D3" s="159"/>
    </row>
    <row r="4" spans="1:50" x14ac:dyDescent="0.25">
      <c r="A4" s="1456" t="s">
        <v>132</v>
      </c>
      <c r="B4" s="1456" t="s">
        <v>200</v>
      </c>
      <c r="C4" s="322"/>
      <c r="D4" s="322"/>
      <c r="E4" s="1454" t="s">
        <v>109</v>
      </c>
      <c r="F4" s="1455"/>
      <c r="G4" s="1455"/>
      <c r="H4" s="1455"/>
      <c r="I4" s="1455"/>
      <c r="J4" s="1455"/>
      <c r="K4" s="1455"/>
      <c r="L4" s="1455"/>
      <c r="M4" s="1455"/>
      <c r="N4" s="1455"/>
      <c r="O4" s="1455"/>
      <c r="P4" s="1455"/>
      <c r="Q4" s="1455"/>
      <c r="R4" s="1455"/>
      <c r="S4" s="1455"/>
      <c r="T4" s="1455"/>
      <c r="U4" s="1455"/>
      <c r="V4" s="1455"/>
      <c r="W4" s="1455"/>
      <c r="X4" s="1455"/>
      <c r="Y4" s="1455"/>
      <c r="Z4" s="1455"/>
      <c r="AA4" s="1455"/>
      <c r="AB4" s="1455"/>
      <c r="AC4" s="1455"/>
      <c r="AD4" s="1455"/>
      <c r="AE4" s="948"/>
      <c r="AF4" s="948"/>
      <c r="AG4" s="948"/>
      <c r="AH4" s="948"/>
      <c r="AI4" s="948"/>
      <c r="AJ4" s="948"/>
      <c r="AK4" s="948"/>
      <c r="AL4" s="1457" t="s">
        <v>24</v>
      </c>
      <c r="AN4" s="1452" t="s">
        <v>4308</v>
      </c>
      <c r="AP4" s="1452" t="s">
        <v>4309</v>
      </c>
      <c r="AR4" s="1452" t="s">
        <v>4310</v>
      </c>
      <c r="AT4" s="1452" t="s">
        <v>4311</v>
      </c>
      <c r="AV4" s="1452" t="s">
        <v>4307</v>
      </c>
      <c r="AX4" s="1452" t="s">
        <v>9</v>
      </c>
    </row>
    <row r="5" spans="1:50" x14ac:dyDescent="0.25">
      <c r="A5" s="1456"/>
      <c r="B5" s="1456"/>
      <c r="C5" s="323">
        <v>2</v>
      </c>
      <c r="D5" s="323">
        <v>3</v>
      </c>
      <c r="E5" s="323">
        <v>4</v>
      </c>
      <c r="F5" s="323">
        <v>5</v>
      </c>
      <c r="G5" s="323">
        <v>6</v>
      </c>
      <c r="H5" s="323">
        <v>7</v>
      </c>
      <c r="I5" s="323">
        <v>8</v>
      </c>
      <c r="J5" s="323">
        <v>9</v>
      </c>
      <c r="K5" s="323">
        <v>10</v>
      </c>
      <c r="L5" s="323">
        <v>11</v>
      </c>
      <c r="M5" s="323">
        <v>12</v>
      </c>
      <c r="N5" s="323">
        <v>13</v>
      </c>
      <c r="O5" s="323">
        <v>14</v>
      </c>
      <c r="P5" s="323">
        <v>15</v>
      </c>
      <c r="Q5" s="323">
        <v>16</v>
      </c>
      <c r="R5" s="323">
        <v>17</v>
      </c>
      <c r="S5" s="323">
        <v>18</v>
      </c>
      <c r="T5" s="323">
        <v>19</v>
      </c>
      <c r="U5" s="323">
        <v>20</v>
      </c>
      <c r="V5" s="323">
        <v>21</v>
      </c>
      <c r="W5" s="323">
        <v>22</v>
      </c>
      <c r="X5" s="323">
        <v>23</v>
      </c>
      <c r="Y5" s="323">
        <v>24</v>
      </c>
      <c r="Z5" s="323">
        <v>25</v>
      </c>
      <c r="AA5" s="323">
        <v>26</v>
      </c>
      <c r="AB5" s="323">
        <v>27</v>
      </c>
      <c r="AC5" s="323">
        <v>28</v>
      </c>
      <c r="AD5" s="323">
        <v>29</v>
      </c>
      <c r="AE5" s="323">
        <v>30</v>
      </c>
      <c r="AF5" s="323">
        <v>31</v>
      </c>
      <c r="AG5" s="323">
        <v>32</v>
      </c>
      <c r="AH5" s="323">
        <v>33</v>
      </c>
      <c r="AI5" s="323">
        <v>34</v>
      </c>
      <c r="AJ5" s="323">
        <v>35</v>
      </c>
      <c r="AK5" s="323">
        <v>36</v>
      </c>
      <c r="AL5" s="1457"/>
      <c r="AN5" s="1453"/>
      <c r="AP5" s="1453"/>
      <c r="AR5" s="1453"/>
      <c r="AT5" s="1453"/>
      <c r="AV5" s="1453"/>
      <c r="AX5" s="1453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4">
        <v>17632615668.91</v>
      </c>
      <c r="D9" s="329">
        <f t="shared" ref="D9:I9" si="0">C36</f>
        <v>17632615668.91</v>
      </c>
      <c r="E9" s="135">
        <f t="shared" si="0"/>
        <v>18077016746.91</v>
      </c>
      <c r="F9" s="134">
        <f t="shared" si="0"/>
        <v>18096849343.91</v>
      </c>
      <c r="G9" s="134">
        <f t="shared" si="0"/>
        <v>18146289942.91</v>
      </c>
      <c r="H9" s="134">
        <f t="shared" si="0"/>
        <v>18249009384.91</v>
      </c>
      <c r="I9" s="134">
        <f t="shared" si="0"/>
        <v>18249009384.91</v>
      </c>
      <c r="J9" s="134">
        <f t="shared" ref="J9:M17" si="1">I36</f>
        <v>18249009384.91</v>
      </c>
      <c r="K9" s="134">
        <f t="shared" si="1"/>
        <v>15273795870.34</v>
      </c>
      <c r="L9" s="134">
        <f t="shared" si="1"/>
        <v>20550972938.349998</v>
      </c>
      <c r="M9" s="134">
        <f t="shared" si="1"/>
        <v>21924937330.209999</v>
      </c>
      <c r="N9" s="134">
        <f t="shared" ref="N9:N17" si="2">M36</f>
        <v>29984178538.209999</v>
      </c>
      <c r="O9" s="134">
        <f t="shared" ref="O9:O17" si="3">N36</f>
        <v>22455765142.209999</v>
      </c>
      <c r="P9" s="134">
        <f t="shared" ref="P9:P17" si="4">O36</f>
        <v>26589886410.209999</v>
      </c>
      <c r="Q9" s="134">
        <f t="shared" ref="Q9:Q17" si="5">P36</f>
        <v>26589886410.209999</v>
      </c>
      <c r="R9" s="134">
        <f t="shared" ref="R9:T17" si="6">Q36</f>
        <v>30218942268.209999</v>
      </c>
      <c r="S9" s="134">
        <f t="shared" si="6"/>
        <v>19126367061.209999</v>
      </c>
      <c r="T9" s="134">
        <f t="shared" si="6"/>
        <v>15400987805.209999</v>
      </c>
      <c r="U9" s="134">
        <f t="shared" ref="U9:AC9" si="7">T36</f>
        <v>19262971660.209999</v>
      </c>
      <c r="V9" s="134">
        <f t="shared" si="7"/>
        <v>16953250636.66</v>
      </c>
      <c r="W9" s="134">
        <f t="shared" ref="W9:X17" si="8">V36</f>
        <v>23749311244.599998</v>
      </c>
      <c r="X9" s="134">
        <f t="shared" si="8"/>
        <v>23749311244.599998</v>
      </c>
      <c r="Y9" s="134">
        <f t="shared" si="7"/>
        <v>11413161158.6</v>
      </c>
      <c r="Z9" s="134">
        <f t="shared" si="7"/>
        <v>9635375173.2700005</v>
      </c>
      <c r="AA9" s="134">
        <f t="shared" si="7"/>
        <v>12582984762.27</v>
      </c>
      <c r="AB9" s="134">
        <f t="shared" si="7"/>
        <v>16055023919.27</v>
      </c>
      <c r="AC9" s="134">
        <f t="shared" si="7"/>
        <v>14940131425.27</v>
      </c>
      <c r="AD9" s="134">
        <f>AC36</f>
        <v>19974225882.27</v>
      </c>
      <c r="AE9" s="134">
        <f t="shared" ref="AE9:AK17" si="9">AD36</f>
        <v>19974225882.27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540763882407.6701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9">
        <v>696181232.60000002</v>
      </c>
      <c r="D10" s="329">
        <f t="shared" ref="D10:D17" si="11">C37</f>
        <v>705783090.60000002</v>
      </c>
      <c r="E10" s="135">
        <f t="shared" ref="E10:E17" si="12">D37</f>
        <v>705783090.60000002</v>
      </c>
      <c r="F10" s="134">
        <f t="shared" ref="F10:F17" si="13">E37</f>
        <v>705783090.60000002</v>
      </c>
      <c r="G10" s="134">
        <f t="shared" ref="G10:G17" si="14">F37</f>
        <v>705783090.60000002</v>
      </c>
      <c r="H10" s="134">
        <f t="shared" ref="H10:H17" si="15">G37</f>
        <v>705783090.60000002</v>
      </c>
      <c r="I10" s="134">
        <f t="shared" ref="I10:I17" si="16">H37</f>
        <v>705783090.60000002</v>
      </c>
      <c r="J10" s="134">
        <f t="shared" si="1"/>
        <v>705783090.60000002</v>
      </c>
      <c r="K10" s="134">
        <f t="shared" si="1"/>
        <v>563332365.60000002</v>
      </c>
      <c r="L10" s="134">
        <f t="shared" si="1"/>
        <v>451566112.60000002</v>
      </c>
      <c r="M10" s="134">
        <f t="shared" si="1"/>
        <v>451055312.60000002</v>
      </c>
      <c r="N10" s="134">
        <f t="shared" si="2"/>
        <v>449029312.60000002</v>
      </c>
      <c r="O10" s="134">
        <f t="shared" si="3"/>
        <v>454760091.60000002</v>
      </c>
      <c r="P10" s="134">
        <f t="shared" si="4"/>
        <v>454760091.60000002</v>
      </c>
      <c r="Q10" s="134">
        <f t="shared" si="5"/>
        <v>454760091.60000002</v>
      </c>
      <c r="R10" s="134">
        <f t="shared" si="6"/>
        <v>454760091.60000002</v>
      </c>
      <c r="S10" s="134">
        <f t="shared" si="6"/>
        <v>172930089.59999999</v>
      </c>
      <c r="T10" s="134">
        <f t="shared" si="6"/>
        <v>2172930089.5999999</v>
      </c>
      <c r="U10" s="134">
        <f t="shared" ref="U10:AC10" si="17">T37</f>
        <v>2143365717.5999999</v>
      </c>
      <c r="V10" s="134">
        <f t="shared" si="17"/>
        <v>2144426733.5999999</v>
      </c>
      <c r="W10" s="134">
        <f t="shared" si="8"/>
        <v>2144426733.5999999</v>
      </c>
      <c r="X10" s="134">
        <f t="shared" si="8"/>
        <v>2144426733.5999999</v>
      </c>
      <c r="Y10" s="134">
        <f t="shared" ref="Y10:Y17" si="18">X37</f>
        <v>2722753720.5999999</v>
      </c>
      <c r="Z10" s="134">
        <f t="shared" si="17"/>
        <v>1845739613.5999999</v>
      </c>
      <c r="AA10" s="134">
        <f t="shared" si="17"/>
        <v>371831527.60000002</v>
      </c>
      <c r="AB10" s="134">
        <f t="shared" si="17"/>
        <v>371831527.60000002</v>
      </c>
      <c r="AC10" s="134">
        <f t="shared" si="17"/>
        <v>780530046.60000002</v>
      </c>
      <c r="AD10" s="134">
        <f t="shared" ref="AD10:AD17" si="19">AC37</f>
        <v>780530046.60000002</v>
      </c>
      <c r="AE10" s="134">
        <f t="shared" si="9"/>
        <v>780530046.60000002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27166408916.799992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9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9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9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9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26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30">
        <v>447784171.04000002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12537956789.120008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31">
        <v>94694091.709999993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2651434567.8800006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19183731465.259998</v>
      </c>
      <c r="D18" s="332">
        <f>SUM(D9:D17)</f>
        <v>19193333323.259998</v>
      </c>
      <c r="E18" s="130">
        <f t="shared" ref="E18:AC18" si="28">SUM(E9:E17)</f>
        <v>19637734401.259998</v>
      </c>
      <c r="F18" s="130">
        <f t="shared" si="28"/>
        <v>19657566998.259998</v>
      </c>
      <c r="G18" s="130">
        <f t="shared" si="28"/>
        <v>19707007597.259998</v>
      </c>
      <c r="H18" s="130">
        <f t="shared" si="28"/>
        <v>19809727039.259998</v>
      </c>
      <c r="I18" s="130">
        <f t="shared" si="28"/>
        <v>19809727039.259998</v>
      </c>
      <c r="J18" s="130">
        <f t="shared" si="28"/>
        <v>19809727039.259998</v>
      </c>
      <c r="K18" s="130">
        <f t="shared" si="28"/>
        <v>16692062799.690001</v>
      </c>
      <c r="L18" s="130">
        <f t="shared" si="28"/>
        <v>21857473614.699997</v>
      </c>
      <c r="M18" s="130">
        <f t="shared" si="28"/>
        <v>23230927206.559998</v>
      </c>
      <c r="N18" s="131">
        <f t="shared" si="28"/>
        <v>31288142414.559998</v>
      </c>
      <c r="O18" s="131">
        <f t="shared" si="28"/>
        <v>23765459797.559998</v>
      </c>
      <c r="P18" s="131">
        <f t="shared" si="28"/>
        <v>27899581065.559998</v>
      </c>
      <c r="Q18" s="130">
        <f t="shared" si="28"/>
        <v>27899581065.559998</v>
      </c>
      <c r="R18" s="130">
        <f t="shared" si="28"/>
        <v>31528636923.559998</v>
      </c>
      <c r="S18" s="130">
        <f t="shared" si="28"/>
        <v>20154231714.559998</v>
      </c>
      <c r="T18" s="130">
        <f t="shared" si="28"/>
        <v>18428852458.559998</v>
      </c>
      <c r="U18" s="131">
        <f t="shared" si="28"/>
        <v>22261271941.559998</v>
      </c>
      <c r="V18" s="131">
        <f t="shared" si="28"/>
        <v>19952611934.009998</v>
      </c>
      <c r="W18" s="130">
        <f t="shared" si="28"/>
        <v>26748672541.949997</v>
      </c>
      <c r="X18" s="130">
        <f t="shared" si="28"/>
        <v>26748672541.949997</v>
      </c>
      <c r="Y18" s="130">
        <f t="shared" si="28"/>
        <v>14990849442.950001</v>
      </c>
      <c r="Z18" s="130">
        <f t="shared" si="28"/>
        <v>12336049350.620001</v>
      </c>
      <c r="AA18" s="130">
        <f t="shared" si="28"/>
        <v>13809750853.620001</v>
      </c>
      <c r="AB18" s="130">
        <f t="shared" si="28"/>
        <v>17281790010.619999</v>
      </c>
      <c r="AC18" s="131">
        <f t="shared" si="28"/>
        <v>16575596035.620001</v>
      </c>
      <c r="AD18" s="131">
        <f>SUM(AD9:AD17)</f>
        <v>21609690492.619999</v>
      </c>
      <c r="AE18" s="131">
        <f t="shared" ref="AE18:AK18" si="29">SUM(AE9:AE17)</f>
        <v>21609690492.619999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591868459109.47009</v>
      </c>
      <c r="AN18" s="130">
        <f>E18</f>
        <v>19637734401.259998</v>
      </c>
      <c r="AP18" s="130">
        <f>AN45</f>
        <v>20263729975.259998</v>
      </c>
      <c r="AR18" s="130">
        <f>AP45</f>
        <v>28353584001.559998</v>
      </c>
      <c r="AT18" s="130">
        <f>AR45</f>
        <v>27202675477.949997</v>
      </c>
      <c r="AV18" s="130">
        <f>AT45</f>
        <v>22063693428.619995</v>
      </c>
      <c r="AX18" s="130">
        <f>AN18</f>
        <v>19637734401.259998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RECEIPT!D104</f>
        <v>9601858</v>
      </c>
      <c r="D20" s="330">
        <f>RECEIPT!E104</f>
        <v>444401078</v>
      </c>
      <c r="E20" s="330">
        <f>RECEIPT!F104</f>
        <v>19832597</v>
      </c>
      <c r="F20" s="330">
        <f>RECEIPT!G104</f>
        <v>49440599</v>
      </c>
      <c r="G20" s="330">
        <f>RECEIPT!H104</f>
        <v>102719442</v>
      </c>
      <c r="H20" s="330">
        <f>RECEIPT!I104</f>
        <v>0</v>
      </c>
      <c r="I20" s="330">
        <f>RECEIPT!J104</f>
        <v>0</v>
      </c>
      <c r="J20" s="330">
        <f>RECEIPT!K104</f>
        <v>2076895963.4300001</v>
      </c>
      <c r="K20" s="330">
        <f>RECEIPT!L104</f>
        <v>5294381377.0100002</v>
      </c>
      <c r="L20" s="330">
        <f>RECEIPT!M104</f>
        <v>7387410108.8600006</v>
      </c>
      <c r="M20" s="330">
        <f>RECEIPT!N104</f>
        <v>9007287720</v>
      </c>
      <c r="N20" s="330">
        <f>RECEIPT!O104</f>
        <v>4796569790</v>
      </c>
      <c r="O20" s="330">
        <f>RECEIPT!P104</f>
        <v>4134121268</v>
      </c>
      <c r="P20" s="330">
        <f>RECEIPT!Q104</f>
        <v>0</v>
      </c>
      <c r="Q20" s="330">
        <f>RECEIPT!R104</f>
        <v>3629055858</v>
      </c>
      <c r="R20" s="330">
        <f>RECEIPT!S104</f>
        <v>3713077215</v>
      </c>
      <c r="S20" s="330">
        <f>RECEIPT!T104</f>
        <v>5433917353</v>
      </c>
      <c r="T20" s="330">
        <f>RECEIPT!U104</f>
        <v>3987950982</v>
      </c>
      <c r="U20" s="330">
        <f>RECEIPT!V104</f>
        <v>8235763713.8000002</v>
      </c>
      <c r="V20" s="330">
        <f>RECEIPT!W104</f>
        <v>6796060607.9400005</v>
      </c>
      <c r="W20" s="330">
        <f>RECEIPT!X104</f>
        <v>0</v>
      </c>
      <c r="X20" s="330">
        <f>RECEIPT!Y104</f>
        <v>3233663905</v>
      </c>
      <c r="Y20" s="330">
        <f>RECEIPT!Z104</f>
        <v>3700471462.6700001</v>
      </c>
      <c r="Z20" s="330">
        <f>RECEIPT!AA104</f>
        <v>3126102096</v>
      </c>
      <c r="AA20" s="330">
        <f>RECEIPT!AB104</f>
        <v>3472039157</v>
      </c>
      <c r="AB20" s="330">
        <f>RECEIPT!AC104</f>
        <v>4143073594</v>
      </c>
      <c r="AC20" s="330">
        <f>RECEIPT!AD104</f>
        <v>5034094457</v>
      </c>
      <c r="AD20" s="330">
        <f>RECEIPT!AE104</f>
        <v>0</v>
      </c>
      <c r="AE20" s="330">
        <f>RECEIPT!AF104</f>
        <v>0</v>
      </c>
      <c r="AF20" s="330">
        <f>RECEIPT!AG104</f>
        <v>0</v>
      </c>
      <c r="AG20" s="330">
        <f>RECEIPT!AH104</f>
        <v>0</v>
      </c>
      <c r="AH20" s="330">
        <f>RECEIPT!AI104</f>
        <v>0</v>
      </c>
      <c r="AI20" s="330">
        <f>RECEIPT!AJ104</f>
        <v>0</v>
      </c>
      <c r="AJ20" s="330">
        <f>RECEIPT!AK104</f>
        <v>0</v>
      </c>
      <c r="AK20" s="330">
        <f>RECEIPT!AL104</f>
        <v>0</v>
      </c>
      <c r="AL20" s="156">
        <f>RECEIPT!AM103</f>
        <v>0</v>
      </c>
      <c r="AN20" s="156">
        <f>C20+D20+E20+F20+G20+H20+I20</f>
        <v>625995574</v>
      </c>
      <c r="AP20" s="156">
        <f>J20+K20+L20+M20+N20+O20+P20</f>
        <v>32696666227.300003</v>
      </c>
      <c r="AR20" s="156">
        <f>Q20+R20+S20+T20+U20+V20+W20</f>
        <v>31795825729.739998</v>
      </c>
      <c r="AS20" s="593"/>
      <c r="AT20" s="156">
        <f>X20+Y20+Z20+AA20+AB20+AC20+AD20</f>
        <v>22709444671.669998</v>
      </c>
      <c r="AU20" s="592"/>
      <c r="AV20" s="156"/>
      <c r="AX20" s="156">
        <f>AN20+AP20+AR20+AT20+AV20</f>
        <v>87827932202.709991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19193333323.259998</v>
      </c>
      <c r="D22" s="324">
        <f>D18+D20</f>
        <v>19637734401.259998</v>
      </c>
      <c r="E22" s="153">
        <f t="shared" ref="E22:AK22" si="30">E18+E20</f>
        <v>19657566998.259998</v>
      </c>
      <c r="F22" s="153">
        <f>F18+F20</f>
        <v>19707007597.259998</v>
      </c>
      <c r="G22" s="153">
        <f t="shared" si="30"/>
        <v>19809727039.259998</v>
      </c>
      <c r="H22" s="153">
        <f t="shared" si="30"/>
        <v>19809727039.259998</v>
      </c>
      <c r="I22" s="153">
        <f t="shared" si="30"/>
        <v>19809727039.259998</v>
      </c>
      <c r="J22" s="153">
        <f t="shared" si="30"/>
        <v>21886623002.689999</v>
      </c>
      <c r="K22" s="153">
        <f t="shared" si="30"/>
        <v>21986444176.700001</v>
      </c>
      <c r="L22" s="153">
        <f t="shared" si="30"/>
        <v>29244883723.559998</v>
      </c>
      <c r="M22" s="153">
        <f t="shared" si="30"/>
        <v>32238214926.559998</v>
      </c>
      <c r="N22" s="153">
        <f t="shared" si="30"/>
        <v>36084712204.559998</v>
      </c>
      <c r="O22" s="153">
        <f t="shared" si="30"/>
        <v>27899581065.559998</v>
      </c>
      <c r="P22" s="153">
        <f t="shared" si="30"/>
        <v>27899581065.559998</v>
      </c>
      <c r="Q22" s="153">
        <f t="shared" si="30"/>
        <v>31528636923.559998</v>
      </c>
      <c r="R22" s="153">
        <f t="shared" si="30"/>
        <v>35241714138.559998</v>
      </c>
      <c r="S22" s="153">
        <f t="shared" si="30"/>
        <v>25588149067.559998</v>
      </c>
      <c r="T22" s="153">
        <f t="shared" si="30"/>
        <v>22416803440.559998</v>
      </c>
      <c r="U22" s="153">
        <f t="shared" si="30"/>
        <v>30497035655.359997</v>
      </c>
      <c r="V22" s="153">
        <f t="shared" si="30"/>
        <v>26748672541.949997</v>
      </c>
      <c r="W22" s="153">
        <f t="shared" si="30"/>
        <v>26748672541.949997</v>
      </c>
      <c r="X22" s="153">
        <f t="shared" si="30"/>
        <v>29982336446.949997</v>
      </c>
      <c r="Y22" s="153">
        <f t="shared" si="30"/>
        <v>18691320905.620003</v>
      </c>
      <c r="Z22" s="153">
        <f t="shared" si="30"/>
        <v>15462151446.620001</v>
      </c>
      <c r="AA22" s="153">
        <f t="shared" si="30"/>
        <v>17281790010.620003</v>
      </c>
      <c r="AB22" s="153">
        <f t="shared" si="30"/>
        <v>21424863604.619999</v>
      </c>
      <c r="AC22" s="153">
        <f t="shared" si="30"/>
        <v>21609690492.620003</v>
      </c>
      <c r="AD22" s="153">
        <f t="shared" si="30"/>
        <v>21609690492.619999</v>
      </c>
      <c r="AE22" s="153">
        <f t="shared" si="30"/>
        <v>21609690492.619999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591868459109.47009</v>
      </c>
      <c r="AN22" s="153">
        <f>AN18+AN20</f>
        <v>20263729975.259998</v>
      </c>
      <c r="AP22" s="153">
        <f>AP18+AP20</f>
        <v>52960396202.559998</v>
      </c>
      <c r="AR22" s="153">
        <f>AR18+AR20</f>
        <v>60149409731.299995</v>
      </c>
      <c r="AT22" s="153">
        <f>AT18+AT20</f>
        <v>49912120149.619995</v>
      </c>
      <c r="AV22" s="153">
        <f>AV18+AV20</f>
        <v>22063693428.619995</v>
      </c>
      <c r="AX22" s="153">
        <f>AX18+AX20</f>
        <v>107465666603.96999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0</v>
      </c>
      <c r="D26" s="325">
        <f>ATTACH!D11</f>
        <v>0</v>
      </c>
      <c r="E26" s="325">
        <f>ATTACH!E11</f>
        <v>0</v>
      </c>
      <c r="F26" s="325">
        <f>ATTACH!F11</f>
        <v>0</v>
      </c>
      <c r="G26" s="325">
        <f>ATTACH!G11</f>
        <v>0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0</v>
      </c>
      <c r="L26" s="325">
        <f>ATTACH!L11</f>
        <v>5712744755</v>
      </c>
      <c r="M26" s="325">
        <f>ATTACH!M11</f>
        <v>0</v>
      </c>
      <c r="N26" s="325">
        <f>ATTACH!N11</f>
        <v>7136775898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8894746500</v>
      </c>
      <c r="S26" s="325">
        <f>ATTACH!S11</f>
        <v>2897931347</v>
      </c>
      <c r="T26" s="325">
        <f>ATTACH!T11</f>
        <v>0</v>
      </c>
      <c r="U26" s="325">
        <f>ATTACH!U11</f>
        <v>6793487608</v>
      </c>
      <c r="V26" s="325">
        <f>ATTACH!V11</f>
        <v>0</v>
      </c>
      <c r="W26" s="325">
        <f>ATTACH!W11</f>
        <v>0</v>
      </c>
      <c r="X26" s="325">
        <f>ATTACH!X11</f>
        <v>11099128103</v>
      </c>
      <c r="Y26" s="325">
        <f>ATTACH!Y11</f>
        <v>0</v>
      </c>
      <c r="Z26" s="325">
        <f>ATTACH!Z11</f>
        <v>0</v>
      </c>
      <c r="AA26" s="325">
        <f>ATTACH!AA11</f>
        <v>0</v>
      </c>
      <c r="AB26" s="325">
        <f>ATTACH!AB11</f>
        <v>4409479813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46944294024</v>
      </c>
      <c r="AN26" s="148">
        <f>C26+D26+E26+F26+G26+H26+I26</f>
        <v>0</v>
      </c>
      <c r="AP26" s="148">
        <f>J26+K26+L26+M26+N26+O26+P26</f>
        <v>12849520653</v>
      </c>
      <c r="AR26" s="148">
        <f>Q26+R26+S26+T26+U26+V26+W26</f>
        <v>18586165455</v>
      </c>
      <c r="AT26" s="148">
        <f>X26+Y26+Z26+AA26+AB26+AC26+AD26</f>
        <v>15508607916</v>
      </c>
      <c r="AV26" s="148"/>
      <c r="AX26" s="148">
        <f>AN26+AP26+AR26+AT26+AV26</f>
        <v>46944294024</v>
      </c>
    </row>
    <row r="27" spans="1:50" x14ac:dyDescent="0.25">
      <c r="A27" s="149" t="s">
        <v>110</v>
      </c>
      <c r="B27" s="137"/>
      <c r="C27" s="325">
        <f>ATTACH!C24+ATTACH!C73</f>
        <v>0</v>
      </c>
      <c r="D27" s="325">
        <f>ATTACH!D24+ATTACH!D73</f>
        <v>0</v>
      </c>
      <c r="E27" s="325">
        <f>ATTACH!E24+ATTACH!E73</f>
        <v>0</v>
      </c>
      <c r="F27" s="325">
        <f>ATTACH!F24+ATTACH!F73</f>
        <v>0</v>
      </c>
      <c r="G27" s="325">
        <f>ATTACH!G24+ATTACH!G73</f>
        <v>0</v>
      </c>
      <c r="H27" s="325">
        <f>ATTACH!H24+ATTACH!H73</f>
        <v>0</v>
      </c>
      <c r="I27" s="325">
        <f>ATTACH!I24+ATTACH!I73</f>
        <v>0</v>
      </c>
      <c r="J27" s="325">
        <f>ATTACH!J24+ATTACH!J73</f>
        <v>4443911544</v>
      </c>
      <c r="K27" s="325">
        <f>ATTACH!K24+ATTACH!K73</f>
        <v>0</v>
      </c>
      <c r="L27" s="325">
        <f>ATTACH!L24+ATTACH!L73</f>
        <v>273386361</v>
      </c>
      <c r="M27" s="325">
        <f>ATTACH!M24+ATTACH!M73</f>
        <v>947946512</v>
      </c>
      <c r="N27" s="325">
        <f>ATTACH!N24+ATTACH!N73</f>
        <v>5139234454</v>
      </c>
      <c r="O27" s="325">
        <f>ATTACH!O24+ATTACH!O73</f>
        <v>0</v>
      </c>
      <c r="P27" s="325">
        <f>ATTACH!P24+ATTACH!P73</f>
        <v>0</v>
      </c>
      <c r="Q27" s="325">
        <f>ATTACH!Q24+ATTACH!Q73</f>
        <v>0</v>
      </c>
      <c r="R27" s="325">
        <f>ATTACH!R24+ATTACH!R73</f>
        <v>5837163626</v>
      </c>
      <c r="S27" s="325">
        <f>ATTACH!S24+ATTACH!S73</f>
        <v>4238015585</v>
      </c>
      <c r="T27" s="325">
        <f>ATTACH!T24+ATTACH!T73</f>
        <v>125921966</v>
      </c>
      <c r="U27" s="325">
        <f>ATTACH!U24+ATTACH!U73</f>
        <v>3627785770</v>
      </c>
      <c r="V27" s="325">
        <f>ATTACH!V24+ATTACH!V73</f>
        <v>0</v>
      </c>
      <c r="W27" s="325">
        <f>ATTACH!W24+ATTACH!W73</f>
        <v>0</v>
      </c>
      <c r="X27" s="325">
        <f>ATTACH!X24+ATTACH!X73</f>
        <v>3602174629</v>
      </c>
      <c r="Y27" s="325">
        <f>ATTACH!Y24+ATTACH!Y73</f>
        <v>5478157448</v>
      </c>
      <c r="Z27" s="325">
        <f>ATTACH!Z24+ATTACH!Z73</f>
        <v>177942507</v>
      </c>
      <c r="AA27" s="325">
        <f>ATTACH!AA24+ATTACH!AA73</f>
        <v>0</v>
      </c>
      <c r="AB27" s="325">
        <f>ATTACH!AB24+ATTACH!AB73</f>
        <v>7574631</v>
      </c>
      <c r="AC27" s="325">
        <f>ATTACH!AC24+ATTACH!AC73</f>
        <v>0</v>
      </c>
      <c r="AD27" s="325">
        <f>ATTACH!AD24+ATTACH!AD73</f>
        <v>0</v>
      </c>
      <c r="AE27" s="325">
        <f>ATTACH!AE24+ATTACH!AE73</f>
        <v>0</v>
      </c>
      <c r="AF27" s="325">
        <f>ATTACH!AF24+ATTACH!AF73</f>
        <v>0</v>
      </c>
      <c r="AG27" s="325">
        <f>ATTACH!AG24+ATTACH!AG73</f>
        <v>0</v>
      </c>
      <c r="AH27" s="325">
        <f>ATTACH!AH24+ATTACH!AH73</f>
        <v>0</v>
      </c>
      <c r="AI27" s="325">
        <f>ATTACH!AI24+ATTACH!AI73</f>
        <v>0</v>
      </c>
      <c r="AJ27" s="325">
        <f>ATTACH!AJ24+ATTACH!AJ73</f>
        <v>0</v>
      </c>
      <c r="AK27" s="325">
        <f>ATTACH!AK24+ATTACH!AK73</f>
        <v>0</v>
      </c>
      <c r="AL27" s="138">
        <f>SUM(C27:AD27)</f>
        <v>33899215033</v>
      </c>
      <c r="AN27" s="148">
        <f>C27+D27+E27+F27+G27+H27+I27</f>
        <v>0</v>
      </c>
      <c r="AP27" s="148">
        <f>J27+K27+L27+M27+N27+O27+P27</f>
        <v>10804478871</v>
      </c>
      <c r="AR27" s="148">
        <f>Q27+R27+S27+T27+U27+V27+W27</f>
        <v>13828886947</v>
      </c>
      <c r="AT27" s="148">
        <f>X27+Y27+Z27+AA27+AB27+AC27+AD27</f>
        <v>9265849215</v>
      </c>
      <c r="AV27" s="148"/>
      <c r="AX27" s="148">
        <f>AN27+AP27+AR27+AT27+AV27</f>
        <v>33899215033</v>
      </c>
    </row>
    <row r="28" spans="1:50" x14ac:dyDescent="0.25">
      <c r="A28" s="149" t="s">
        <v>194</v>
      </c>
      <c r="B28" s="137"/>
      <c r="C28" s="325">
        <f>ATTACH!C93</f>
        <v>0</v>
      </c>
      <c r="D28" s="325">
        <f>ATTACH!D93</f>
        <v>0</v>
      </c>
      <c r="E28" s="325">
        <f>ATTACH!E93</f>
        <v>0</v>
      </c>
      <c r="F28" s="325">
        <f>ATTACH!F93</f>
        <v>0</v>
      </c>
      <c r="G28" s="325">
        <f>ATTACH!G93</f>
        <v>0</v>
      </c>
      <c r="H28" s="325">
        <f>ATTACH!H93</f>
        <v>0</v>
      </c>
      <c r="I28" s="325">
        <f>ATTACH!I93</f>
        <v>0</v>
      </c>
      <c r="J28" s="325">
        <f>ATTACH!J93</f>
        <v>185371454</v>
      </c>
      <c r="K28" s="325">
        <f>ATTACH!K93</f>
        <v>15000000</v>
      </c>
      <c r="L28" s="325">
        <f>ATTACH!L93</f>
        <v>0</v>
      </c>
      <c r="M28" s="325">
        <f>ATTACH!M93</f>
        <v>0</v>
      </c>
      <c r="N28" s="325">
        <f>ATTACH!N93</f>
        <v>0</v>
      </c>
      <c r="O28" s="325">
        <f>ATTACH!O93</f>
        <v>0</v>
      </c>
      <c r="P28" s="325">
        <f>ATTACH!P93</f>
        <v>0</v>
      </c>
      <c r="Q28" s="325">
        <f>ATTACH!Q93</f>
        <v>0</v>
      </c>
      <c r="R28" s="325">
        <f>ATTACH!R93</f>
        <v>196714228</v>
      </c>
      <c r="S28" s="325">
        <f>ATTACH!S93</f>
        <v>0</v>
      </c>
      <c r="T28" s="325">
        <f>ATTACH!T93</f>
        <v>0</v>
      </c>
      <c r="U28" s="325">
        <f>ATTACH!U93</f>
        <v>0</v>
      </c>
      <c r="V28" s="325">
        <f>ATTACH!V93</f>
        <v>0</v>
      </c>
      <c r="W28" s="325">
        <f>ATTACH!W93</f>
        <v>0</v>
      </c>
      <c r="X28" s="325">
        <f>ATTACH!X93</f>
        <v>190661996</v>
      </c>
      <c r="Y28" s="325">
        <f>ATTACH!Y93</f>
        <v>0</v>
      </c>
      <c r="Z28" s="325">
        <f>ATTACH!Z93</f>
        <v>0</v>
      </c>
      <c r="AA28" s="325">
        <f>ATTACH!AA93</f>
        <v>0</v>
      </c>
      <c r="AB28" s="325">
        <f>ATTACH!AB93</f>
        <v>0</v>
      </c>
      <c r="AC28" s="325">
        <f>ATTACH!AC93</f>
        <v>0</v>
      </c>
      <c r="AD28" s="325">
        <f>ATTACH!AD93</f>
        <v>0</v>
      </c>
      <c r="AE28" s="325">
        <f>ATTACH!AE93</f>
        <v>0</v>
      </c>
      <c r="AF28" s="325">
        <f>ATTACH!AF93</f>
        <v>0</v>
      </c>
      <c r="AG28" s="325">
        <f>ATTACH!AG93</f>
        <v>0</v>
      </c>
      <c r="AH28" s="325">
        <f>ATTACH!AH93</f>
        <v>0</v>
      </c>
      <c r="AI28" s="325">
        <f>ATTACH!AI93</f>
        <v>0</v>
      </c>
      <c r="AJ28" s="325">
        <f>ATTACH!AJ93</f>
        <v>0</v>
      </c>
      <c r="AK28" s="325">
        <f>ATTACH!AK93</f>
        <v>0</v>
      </c>
      <c r="AL28" s="138">
        <f>SUM(C28:AD28)</f>
        <v>587747678</v>
      </c>
      <c r="AN28" s="148">
        <f>C28+D28+E28+F28+G28+H28+I28</f>
        <v>0</v>
      </c>
      <c r="AP28" s="148">
        <f>J28+K28+L28+M28+N28+O28+P28</f>
        <v>200371454</v>
      </c>
      <c r="AR28" s="148">
        <f>Q28+R28+S28+T28+U28+V28+W28</f>
        <v>196714228</v>
      </c>
      <c r="AT28" s="148">
        <f>X28+Y28+Z28+AA28+AB28+AC28+AD28</f>
        <v>190661996</v>
      </c>
      <c r="AV28" s="148"/>
      <c r="AX28" s="148">
        <f>AN28+AP28+AR28+AT28+AV28</f>
        <v>587747678</v>
      </c>
    </row>
    <row r="29" spans="1:50" x14ac:dyDescent="0.25">
      <c r="A29" s="149" t="s">
        <v>193</v>
      </c>
      <c r="B29" s="137"/>
      <c r="C29" s="325">
        <f>ATTACH!C112</f>
        <v>0</v>
      </c>
      <c r="D29" s="325">
        <f>ATTACH!D112</f>
        <v>0</v>
      </c>
      <c r="E29" s="325">
        <f>ATTACH!E112</f>
        <v>0</v>
      </c>
      <c r="F29" s="325">
        <f>ATTACH!F112</f>
        <v>0</v>
      </c>
      <c r="G29" s="325">
        <f>ATTACH!G112</f>
        <v>0</v>
      </c>
      <c r="H29" s="325">
        <f>ATTACH!H112</f>
        <v>0</v>
      </c>
      <c r="I29" s="325">
        <f>ATTACH!I112</f>
        <v>0</v>
      </c>
      <c r="J29" s="325">
        <f>ATTACH!J112</f>
        <v>209847750</v>
      </c>
      <c r="K29" s="325">
        <f>ATTACH!K112</f>
        <v>0</v>
      </c>
      <c r="L29" s="325">
        <f>ATTACH!L112</f>
        <v>0</v>
      </c>
      <c r="M29" s="325">
        <f>ATTACH!M112</f>
        <v>1108000</v>
      </c>
      <c r="N29" s="325">
        <f>ATTACH!N112</f>
        <v>1600000</v>
      </c>
      <c r="O29" s="325">
        <f>ATTACH!O112</f>
        <v>0</v>
      </c>
      <c r="P29" s="325">
        <f>ATTACH!P112</f>
        <v>0</v>
      </c>
      <c r="Q29" s="325">
        <f>ATTACH!Q112</f>
        <v>0</v>
      </c>
      <c r="R29" s="325">
        <f>ATTACH!R112</f>
        <v>30672599</v>
      </c>
      <c r="S29" s="325">
        <f>ATTACH!S112</f>
        <v>0</v>
      </c>
      <c r="T29" s="325">
        <f>ATTACH!T112</f>
        <v>9424000</v>
      </c>
      <c r="U29" s="325">
        <f>ATTACH!U112</f>
        <v>0</v>
      </c>
      <c r="V29" s="325">
        <f>ATTACH!V112</f>
        <v>0</v>
      </c>
      <c r="W29" s="325">
        <f>ATTACH!W112</f>
        <v>0</v>
      </c>
      <c r="X29" s="325">
        <f>ATTACH!X112</f>
        <v>6651500</v>
      </c>
      <c r="Y29" s="325">
        <f>ATTACH!Y112</f>
        <v>0</v>
      </c>
      <c r="Z29" s="325">
        <f>ATTACH!Z112</f>
        <v>0</v>
      </c>
      <c r="AA29" s="325">
        <f>ATTACH!AA112</f>
        <v>0</v>
      </c>
      <c r="AB29" s="325">
        <f>ATTACH!AB112</f>
        <v>105398816</v>
      </c>
      <c r="AC29" s="325">
        <f>ATTACH!AC112</f>
        <v>0</v>
      </c>
      <c r="AD29" s="325">
        <f>ATTACH!AD112</f>
        <v>0</v>
      </c>
      <c r="AE29" s="325">
        <f>ATTACH!AE112</f>
        <v>0</v>
      </c>
      <c r="AF29" s="325">
        <f>ATTACH!AF112</f>
        <v>0</v>
      </c>
      <c r="AG29" s="325">
        <f>ATTACH!AG112</f>
        <v>0</v>
      </c>
      <c r="AH29" s="325">
        <f>ATTACH!AH112</f>
        <v>0</v>
      </c>
      <c r="AI29" s="325">
        <f>ATTACH!AI112</f>
        <v>0</v>
      </c>
      <c r="AJ29" s="325">
        <f>ATTACH!AJ112</f>
        <v>0</v>
      </c>
      <c r="AK29" s="325">
        <f>ATTACH!AK112</f>
        <v>0</v>
      </c>
      <c r="AL29" s="138">
        <f>SUM(C29:AD29)</f>
        <v>364702665</v>
      </c>
      <c r="AN29" s="148">
        <f>C29+D29+E29+F29+G29+H29+I29</f>
        <v>0</v>
      </c>
      <c r="AP29" s="148">
        <f>J29+K29+L29+M29+N29+O29+P29</f>
        <v>212555750</v>
      </c>
      <c r="AR29" s="148">
        <f>Q29+R29+S29+T29+U29+V29+W29</f>
        <v>40096599</v>
      </c>
      <c r="AT29" s="148">
        <f>X29+Y29+Z29+AA29+AB29+AC29+AD29</f>
        <v>112050316</v>
      </c>
      <c r="AV29" s="148"/>
      <c r="AX29" s="148">
        <f>AN29+AP29+AR29+AT29+AV29</f>
        <v>364702665</v>
      </c>
    </row>
    <row r="30" spans="1:50" x14ac:dyDescent="0.25">
      <c r="A30" s="149" t="s">
        <v>92</v>
      </c>
      <c r="B30" s="137"/>
      <c r="C30" s="325">
        <f>ATTACH!C168</f>
        <v>0</v>
      </c>
      <c r="D30" s="325">
        <f>ATTACH!D168</f>
        <v>0</v>
      </c>
      <c r="E30" s="325">
        <f>ATTACH!E168</f>
        <v>0</v>
      </c>
      <c r="F30" s="325">
        <f>ATTACH!F168</f>
        <v>0</v>
      </c>
      <c r="G30" s="325">
        <f>ATTACH!G168</f>
        <v>0</v>
      </c>
      <c r="H30" s="325">
        <f>ATTACH!H168</f>
        <v>0</v>
      </c>
      <c r="I30" s="325">
        <f>ATTACH!I168</f>
        <v>0</v>
      </c>
      <c r="J30" s="325">
        <f>ATTACH!J168</f>
        <v>355429455</v>
      </c>
      <c r="K30" s="325">
        <f>ATTACH!K168</f>
        <v>113970562</v>
      </c>
      <c r="L30" s="325">
        <f>ATTACH!L168</f>
        <v>27825401</v>
      </c>
      <c r="M30" s="325">
        <f>ATTACH!M168</f>
        <v>1018000</v>
      </c>
      <c r="N30" s="325">
        <f>ATTACH!N168</f>
        <v>41642055</v>
      </c>
      <c r="O30" s="325">
        <f>ATTACH!O168</f>
        <v>0</v>
      </c>
      <c r="P30" s="325">
        <f>ATTACH!P168</f>
        <v>0</v>
      </c>
      <c r="Q30" s="325">
        <f>ATTACH!Q168</f>
        <v>0</v>
      </c>
      <c r="R30" s="325">
        <f>ATTACH!R168</f>
        <v>128185471</v>
      </c>
      <c r="S30" s="325">
        <f>ATTACH!S168</f>
        <v>23349677</v>
      </c>
      <c r="T30" s="325">
        <f>ATTACH!T168</f>
        <v>20185533</v>
      </c>
      <c r="U30" s="325">
        <f>ATTACH!U168</f>
        <v>123150343.34999999</v>
      </c>
      <c r="V30" s="325">
        <f>ATTACH!V168</f>
        <v>0</v>
      </c>
      <c r="W30" s="325">
        <f>ATTACH!W168</f>
        <v>0</v>
      </c>
      <c r="X30" s="325">
        <f>ATTACH!X168</f>
        <v>92870776</v>
      </c>
      <c r="Y30" s="325">
        <f>ATTACH!Y168</f>
        <v>877114107</v>
      </c>
      <c r="Z30" s="325">
        <f>ATTACH!Z168</f>
        <v>1474458086</v>
      </c>
      <c r="AA30" s="325">
        <f>ATTACH!AA168</f>
        <v>0</v>
      </c>
      <c r="AB30" s="325">
        <f>ATTACH!AB168</f>
        <v>326814309</v>
      </c>
      <c r="AC30" s="325">
        <f>ATTACH!AC168</f>
        <v>0</v>
      </c>
      <c r="AD30" s="325">
        <f>ATTACH!AD168</f>
        <v>0</v>
      </c>
      <c r="AE30" s="325">
        <f>ATTACH!AE168</f>
        <v>0</v>
      </c>
      <c r="AF30" s="325">
        <f>ATTACH!AF168</f>
        <v>0</v>
      </c>
      <c r="AG30" s="325">
        <f>ATTACH!AG168</f>
        <v>0</v>
      </c>
      <c r="AH30" s="325">
        <f>ATTACH!AH168</f>
        <v>0</v>
      </c>
      <c r="AI30" s="325">
        <f>ATTACH!AI168</f>
        <v>0</v>
      </c>
      <c r="AJ30" s="325">
        <f>ATTACH!AJ168</f>
        <v>0</v>
      </c>
      <c r="AK30" s="325">
        <f>ATTACH!AK168</f>
        <v>0</v>
      </c>
      <c r="AL30" s="138">
        <f>SUM(C30:AD30)</f>
        <v>3606013775.3499999</v>
      </c>
      <c r="AN30" s="148">
        <f>C30+D30+E30+F30+G30+H30+I30</f>
        <v>0</v>
      </c>
      <c r="AP30" s="148">
        <f>J30+K30+L30+M30+N30+O30+P30</f>
        <v>539885473</v>
      </c>
      <c r="AR30" s="148">
        <f>Q30+R30+S30+T30+U30+V30+W30</f>
        <v>294871024.35000002</v>
      </c>
      <c r="AT30" s="148">
        <f>X30+Y30+Z30+AA30+AB30+AC30+AD30</f>
        <v>2771257278</v>
      </c>
      <c r="AV30" s="148"/>
      <c r="AX30" s="148">
        <f>AN30+AP30+AR30+AT30+AV30</f>
        <v>3606013775.3499999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0</v>
      </c>
      <c r="D31" s="326">
        <f>SUM(D26:D30)</f>
        <v>0</v>
      </c>
      <c r="E31" s="145">
        <f t="shared" ref="E31:AK31" si="31">SUM(E26:E30)</f>
        <v>0</v>
      </c>
      <c r="F31" s="145">
        <f>SUM(F26:F30)</f>
        <v>0</v>
      </c>
      <c r="G31" s="145">
        <f t="shared" si="31"/>
        <v>0</v>
      </c>
      <c r="H31" s="145">
        <f t="shared" si="31"/>
        <v>0</v>
      </c>
      <c r="I31" s="145">
        <f t="shared" si="31"/>
        <v>0</v>
      </c>
      <c r="J31" s="145">
        <f t="shared" si="31"/>
        <v>5194560203</v>
      </c>
      <c r="K31" s="145">
        <f t="shared" si="31"/>
        <v>128970562</v>
      </c>
      <c r="L31" s="145">
        <f t="shared" si="31"/>
        <v>6013956517</v>
      </c>
      <c r="M31" s="145">
        <f t="shared" si="31"/>
        <v>950072512</v>
      </c>
      <c r="N31" s="145">
        <f t="shared" si="31"/>
        <v>12319252407</v>
      </c>
      <c r="O31" s="145">
        <f t="shared" si="31"/>
        <v>0</v>
      </c>
      <c r="P31" s="145">
        <f t="shared" si="31"/>
        <v>0</v>
      </c>
      <c r="Q31" s="145">
        <f t="shared" si="31"/>
        <v>0</v>
      </c>
      <c r="R31" s="145">
        <f t="shared" si="31"/>
        <v>15087482424</v>
      </c>
      <c r="S31" s="145">
        <f t="shared" si="31"/>
        <v>7159296609</v>
      </c>
      <c r="T31" s="145">
        <f t="shared" si="31"/>
        <v>155531499</v>
      </c>
      <c r="U31" s="145">
        <f t="shared" si="31"/>
        <v>10544423721.35</v>
      </c>
      <c r="V31" s="145">
        <f t="shared" si="31"/>
        <v>0</v>
      </c>
      <c r="W31" s="145">
        <f t="shared" si="31"/>
        <v>0</v>
      </c>
      <c r="X31" s="145">
        <f t="shared" si="31"/>
        <v>14991487004</v>
      </c>
      <c r="Y31" s="145">
        <f t="shared" si="31"/>
        <v>6355271555</v>
      </c>
      <c r="Z31" s="145">
        <f t="shared" si="31"/>
        <v>1652400593</v>
      </c>
      <c r="AA31" s="145">
        <f t="shared" si="31"/>
        <v>0</v>
      </c>
      <c r="AB31" s="145">
        <f t="shared" si="31"/>
        <v>4849267569</v>
      </c>
      <c r="AC31" s="145">
        <f t="shared" si="31"/>
        <v>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85401973175.350006</v>
      </c>
      <c r="AN31" s="144">
        <f>SUM(AN26:AN30)</f>
        <v>0</v>
      </c>
      <c r="AP31" s="144">
        <f>SUM(AP26:AP30)</f>
        <v>24606812201</v>
      </c>
      <c r="AR31" s="144">
        <f>SUM(AR26:AR30)</f>
        <v>32946734253.349998</v>
      </c>
      <c r="AT31" s="144">
        <f>SUM(AT26:AT30)</f>
        <v>27848426721</v>
      </c>
      <c r="AV31" s="144">
        <f>SUM(AV26:AV30)</f>
        <v>0</v>
      </c>
      <c r="AX31" s="144">
        <f>SUM(AX26:AX30)</f>
        <v>85401973175.350006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+ATTACH!AL170</f>
        <v>84023898843.350006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19193333323.259998</v>
      </c>
      <c r="D33" s="327">
        <f>D22-D31</f>
        <v>19637734401.259998</v>
      </c>
      <c r="E33" s="141">
        <f t="shared" ref="E33:AK33" si="32">E22-E31</f>
        <v>19657566998.259998</v>
      </c>
      <c r="F33" s="141">
        <f t="shared" si="32"/>
        <v>19707007597.259998</v>
      </c>
      <c r="G33" s="141">
        <f t="shared" si="32"/>
        <v>19809727039.259998</v>
      </c>
      <c r="H33" s="141">
        <f t="shared" si="32"/>
        <v>19809727039.259998</v>
      </c>
      <c r="I33" s="141">
        <f t="shared" si="32"/>
        <v>19809727039.259998</v>
      </c>
      <c r="J33" s="141">
        <f t="shared" si="32"/>
        <v>16692062799.689999</v>
      </c>
      <c r="K33" s="141">
        <f t="shared" si="32"/>
        <v>21857473614.700001</v>
      </c>
      <c r="L33" s="141">
        <f t="shared" si="32"/>
        <v>23230927206.559998</v>
      </c>
      <c r="M33" s="141">
        <f t="shared" si="32"/>
        <v>31288142414.559998</v>
      </c>
      <c r="N33" s="141">
        <f t="shared" si="32"/>
        <v>23765459797.559998</v>
      </c>
      <c r="O33" s="141">
        <f t="shared" si="32"/>
        <v>27899581065.559998</v>
      </c>
      <c r="P33" s="141">
        <f t="shared" si="32"/>
        <v>27899581065.559998</v>
      </c>
      <c r="Q33" s="141">
        <f t="shared" si="32"/>
        <v>31528636923.559998</v>
      </c>
      <c r="R33" s="141">
        <f t="shared" si="32"/>
        <v>20154231714.559998</v>
      </c>
      <c r="S33" s="141">
        <f t="shared" si="32"/>
        <v>18428852458.559998</v>
      </c>
      <c r="T33" s="141">
        <f t="shared" si="32"/>
        <v>22261271941.559998</v>
      </c>
      <c r="U33" s="141">
        <f t="shared" si="32"/>
        <v>19952611934.009995</v>
      </c>
      <c r="V33" s="141">
        <f t="shared" si="32"/>
        <v>26748672541.949997</v>
      </c>
      <c r="W33" s="141">
        <f t="shared" si="32"/>
        <v>26748672541.949997</v>
      </c>
      <c r="X33" s="141">
        <f t="shared" si="32"/>
        <v>14990849442.949997</v>
      </c>
      <c r="Y33" s="141">
        <f t="shared" si="32"/>
        <v>12336049350.620003</v>
      </c>
      <c r="Z33" s="141">
        <f t="shared" si="32"/>
        <v>13809750853.620001</v>
      </c>
      <c r="AA33" s="141">
        <f t="shared" si="32"/>
        <v>17281790010.620003</v>
      </c>
      <c r="AB33" s="141">
        <f t="shared" si="32"/>
        <v>16575596035.619999</v>
      </c>
      <c r="AC33" s="141">
        <f t="shared" si="32"/>
        <v>21609690492.620003</v>
      </c>
      <c r="AD33" s="141">
        <f t="shared" si="32"/>
        <v>21609690492.619999</v>
      </c>
      <c r="AE33" s="141">
        <f t="shared" si="32"/>
        <v>21609690492.619999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506466485934.12012</v>
      </c>
      <c r="AN33" s="141">
        <f>AN22-AN31</f>
        <v>20263729975.259998</v>
      </c>
      <c r="AP33" s="141">
        <f>AP22-AP31</f>
        <v>28353584001.559998</v>
      </c>
      <c r="AR33" s="141">
        <f>AR22-AR31</f>
        <v>27202675477.949997</v>
      </c>
      <c r="AT33" s="141">
        <f>AT22-AT31</f>
        <v>22063693428.619995</v>
      </c>
      <c r="AV33" s="141">
        <f>AV22-AV31</f>
        <v>22063693428.619995</v>
      </c>
      <c r="AX33" s="141">
        <f>AX22-AX31</f>
        <v>22063693428.61998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4">
        <v>17632615668.91</v>
      </c>
      <c r="D36" s="925">
        <v>18077016746.91</v>
      </c>
      <c r="E36" s="926">
        <v>18096849343.91</v>
      </c>
      <c r="F36" s="926">
        <v>18146289942.91</v>
      </c>
      <c r="G36" s="926">
        <v>18249009384.91</v>
      </c>
      <c r="H36" s="926">
        <v>18249009384.91</v>
      </c>
      <c r="I36" s="926">
        <v>18249009384.91</v>
      </c>
      <c r="J36" s="926">
        <v>15273795870.34</v>
      </c>
      <c r="K36" s="927">
        <v>20550972938.349998</v>
      </c>
      <c r="L36" s="927">
        <v>21924937330.209999</v>
      </c>
      <c r="M36" s="927">
        <v>29984178538.209999</v>
      </c>
      <c r="N36" s="927">
        <v>22455765142.209999</v>
      </c>
      <c r="O36" s="927">
        <v>26589886410.209999</v>
      </c>
      <c r="P36" s="927">
        <v>26589886410.209999</v>
      </c>
      <c r="Q36" s="927">
        <v>30218942268.209999</v>
      </c>
      <c r="R36" s="927">
        <v>19126367061.209999</v>
      </c>
      <c r="S36" s="927">
        <v>15400987805.209999</v>
      </c>
      <c r="T36" s="927">
        <v>19262971660.209999</v>
      </c>
      <c r="U36" s="927">
        <v>16953250636.66</v>
      </c>
      <c r="V36" s="927">
        <v>23749311244.599998</v>
      </c>
      <c r="W36" s="927">
        <v>23749311244.599998</v>
      </c>
      <c r="X36" s="927">
        <v>11413161158.6</v>
      </c>
      <c r="Y36" s="927">
        <v>9635375173.2700005</v>
      </c>
      <c r="Z36" s="927">
        <v>12582984762.27</v>
      </c>
      <c r="AA36" s="927">
        <v>16055023919.27</v>
      </c>
      <c r="AB36" s="927">
        <v>14940131425.27</v>
      </c>
      <c r="AC36" s="928">
        <v>19974225882.27</v>
      </c>
      <c r="AD36" s="928">
        <v>19974225882.27</v>
      </c>
      <c r="AE36" s="949"/>
      <c r="AF36" s="949"/>
      <c r="AG36" s="949"/>
      <c r="AH36" s="949"/>
      <c r="AI36" s="949"/>
      <c r="AJ36" s="949"/>
      <c r="AK36" s="949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9">
        <v>705783090.60000002</v>
      </c>
      <c r="D37" s="929">
        <v>705783090.60000002</v>
      </c>
      <c r="E37" s="929">
        <v>705783090.60000002</v>
      </c>
      <c r="F37" s="929">
        <v>705783090.60000002</v>
      </c>
      <c r="G37" s="929">
        <v>705783090.60000002</v>
      </c>
      <c r="H37" s="929">
        <v>705783090.60000002</v>
      </c>
      <c r="I37" s="929">
        <v>705783090.60000002</v>
      </c>
      <c r="J37" s="926">
        <v>563332365.60000002</v>
      </c>
      <c r="K37" s="926">
        <v>451566112.60000002</v>
      </c>
      <c r="L37" s="926">
        <v>451055312.60000002</v>
      </c>
      <c r="M37" s="926">
        <v>449029312.60000002</v>
      </c>
      <c r="N37" s="926">
        <v>454760091.60000002</v>
      </c>
      <c r="O37" s="926">
        <v>454760091.60000002</v>
      </c>
      <c r="P37" s="926">
        <v>454760091.60000002</v>
      </c>
      <c r="Q37" s="926">
        <v>454760091.60000002</v>
      </c>
      <c r="R37" s="927">
        <v>172930089.59999999</v>
      </c>
      <c r="S37" s="927">
        <v>2172930089.5999999</v>
      </c>
      <c r="T37" s="927">
        <v>2143365717.5999999</v>
      </c>
      <c r="U37" s="927">
        <v>2144426733.5999999</v>
      </c>
      <c r="V37" s="927">
        <v>2144426733.5999999</v>
      </c>
      <c r="W37" s="927">
        <v>2144426733.5999999</v>
      </c>
      <c r="X37" s="927">
        <v>2722753720.5999999</v>
      </c>
      <c r="Y37" s="927">
        <v>1845739613.5999999</v>
      </c>
      <c r="Z37" s="927">
        <v>371831527.60000002</v>
      </c>
      <c r="AA37" s="927">
        <v>371831527.60000002</v>
      </c>
      <c r="AB37" s="927">
        <v>780530046.60000002</v>
      </c>
      <c r="AC37" s="927">
        <v>780530046.60000002</v>
      </c>
      <c r="AD37" s="927">
        <v>780530046.60000002</v>
      </c>
      <c r="AE37" s="950"/>
      <c r="AF37" s="950"/>
      <c r="AG37" s="950"/>
      <c r="AH37" s="950"/>
      <c r="AI37" s="950"/>
      <c r="AJ37" s="950"/>
      <c r="AK37" s="950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9">
        <v>0</v>
      </c>
      <c r="D38" s="939">
        <v>0</v>
      </c>
      <c r="E38" s="939">
        <v>0</v>
      </c>
      <c r="F38" s="939">
        <v>0</v>
      </c>
      <c r="G38" s="939">
        <v>0</v>
      </c>
      <c r="H38" s="939">
        <v>0</v>
      </c>
      <c r="I38" s="939">
        <v>0</v>
      </c>
      <c r="J38" s="939">
        <v>0</v>
      </c>
      <c r="K38" s="939">
        <v>0</v>
      </c>
      <c r="L38" s="939">
        <v>0</v>
      </c>
      <c r="M38" s="939">
        <v>0</v>
      </c>
      <c r="N38" s="939">
        <v>0</v>
      </c>
      <c r="O38" s="939">
        <v>0</v>
      </c>
      <c r="P38" s="939">
        <v>0</v>
      </c>
      <c r="Q38" s="939">
        <v>0</v>
      </c>
      <c r="R38" s="939">
        <v>0</v>
      </c>
      <c r="S38" s="939">
        <v>0</v>
      </c>
      <c r="T38" s="939">
        <v>0</v>
      </c>
      <c r="U38" s="939">
        <v>0</v>
      </c>
      <c r="V38" s="939">
        <v>0</v>
      </c>
      <c r="W38" s="939">
        <v>0</v>
      </c>
      <c r="X38" s="939">
        <v>0</v>
      </c>
      <c r="Y38" s="939">
        <v>0</v>
      </c>
      <c r="Z38" s="939">
        <v>0</v>
      </c>
      <c r="AA38" s="939">
        <v>0</v>
      </c>
      <c r="AB38" s="939">
        <v>0</v>
      </c>
      <c r="AC38" s="939">
        <v>0</v>
      </c>
      <c r="AD38" s="939">
        <v>0</v>
      </c>
      <c r="AE38" s="939"/>
      <c r="AF38" s="939"/>
      <c r="AG38" s="939"/>
      <c r="AH38" s="939"/>
      <c r="AI38" s="939"/>
      <c r="AJ38" s="939"/>
      <c r="AK38" s="939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9">
        <v>10067446</v>
      </c>
      <c r="D39" s="939">
        <v>10067446</v>
      </c>
      <c r="E39" s="939">
        <v>10067446</v>
      </c>
      <c r="F39" s="939">
        <v>10067446</v>
      </c>
      <c r="G39" s="939">
        <v>10067446</v>
      </c>
      <c r="H39" s="939">
        <v>10067446</v>
      </c>
      <c r="I39" s="939">
        <v>10067446</v>
      </c>
      <c r="J39" s="939">
        <v>10067446</v>
      </c>
      <c r="K39" s="939">
        <v>10067446</v>
      </c>
      <c r="L39" s="939">
        <v>10067446</v>
      </c>
      <c r="M39" s="939">
        <v>10067446</v>
      </c>
      <c r="N39" s="939">
        <v>10067446</v>
      </c>
      <c r="O39" s="939">
        <v>10067446</v>
      </c>
      <c r="P39" s="939">
        <v>10067446</v>
      </c>
      <c r="Q39" s="939">
        <v>10067446</v>
      </c>
      <c r="R39" s="939">
        <v>10067446</v>
      </c>
      <c r="S39" s="939">
        <v>10067446</v>
      </c>
      <c r="T39" s="939">
        <v>10067446</v>
      </c>
      <c r="U39" s="939">
        <v>10067446</v>
      </c>
      <c r="V39" s="939">
        <v>10067446</v>
      </c>
      <c r="W39" s="939">
        <v>10067446</v>
      </c>
      <c r="X39" s="939">
        <v>10067446</v>
      </c>
      <c r="Y39" s="939">
        <v>10067446</v>
      </c>
      <c r="Z39" s="939">
        <v>10067446</v>
      </c>
      <c r="AA39" s="939">
        <v>10067446</v>
      </c>
      <c r="AB39" s="939">
        <v>10067446</v>
      </c>
      <c r="AC39" s="939">
        <v>10067446</v>
      </c>
      <c r="AD39" s="939">
        <v>10067446</v>
      </c>
      <c r="AE39" s="939"/>
      <c r="AF39" s="939"/>
      <c r="AG39" s="939"/>
      <c r="AH39" s="939"/>
      <c r="AI39" s="939"/>
      <c r="AJ39" s="939"/>
      <c r="AK39" s="939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9">
        <v>0</v>
      </c>
      <c r="D40" s="939">
        <v>0</v>
      </c>
      <c r="E40" s="939">
        <v>0</v>
      </c>
      <c r="F40" s="939">
        <v>0</v>
      </c>
      <c r="G40" s="939">
        <v>0</v>
      </c>
      <c r="H40" s="939">
        <v>0</v>
      </c>
      <c r="I40" s="939">
        <v>0</v>
      </c>
      <c r="J40" s="939">
        <v>0</v>
      </c>
      <c r="K40" s="939">
        <v>0</v>
      </c>
      <c r="L40" s="939">
        <v>0</v>
      </c>
      <c r="M40" s="939">
        <v>0</v>
      </c>
      <c r="N40" s="939">
        <v>0</v>
      </c>
      <c r="O40" s="939">
        <v>0</v>
      </c>
      <c r="P40" s="939">
        <v>0</v>
      </c>
      <c r="Q40" s="939">
        <v>0</v>
      </c>
      <c r="R40" s="939">
        <v>0</v>
      </c>
      <c r="S40" s="939">
        <v>0</v>
      </c>
      <c r="T40" s="939">
        <v>0</v>
      </c>
      <c r="U40" s="939">
        <v>0</v>
      </c>
      <c r="V40" s="939">
        <v>0</v>
      </c>
      <c r="W40" s="939">
        <v>0</v>
      </c>
      <c r="X40" s="939">
        <v>0</v>
      </c>
      <c r="Y40" s="939">
        <v>0</v>
      </c>
      <c r="Z40" s="939">
        <v>0</v>
      </c>
      <c r="AA40" s="939">
        <v>0</v>
      </c>
      <c r="AB40" s="939">
        <v>0</v>
      </c>
      <c r="AC40" s="939">
        <v>0</v>
      </c>
      <c r="AD40" s="939">
        <v>0</v>
      </c>
      <c r="AE40" s="939"/>
      <c r="AF40" s="939"/>
      <c r="AG40" s="939"/>
      <c r="AH40" s="939"/>
      <c r="AI40" s="939"/>
      <c r="AJ40" s="939"/>
      <c r="AK40" s="939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9">
        <v>64185986</v>
      </c>
      <c r="D41" s="939">
        <v>64185986</v>
      </c>
      <c r="E41" s="939">
        <v>64185986</v>
      </c>
      <c r="F41" s="939">
        <v>64185986</v>
      </c>
      <c r="G41" s="939">
        <v>64185986</v>
      </c>
      <c r="H41" s="939">
        <v>64185986</v>
      </c>
      <c r="I41" s="939">
        <v>64185986</v>
      </c>
      <c r="J41" s="939">
        <v>64185986</v>
      </c>
      <c r="K41" s="939">
        <v>64185986</v>
      </c>
      <c r="L41" s="939">
        <v>64185986</v>
      </c>
      <c r="M41" s="939">
        <v>64185986</v>
      </c>
      <c r="N41" s="939">
        <v>64185986</v>
      </c>
      <c r="O41" s="939">
        <v>64185986</v>
      </c>
      <c r="P41" s="939">
        <v>64185986</v>
      </c>
      <c r="Q41" s="939">
        <v>64185986</v>
      </c>
      <c r="R41" s="939">
        <v>64185986</v>
      </c>
      <c r="S41" s="939">
        <v>64185986</v>
      </c>
      <c r="T41" s="939">
        <v>64185986</v>
      </c>
      <c r="U41" s="939">
        <v>64185986</v>
      </c>
      <c r="V41" s="939">
        <v>64185986</v>
      </c>
      <c r="W41" s="939">
        <v>64185986</v>
      </c>
      <c r="X41" s="939">
        <v>64185986</v>
      </c>
      <c r="Y41" s="939">
        <v>64185986</v>
      </c>
      <c r="Z41" s="939">
        <v>64185986</v>
      </c>
      <c r="AA41" s="939">
        <v>64185986</v>
      </c>
      <c r="AB41" s="939">
        <v>64185986</v>
      </c>
      <c r="AC41" s="939">
        <v>64185986</v>
      </c>
      <c r="AD41" s="939">
        <v>64185986</v>
      </c>
      <c r="AE41" s="939"/>
      <c r="AF41" s="939"/>
      <c r="AG41" s="939"/>
      <c r="AH41" s="939"/>
      <c r="AI41" s="939"/>
      <c r="AJ41" s="939"/>
      <c r="AK41" s="939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26">
        <v>238202869</v>
      </c>
      <c r="D42" s="1326">
        <v>238202869</v>
      </c>
      <c r="E42" s="1326">
        <v>238202869</v>
      </c>
      <c r="F42" s="1326">
        <v>238202869</v>
      </c>
      <c r="G42" s="1326">
        <v>238202869</v>
      </c>
      <c r="H42" s="1326">
        <v>238202869</v>
      </c>
      <c r="I42" s="1326">
        <v>238202869</v>
      </c>
      <c r="J42" s="1326">
        <v>238202869</v>
      </c>
      <c r="K42" s="1326">
        <v>238202869</v>
      </c>
      <c r="L42" s="1326">
        <v>238202869</v>
      </c>
      <c r="M42" s="1326">
        <v>238202869</v>
      </c>
      <c r="N42" s="1326">
        <v>238202869</v>
      </c>
      <c r="O42" s="1326">
        <v>238202869</v>
      </c>
      <c r="P42" s="1326">
        <v>238202869</v>
      </c>
      <c r="Q42" s="1326">
        <v>238202869</v>
      </c>
      <c r="R42" s="1326">
        <v>238202869</v>
      </c>
      <c r="S42" s="1326">
        <v>238202869</v>
      </c>
      <c r="T42" s="1326">
        <v>238202869</v>
      </c>
      <c r="U42" s="1326">
        <v>238202869</v>
      </c>
      <c r="V42" s="1326">
        <v>238202869</v>
      </c>
      <c r="W42" s="1326">
        <v>238202869</v>
      </c>
      <c r="X42" s="1326">
        <v>238202869</v>
      </c>
      <c r="Y42" s="1326">
        <v>238202869</v>
      </c>
      <c r="Z42" s="1326">
        <v>238202869</v>
      </c>
      <c r="AA42" s="1326">
        <v>238202869</v>
      </c>
      <c r="AB42" s="1326">
        <v>238202869</v>
      </c>
      <c r="AC42" s="1326">
        <v>238202869</v>
      </c>
      <c r="AD42" s="1326">
        <v>238202869</v>
      </c>
      <c r="AE42" s="1326"/>
      <c r="AF42" s="1326"/>
      <c r="AG42" s="929"/>
      <c r="AH42" s="929"/>
      <c r="AI42" s="929"/>
      <c r="AJ42" s="929"/>
      <c r="AK42" s="929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30">
        <v>447784171.04000002</v>
      </c>
      <c r="D43" s="930">
        <v>447784171.04000002</v>
      </c>
      <c r="E43" s="930">
        <v>447784171.04000002</v>
      </c>
      <c r="F43" s="930">
        <v>447784171.04000002</v>
      </c>
      <c r="G43" s="930">
        <v>447784171.04000002</v>
      </c>
      <c r="H43" s="930">
        <v>447784171.04000002</v>
      </c>
      <c r="I43" s="930">
        <v>447784171.04000002</v>
      </c>
      <c r="J43" s="930">
        <v>447784171.04000002</v>
      </c>
      <c r="K43" s="930">
        <v>447784171.04000002</v>
      </c>
      <c r="L43" s="930">
        <v>447784171.04000002</v>
      </c>
      <c r="M43" s="930">
        <v>447784171.04000002</v>
      </c>
      <c r="N43" s="930">
        <v>447784171.04000002</v>
      </c>
      <c r="O43" s="930">
        <v>447784171.04000002</v>
      </c>
      <c r="P43" s="930">
        <v>447784171.04000002</v>
      </c>
      <c r="Q43" s="930">
        <v>447784171.04000002</v>
      </c>
      <c r="R43" s="930">
        <v>447784171.04000002</v>
      </c>
      <c r="S43" s="930">
        <v>447784171.04000002</v>
      </c>
      <c r="T43" s="930">
        <v>447784171.04000002</v>
      </c>
      <c r="U43" s="930">
        <v>447784171.04000002</v>
      </c>
      <c r="V43" s="930">
        <v>447784171.04000002</v>
      </c>
      <c r="W43" s="930">
        <v>447784171.04000002</v>
      </c>
      <c r="X43" s="930">
        <v>447784171.04000002</v>
      </c>
      <c r="Y43" s="930">
        <v>447784171.04000002</v>
      </c>
      <c r="Z43" s="930">
        <v>447784171.04000002</v>
      </c>
      <c r="AA43" s="930">
        <v>447784171.04000002</v>
      </c>
      <c r="AB43" s="930">
        <v>447784171.04000002</v>
      </c>
      <c r="AC43" s="930">
        <v>447784171.04000002</v>
      </c>
      <c r="AD43" s="930">
        <v>447784171.04000002</v>
      </c>
      <c r="AE43" s="930"/>
      <c r="AF43" s="930"/>
      <c r="AG43" s="930"/>
      <c r="AH43" s="930"/>
      <c r="AI43" s="930"/>
      <c r="AJ43" s="930"/>
      <c r="AK43" s="930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31">
        <v>94694091.709999993</v>
      </c>
      <c r="D44" s="931">
        <v>94694091.709999993</v>
      </c>
      <c r="E44" s="931">
        <v>94694091.709999993</v>
      </c>
      <c r="F44" s="931">
        <v>94694091.709999993</v>
      </c>
      <c r="G44" s="931">
        <v>94694091.709999993</v>
      </c>
      <c r="H44" s="931">
        <v>94694091.709999993</v>
      </c>
      <c r="I44" s="931">
        <v>94694091.709999993</v>
      </c>
      <c r="J44" s="931">
        <v>94694091.709999993</v>
      </c>
      <c r="K44" s="931">
        <v>94694091.709999993</v>
      </c>
      <c r="L44" s="931">
        <v>94694091.709999993</v>
      </c>
      <c r="M44" s="931">
        <v>94694091.709999993</v>
      </c>
      <c r="N44" s="931">
        <v>94694091.709999993</v>
      </c>
      <c r="O44" s="931">
        <v>94694091.709999993</v>
      </c>
      <c r="P44" s="931">
        <v>94694091.709999993</v>
      </c>
      <c r="Q44" s="931">
        <v>94694091.709999993</v>
      </c>
      <c r="R44" s="931">
        <v>94694091.709999993</v>
      </c>
      <c r="S44" s="931">
        <v>94694091.709999993</v>
      </c>
      <c r="T44" s="931">
        <v>94694091.709999993</v>
      </c>
      <c r="U44" s="931">
        <v>94694091.709999993</v>
      </c>
      <c r="V44" s="931">
        <v>94694091.709999993</v>
      </c>
      <c r="W44" s="931">
        <v>94694091.709999993</v>
      </c>
      <c r="X44" s="931">
        <v>94694091.709999993</v>
      </c>
      <c r="Y44" s="931">
        <v>94694091.709999993</v>
      </c>
      <c r="Z44" s="931">
        <v>94694091.709999993</v>
      </c>
      <c r="AA44" s="931">
        <v>94694091.709999993</v>
      </c>
      <c r="AB44" s="931">
        <v>94694091.709999993</v>
      </c>
      <c r="AC44" s="931">
        <v>94694091.709999993</v>
      </c>
      <c r="AD44" s="931">
        <v>94694091.709999993</v>
      </c>
      <c r="AE44" s="931"/>
      <c r="AF44" s="931"/>
      <c r="AG44" s="931"/>
      <c r="AH44" s="931"/>
      <c r="AI44" s="931"/>
      <c r="AJ44" s="931"/>
      <c r="AK44" s="931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2">
        <f>SUM(C36:C44)</f>
        <v>19193333323.259998</v>
      </c>
      <c r="D45" s="932">
        <f>SUM(D36:D44)</f>
        <v>19637734401.259998</v>
      </c>
      <c r="E45" s="933">
        <f t="shared" ref="E45:AK45" si="33">SUM(E36:E44)</f>
        <v>19657566998.259998</v>
      </c>
      <c r="F45" s="933">
        <f t="shared" si="33"/>
        <v>19707007597.259998</v>
      </c>
      <c r="G45" s="933">
        <f t="shared" si="33"/>
        <v>19809727039.259998</v>
      </c>
      <c r="H45" s="933">
        <f t="shared" si="33"/>
        <v>19809727039.259998</v>
      </c>
      <c r="I45" s="933">
        <f t="shared" si="33"/>
        <v>19809727039.259998</v>
      </c>
      <c r="J45" s="933">
        <f t="shared" si="33"/>
        <v>16692062799.690001</v>
      </c>
      <c r="K45" s="933">
        <f t="shared" si="33"/>
        <v>21857473614.699997</v>
      </c>
      <c r="L45" s="933">
        <f t="shared" si="33"/>
        <v>23230927206.559998</v>
      </c>
      <c r="M45" s="933">
        <f t="shared" si="33"/>
        <v>31288142414.559998</v>
      </c>
      <c r="N45" s="933">
        <f t="shared" si="33"/>
        <v>23765459797.559998</v>
      </c>
      <c r="O45" s="933">
        <f t="shared" si="33"/>
        <v>27899581065.559998</v>
      </c>
      <c r="P45" s="933">
        <f t="shared" si="33"/>
        <v>27899581065.559998</v>
      </c>
      <c r="Q45" s="933">
        <f t="shared" si="33"/>
        <v>31528636923.559998</v>
      </c>
      <c r="R45" s="933">
        <f t="shared" si="33"/>
        <v>20154231714.559998</v>
      </c>
      <c r="S45" s="933">
        <f t="shared" si="33"/>
        <v>18428852458.559998</v>
      </c>
      <c r="T45" s="933">
        <f t="shared" si="33"/>
        <v>22261271941.559998</v>
      </c>
      <c r="U45" s="934">
        <f t="shared" si="33"/>
        <v>19952611934.009998</v>
      </c>
      <c r="V45" s="934">
        <f>SUM(V36:V44)</f>
        <v>26748672541.949997</v>
      </c>
      <c r="W45" s="933">
        <f>SUM(W36:W44)</f>
        <v>26748672541.949997</v>
      </c>
      <c r="X45" s="933">
        <f t="shared" si="33"/>
        <v>14990849442.950001</v>
      </c>
      <c r="Y45" s="933">
        <f t="shared" si="33"/>
        <v>12336049350.620001</v>
      </c>
      <c r="Z45" s="933">
        <f t="shared" si="33"/>
        <v>13809750853.620001</v>
      </c>
      <c r="AA45" s="933">
        <f t="shared" si="33"/>
        <v>17281790010.619999</v>
      </c>
      <c r="AB45" s="934">
        <f t="shared" si="33"/>
        <v>16575596035.620001</v>
      </c>
      <c r="AC45" s="934">
        <f t="shared" si="33"/>
        <v>21609690492.619999</v>
      </c>
      <c r="AD45" s="934">
        <f t="shared" si="33"/>
        <v>21609690492.619999</v>
      </c>
      <c r="AE45" s="934">
        <f t="shared" si="33"/>
        <v>0</v>
      </c>
      <c r="AF45" s="934">
        <f t="shared" si="33"/>
        <v>0</v>
      </c>
      <c r="AG45" s="934">
        <f t="shared" si="33"/>
        <v>0</v>
      </c>
      <c r="AH45" s="934">
        <f t="shared" si="33"/>
        <v>0</v>
      </c>
      <c r="AI45" s="934">
        <f t="shared" si="33"/>
        <v>0</v>
      </c>
      <c r="AJ45" s="934">
        <f t="shared" si="33"/>
        <v>0</v>
      </c>
      <c r="AK45" s="934">
        <f t="shared" si="33"/>
        <v>0</v>
      </c>
      <c r="AL45" s="130">
        <f>SUM(AL36:AL44)</f>
        <v>0</v>
      </c>
      <c r="AN45" s="130">
        <f>AN18+AN20-AN31</f>
        <v>20263729975.259998</v>
      </c>
      <c r="AP45" s="130">
        <f>AP18+AP20-AP31</f>
        <v>28353584001.559998</v>
      </c>
      <c r="AR45" s="130">
        <f>AR18+AR20-AR31</f>
        <v>27202675477.949997</v>
      </c>
      <c r="AT45" s="130">
        <f>AT18+AT20-AT31</f>
        <v>22063693428.619995</v>
      </c>
      <c r="AV45" s="130">
        <f>AV18+AV20-AV31</f>
        <v>22063693428.619995</v>
      </c>
      <c r="AX45" s="130">
        <f>AX18+AX20-AX31</f>
        <v>22063693428.61998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0</v>
      </c>
      <c r="I47" s="128">
        <f t="shared" si="34"/>
        <v>0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</v>
      </c>
      <c r="O47" s="128">
        <f t="shared" si="34"/>
        <v>0</v>
      </c>
      <c r="P47" s="128">
        <f t="shared" si="34"/>
        <v>0</v>
      </c>
      <c r="Q47" s="128">
        <f t="shared" si="34"/>
        <v>0</v>
      </c>
      <c r="R47" s="128">
        <f t="shared" si="34"/>
        <v>0</v>
      </c>
      <c r="S47" s="128">
        <f t="shared" si="34"/>
        <v>0</v>
      </c>
      <c r="T47" s="128">
        <f t="shared" si="34"/>
        <v>0</v>
      </c>
      <c r="U47" s="128">
        <f t="shared" si="34"/>
        <v>0</v>
      </c>
      <c r="V47" s="128">
        <f t="shared" si="34"/>
        <v>0</v>
      </c>
      <c r="W47" s="128">
        <f t="shared" si="34"/>
        <v>0</v>
      </c>
      <c r="X47" s="128">
        <f t="shared" si="34"/>
        <v>0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21609690492.619999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506466485934.12012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6" t="s">
        <v>4608</v>
      </c>
      <c r="B50" s="430"/>
      <c r="C50" s="431"/>
      <c r="D50" s="431"/>
      <c r="E50" s="329"/>
      <c r="F50" s="329"/>
      <c r="G50" s="329"/>
      <c r="H50" s="329"/>
      <c r="I50" s="329"/>
      <c r="J50" s="329">
        <v>500000000</v>
      </c>
      <c r="K50" s="329"/>
      <c r="L50" s="329"/>
      <c r="M50" s="329"/>
      <c r="N50" s="329"/>
      <c r="O50" s="329"/>
      <c r="P50" s="329"/>
      <c r="Q50" s="329"/>
      <c r="R50" s="329"/>
      <c r="S50" s="329">
        <v>2000000000</v>
      </c>
      <c r="T50" s="329"/>
      <c r="U50" s="329"/>
      <c r="V50" s="329"/>
      <c r="W50" s="329"/>
      <c r="X50" s="329">
        <v>800000000</v>
      </c>
      <c r="Y50" s="329"/>
      <c r="Z50" s="329"/>
      <c r="AA50" s="329"/>
      <c r="AB50" s="329">
        <v>800000000</v>
      </c>
      <c r="AC50" s="329"/>
      <c r="AD50" s="329"/>
      <c r="AE50" s="329"/>
      <c r="AF50" s="329">
        <v>500000000</v>
      </c>
      <c r="AG50" s="329"/>
      <c r="AH50" s="329"/>
      <c r="AI50" s="329"/>
      <c r="AJ50" s="329"/>
      <c r="AK50" s="329"/>
      <c r="AL50" s="329"/>
    </row>
    <row r="51" spans="1:38" x14ac:dyDescent="0.25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8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8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6174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8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6175</v>
      </c>
      <c r="W66" s="126" t="s">
        <v>6176</v>
      </c>
      <c r="X66" s="126" t="s">
        <v>6177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8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8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9"/>
      <c r="F69" s="126"/>
    </row>
    <row r="70" spans="4:38" x14ac:dyDescent="0.25">
      <c r="E70" s="959"/>
      <c r="F70" s="126"/>
    </row>
    <row r="71" spans="4:38" x14ac:dyDescent="0.25">
      <c r="E71" s="959"/>
      <c r="F71" s="126"/>
      <c r="M71" s="125">
        <v>29000000</v>
      </c>
    </row>
    <row r="72" spans="4:38" x14ac:dyDescent="0.25">
      <c r="E72" s="959"/>
      <c r="F72" s="126"/>
    </row>
    <row r="73" spans="4:38" x14ac:dyDescent="0.25">
      <c r="D73" s="125" t="s">
        <v>6110</v>
      </c>
      <c r="E73" s="959"/>
      <c r="F73" s="957"/>
      <c r="M73" s="125">
        <v>1288000</v>
      </c>
    </row>
    <row r="74" spans="4:38" x14ac:dyDescent="0.25">
      <c r="E74" s="957"/>
      <c r="F74" s="957"/>
      <c r="M74" s="125">
        <v>2000000</v>
      </c>
    </row>
    <row r="75" spans="4:38" x14ac:dyDescent="0.25">
      <c r="E75" s="957"/>
      <c r="F75" s="957"/>
      <c r="M75" s="125">
        <f>600000+1050000+1800000</f>
        <v>3450000</v>
      </c>
    </row>
    <row r="76" spans="4:38" x14ac:dyDescent="0.25">
      <c r="E76" s="957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6"/>
  <sheetViews>
    <sheetView zoomScale="80" zoomScaleNormal="80" zoomScaleSheetLayoutView="100" workbookViewId="0">
      <pane xSplit="2" ySplit="6" topLeftCell="N92" activePane="bottomRight" state="frozen"/>
      <selection pane="topRight" activeCell="C1" sqref="C1"/>
      <selection pane="bottomLeft" activeCell="A4" sqref="A4"/>
      <selection pane="bottomRight" activeCell="U95" sqref="U95"/>
    </sheetView>
  </sheetViews>
  <sheetFormatPr defaultColWidth="9.140625" defaultRowHeight="15" x14ac:dyDescent="0.25"/>
  <cols>
    <col min="1" max="1" width="30.7109375" style="1198" customWidth="1"/>
    <col min="2" max="2" width="14.7109375" style="1198" bestFit="1" customWidth="1"/>
    <col min="3" max="3" width="20" style="1317" customWidth="1"/>
    <col min="4" max="4" width="20.85546875" style="1198" customWidth="1"/>
    <col min="5" max="5" width="20" style="1198" customWidth="1"/>
    <col min="6" max="6" width="20.140625" style="1198" customWidth="1"/>
    <col min="7" max="7" width="19.42578125" style="1198" customWidth="1"/>
    <col min="8" max="8" width="16.7109375" style="1198" customWidth="1"/>
    <col min="9" max="9" width="18" style="1198" customWidth="1"/>
    <col min="10" max="10" width="19.42578125" style="1198" customWidth="1"/>
    <col min="11" max="11" width="21" style="1198" customWidth="1"/>
    <col min="12" max="12" width="18.28515625" style="1317" customWidth="1"/>
    <col min="13" max="13" width="19.5703125" style="1198" bestFit="1" customWidth="1"/>
    <col min="14" max="14" width="19.42578125" style="1198" customWidth="1"/>
    <col min="15" max="15" width="17.85546875" style="1198" customWidth="1"/>
    <col min="16" max="16" width="18.28515625" style="1198" customWidth="1"/>
    <col min="17" max="17" width="19" style="1198" customWidth="1"/>
    <col min="18" max="18" width="21" style="1198" customWidth="1"/>
    <col min="19" max="19" width="20.140625" style="1317" customWidth="1"/>
    <col min="20" max="20" width="18.85546875" style="1198" customWidth="1"/>
    <col min="21" max="21" width="20.85546875" style="1198" customWidth="1"/>
    <col min="22" max="22" width="21.140625" style="1198" customWidth="1"/>
    <col min="23" max="23" width="18.85546875" style="1198" customWidth="1"/>
    <col min="24" max="24" width="20" style="1198" customWidth="1"/>
    <col min="25" max="25" width="19" style="1198" customWidth="1"/>
    <col min="26" max="26" width="18.7109375" style="1317" customWidth="1"/>
    <col min="27" max="27" width="20" style="1240" customWidth="1"/>
    <col min="28" max="28" width="21" style="1318" customWidth="1"/>
    <col min="29" max="29" width="19.28515625" style="1319" customWidth="1"/>
    <col min="30" max="30" width="16.42578125" style="1318" customWidth="1"/>
    <col min="31" max="31" width="19.42578125" style="1318" customWidth="1"/>
    <col min="32" max="32" width="19.28515625" style="1318" customWidth="1"/>
    <col min="33" max="33" width="16.42578125" style="1318" customWidth="1"/>
    <col min="34" max="35" width="19" style="1318" customWidth="1"/>
    <col min="36" max="37" width="16.42578125" style="1318" customWidth="1"/>
    <col min="38" max="38" width="22.5703125" style="1198" customWidth="1"/>
    <col min="39" max="39" width="9.5703125" style="1189" customWidth="1"/>
    <col min="40" max="91" width="9.140625" style="1189" bestFit="1" customWidth="1"/>
    <col min="92" max="229" width="9.140625" style="1198" bestFit="1" customWidth="1"/>
    <col min="230" max="16384" width="9.140625" style="1199"/>
  </cols>
  <sheetData>
    <row r="1" spans="1:229" s="1186" customFormat="1" x14ac:dyDescent="0.25">
      <c r="A1" s="1181" t="s">
        <v>0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  <c r="N1" s="1182"/>
      <c r="O1" s="1182"/>
      <c r="P1" s="1182"/>
      <c r="Q1" s="1182"/>
      <c r="R1" s="1182"/>
      <c r="S1" s="1182"/>
      <c r="T1" s="1182"/>
      <c r="U1" s="1182"/>
      <c r="V1" s="1182"/>
      <c r="W1" s="1182"/>
      <c r="X1" s="1182"/>
      <c r="Y1" s="1182"/>
      <c r="Z1" s="1182"/>
      <c r="AA1" s="1183"/>
      <c r="AB1" s="1184"/>
      <c r="AC1" s="1185"/>
      <c r="AD1" s="1184"/>
      <c r="AE1" s="1184"/>
      <c r="AF1" s="1184"/>
      <c r="AG1" s="1184"/>
      <c r="AH1" s="1184"/>
      <c r="AI1" s="1184"/>
      <c r="AJ1" s="1184"/>
      <c r="AK1" s="1184"/>
      <c r="AL1" s="1182"/>
      <c r="AM1" s="1182"/>
      <c r="AN1" s="1182"/>
      <c r="AO1" s="1182"/>
      <c r="AP1" s="1182"/>
      <c r="AQ1" s="1182"/>
      <c r="AR1" s="1182"/>
      <c r="AS1" s="1182"/>
      <c r="AT1" s="1182"/>
      <c r="AU1" s="1182"/>
      <c r="AV1" s="1182"/>
      <c r="AW1" s="1182"/>
      <c r="AX1" s="1182"/>
      <c r="AY1" s="1182"/>
      <c r="AZ1" s="1182"/>
      <c r="BA1" s="1182"/>
      <c r="BB1" s="1182"/>
      <c r="BC1" s="1182"/>
      <c r="BD1" s="1182"/>
      <c r="BE1" s="1182"/>
      <c r="BF1" s="1182"/>
      <c r="BG1" s="1182"/>
      <c r="BH1" s="1182"/>
      <c r="BI1" s="1182"/>
      <c r="BJ1" s="1182"/>
      <c r="BK1" s="1182"/>
      <c r="BL1" s="1182"/>
      <c r="BM1" s="1182"/>
      <c r="BN1" s="1182"/>
      <c r="BO1" s="1182"/>
      <c r="BP1" s="1182"/>
      <c r="BQ1" s="1182"/>
      <c r="BR1" s="1182"/>
      <c r="BS1" s="1182"/>
      <c r="BT1" s="1182"/>
      <c r="BU1" s="1182"/>
      <c r="BV1" s="1182"/>
      <c r="BW1" s="1182"/>
      <c r="BX1" s="1182"/>
      <c r="BY1" s="1182"/>
      <c r="BZ1" s="1182"/>
      <c r="CA1" s="1182"/>
      <c r="CB1" s="1182"/>
      <c r="CC1" s="1182"/>
      <c r="CD1" s="1182"/>
      <c r="CE1" s="1182"/>
      <c r="CF1" s="1182"/>
      <c r="CG1" s="1182"/>
      <c r="CH1" s="1182"/>
      <c r="CI1" s="1182"/>
      <c r="CJ1" s="1182"/>
      <c r="CK1" s="1182"/>
      <c r="CL1" s="1182"/>
      <c r="CM1" s="1182"/>
      <c r="CN1" s="1182"/>
      <c r="CO1" s="1182"/>
      <c r="CP1" s="1182"/>
      <c r="CQ1" s="1182"/>
      <c r="CR1" s="1182"/>
      <c r="CS1" s="1182"/>
      <c r="CT1" s="1182"/>
      <c r="CU1" s="1182"/>
      <c r="CV1" s="1182"/>
      <c r="CW1" s="1182"/>
      <c r="CX1" s="1182"/>
      <c r="CY1" s="1182"/>
      <c r="CZ1" s="1182"/>
      <c r="DA1" s="1182"/>
      <c r="DB1" s="1182"/>
      <c r="DC1" s="1182"/>
      <c r="DD1" s="1182"/>
      <c r="DE1" s="1182"/>
      <c r="DF1" s="1182"/>
      <c r="DG1" s="1182"/>
      <c r="DH1" s="1182"/>
      <c r="DI1" s="1182"/>
      <c r="DJ1" s="1182"/>
      <c r="DK1" s="1182"/>
      <c r="DL1" s="1182"/>
      <c r="DM1" s="1182"/>
      <c r="DN1" s="1182"/>
      <c r="DO1" s="1182"/>
      <c r="DP1" s="1182"/>
      <c r="DQ1" s="1182"/>
      <c r="DR1" s="1182"/>
      <c r="DS1" s="1182"/>
      <c r="DT1" s="1182"/>
      <c r="DU1" s="1182"/>
      <c r="DV1" s="1182"/>
      <c r="DW1" s="1182"/>
      <c r="DX1" s="1182"/>
      <c r="DY1" s="1182"/>
      <c r="DZ1" s="1182"/>
      <c r="EA1" s="1182"/>
      <c r="EB1" s="1182"/>
      <c r="EC1" s="1182"/>
      <c r="ED1" s="1182"/>
      <c r="EE1" s="1182"/>
      <c r="EF1" s="1182"/>
      <c r="EG1" s="1182"/>
      <c r="EH1" s="1182"/>
      <c r="EI1" s="1182"/>
      <c r="EJ1" s="1182"/>
      <c r="EK1" s="1182"/>
      <c r="EL1" s="1182"/>
      <c r="EM1" s="1182"/>
      <c r="EN1" s="1182"/>
      <c r="EO1" s="1182"/>
      <c r="EP1" s="1182"/>
      <c r="EQ1" s="1182"/>
      <c r="ER1" s="1182"/>
      <c r="ES1" s="1182"/>
      <c r="ET1" s="1182"/>
      <c r="EU1" s="1182"/>
      <c r="EV1" s="1182"/>
      <c r="EW1" s="1182"/>
      <c r="EX1" s="1182"/>
      <c r="EY1" s="1182"/>
      <c r="EZ1" s="1182"/>
      <c r="FA1" s="1182"/>
      <c r="FB1" s="1182"/>
      <c r="FC1" s="1182"/>
      <c r="FD1" s="1182"/>
      <c r="FE1" s="1182"/>
      <c r="FF1" s="1182"/>
      <c r="FG1" s="1182"/>
      <c r="FH1" s="1182"/>
      <c r="FI1" s="1182"/>
      <c r="FJ1" s="1182"/>
      <c r="FK1" s="1182"/>
      <c r="FL1" s="1182"/>
      <c r="FM1" s="1182"/>
      <c r="FN1" s="1182"/>
      <c r="FO1" s="1182"/>
      <c r="FP1" s="1182"/>
      <c r="FQ1" s="1182"/>
      <c r="FR1" s="1182"/>
      <c r="FS1" s="1182"/>
      <c r="FT1" s="1182"/>
      <c r="FU1" s="1182"/>
      <c r="FV1" s="1182"/>
      <c r="FW1" s="1182"/>
      <c r="FX1" s="1182"/>
      <c r="FY1" s="1182"/>
      <c r="FZ1" s="1182"/>
      <c r="GA1" s="1182"/>
      <c r="GB1" s="1182"/>
      <c r="GC1" s="1182"/>
      <c r="GD1" s="1182"/>
      <c r="GE1" s="1182"/>
      <c r="GF1" s="1182"/>
      <c r="GG1" s="1182"/>
      <c r="GH1" s="1182"/>
      <c r="GI1" s="1182"/>
      <c r="GJ1" s="1182"/>
      <c r="GK1" s="1182"/>
      <c r="GL1" s="1182"/>
      <c r="GM1" s="1182"/>
      <c r="GN1" s="1182"/>
      <c r="GO1" s="1182"/>
      <c r="GP1" s="1182"/>
      <c r="GQ1" s="1182"/>
      <c r="GR1" s="1182"/>
      <c r="GS1" s="1182"/>
      <c r="GT1" s="1182"/>
      <c r="GU1" s="1182"/>
      <c r="GV1" s="1182"/>
      <c r="GW1" s="1182"/>
      <c r="GX1" s="1182"/>
      <c r="GY1" s="1182"/>
      <c r="GZ1" s="1182"/>
      <c r="HA1" s="1182"/>
      <c r="HB1" s="1182"/>
      <c r="HC1" s="1182"/>
      <c r="HD1" s="1182"/>
      <c r="HE1" s="1182"/>
      <c r="HF1" s="1182"/>
      <c r="HG1" s="1182"/>
      <c r="HH1" s="1182"/>
      <c r="HI1" s="1182"/>
      <c r="HJ1" s="1182"/>
      <c r="HK1" s="1182"/>
      <c r="HL1" s="1182"/>
      <c r="HM1" s="1182"/>
      <c r="HN1" s="1182"/>
      <c r="HO1" s="1182"/>
      <c r="HP1" s="1182"/>
      <c r="HQ1" s="1182"/>
      <c r="HR1" s="1182"/>
      <c r="HS1" s="1182"/>
      <c r="HT1" s="1182"/>
      <c r="HU1" s="1182"/>
    </row>
    <row r="2" spans="1:229" s="1186" customFormat="1" x14ac:dyDescent="0.25">
      <c r="A2" s="1181" t="s">
        <v>6104</v>
      </c>
      <c r="B2" s="1182"/>
      <c r="C2" s="1182"/>
      <c r="D2" s="1182"/>
      <c r="E2" s="1182"/>
      <c r="F2" s="1182"/>
      <c r="G2" s="1182"/>
      <c r="H2" s="1182"/>
      <c r="I2" s="1182"/>
      <c r="J2" s="1182"/>
      <c r="K2" s="1182"/>
      <c r="L2" s="1182"/>
      <c r="M2" s="1182"/>
      <c r="N2" s="1182"/>
      <c r="O2" s="1182"/>
      <c r="P2" s="1182"/>
      <c r="Q2" s="1182"/>
      <c r="R2" s="1182"/>
      <c r="S2" s="1182"/>
      <c r="T2" s="1182"/>
      <c r="U2" s="1182"/>
      <c r="V2" s="1182"/>
      <c r="W2" s="1182"/>
      <c r="X2" s="1182"/>
      <c r="Y2" s="1182"/>
      <c r="Z2" s="1182"/>
      <c r="AA2" s="1183"/>
      <c r="AB2" s="1184"/>
      <c r="AC2" s="1185"/>
      <c r="AD2" s="1184"/>
      <c r="AE2" s="1184"/>
      <c r="AF2" s="1184"/>
      <c r="AG2" s="1184"/>
      <c r="AH2" s="1184"/>
      <c r="AI2" s="1184"/>
      <c r="AJ2" s="1184"/>
      <c r="AK2" s="1184"/>
      <c r="AL2" s="1182"/>
      <c r="AM2" s="1182"/>
      <c r="AN2" s="1182"/>
      <c r="AO2" s="1182"/>
      <c r="AP2" s="1182"/>
      <c r="AQ2" s="1182"/>
      <c r="AR2" s="1182"/>
      <c r="AS2" s="1182"/>
      <c r="AT2" s="1182"/>
      <c r="AU2" s="1182"/>
      <c r="AV2" s="1182"/>
      <c r="AW2" s="1182"/>
      <c r="AX2" s="1182"/>
      <c r="AY2" s="1182"/>
      <c r="AZ2" s="1182"/>
      <c r="BA2" s="1182"/>
      <c r="BB2" s="1182"/>
      <c r="BC2" s="1182"/>
      <c r="BD2" s="1182"/>
      <c r="BE2" s="1182"/>
      <c r="BF2" s="1182"/>
      <c r="BG2" s="1182"/>
      <c r="BH2" s="1182"/>
      <c r="BI2" s="1182"/>
      <c r="BJ2" s="1182"/>
      <c r="BK2" s="1182"/>
      <c r="BL2" s="1182"/>
      <c r="BM2" s="1182"/>
      <c r="BN2" s="1182"/>
      <c r="BO2" s="1182"/>
      <c r="BP2" s="1182"/>
      <c r="BQ2" s="1182"/>
      <c r="BR2" s="1182"/>
      <c r="BS2" s="1182"/>
      <c r="BT2" s="1182"/>
      <c r="BU2" s="1182"/>
      <c r="BV2" s="1182"/>
      <c r="BW2" s="1182"/>
      <c r="BX2" s="1182"/>
      <c r="BY2" s="1182"/>
      <c r="BZ2" s="1182"/>
      <c r="CA2" s="1182"/>
      <c r="CB2" s="1182"/>
      <c r="CC2" s="1182"/>
      <c r="CD2" s="1182"/>
      <c r="CE2" s="1182"/>
      <c r="CF2" s="1182"/>
      <c r="CG2" s="1182"/>
      <c r="CH2" s="1182"/>
      <c r="CI2" s="1182"/>
      <c r="CJ2" s="1182"/>
      <c r="CK2" s="1182"/>
      <c r="CL2" s="1182"/>
      <c r="CM2" s="1182"/>
      <c r="CN2" s="1182"/>
      <c r="CO2" s="1182"/>
      <c r="CP2" s="1182"/>
      <c r="CQ2" s="1182"/>
      <c r="CR2" s="1182"/>
      <c r="CS2" s="1182"/>
      <c r="CT2" s="1182"/>
      <c r="CU2" s="1182"/>
      <c r="CV2" s="1182"/>
      <c r="CW2" s="1182"/>
      <c r="CX2" s="1182"/>
      <c r="CY2" s="1182"/>
      <c r="CZ2" s="1182"/>
      <c r="DA2" s="1182"/>
      <c r="DB2" s="1182"/>
      <c r="DC2" s="1182"/>
      <c r="DD2" s="1182"/>
      <c r="DE2" s="1182"/>
      <c r="DF2" s="1182"/>
      <c r="DG2" s="1182"/>
      <c r="DH2" s="1182"/>
      <c r="DI2" s="1182"/>
      <c r="DJ2" s="1182"/>
      <c r="DK2" s="1182"/>
      <c r="DL2" s="1182"/>
      <c r="DM2" s="1182"/>
      <c r="DN2" s="1182"/>
      <c r="DO2" s="1182"/>
      <c r="DP2" s="1182"/>
      <c r="DQ2" s="1182"/>
      <c r="DR2" s="1182"/>
      <c r="DS2" s="1182"/>
      <c r="DT2" s="1182"/>
      <c r="DU2" s="1182"/>
      <c r="DV2" s="1182"/>
      <c r="DW2" s="1182"/>
      <c r="DX2" s="1182"/>
      <c r="DY2" s="1182"/>
      <c r="DZ2" s="1182"/>
      <c r="EA2" s="1182"/>
      <c r="EB2" s="1182"/>
      <c r="EC2" s="1182"/>
      <c r="ED2" s="1182"/>
      <c r="EE2" s="1182"/>
      <c r="EF2" s="1182"/>
      <c r="EG2" s="1182"/>
      <c r="EH2" s="1182"/>
      <c r="EI2" s="1182"/>
      <c r="EJ2" s="1182"/>
      <c r="EK2" s="1182"/>
      <c r="EL2" s="1182"/>
      <c r="EM2" s="1182"/>
      <c r="EN2" s="1182"/>
      <c r="EO2" s="1182"/>
      <c r="EP2" s="1182"/>
      <c r="EQ2" s="1182"/>
      <c r="ER2" s="1182"/>
      <c r="ES2" s="1182"/>
      <c r="ET2" s="1182"/>
      <c r="EU2" s="1182"/>
      <c r="EV2" s="1182"/>
      <c r="EW2" s="1182"/>
      <c r="EX2" s="1182"/>
      <c r="EY2" s="1182"/>
      <c r="EZ2" s="1182"/>
      <c r="FA2" s="1182"/>
      <c r="FB2" s="1182"/>
      <c r="FC2" s="1182"/>
      <c r="FD2" s="1182"/>
      <c r="FE2" s="1182"/>
      <c r="FF2" s="1182"/>
      <c r="FG2" s="1182"/>
      <c r="FH2" s="1182"/>
      <c r="FI2" s="1182"/>
      <c r="FJ2" s="1182"/>
      <c r="FK2" s="1182"/>
      <c r="FL2" s="1182"/>
      <c r="FM2" s="1182"/>
      <c r="FN2" s="1182"/>
      <c r="FO2" s="1182"/>
      <c r="FP2" s="1182"/>
      <c r="FQ2" s="1182"/>
      <c r="FR2" s="1182"/>
      <c r="FS2" s="1182"/>
      <c r="FT2" s="1182"/>
      <c r="FU2" s="1182"/>
      <c r="FV2" s="1182"/>
      <c r="FW2" s="1182"/>
      <c r="FX2" s="1182"/>
      <c r="FY2" s="1182"/>
      <c r="FZ2" s="1182"/>
      <c r="GA2" s="1182"/>
      <c r="GB2" s="1182"/>
      <c r="GC2" s="1182"/>
      <c r="GD2" s="1182"/>
      <c r="GE2" s="1182"/>
      <c r="GF2" s="1182"/>
      <c r="GG2" s="1182"/>
      <c r="GH2" s="1182"/>
      <c r="GI2" s="1182"/>
      <c r="GJ2" s="1182"/>
      <c r="GK2" s="1182"/>
      <c r="GL2" s="1182"/>
      <c r="GM2" s="1182"/>
      <c r="GN2" s="1182"/>
      <c r="GO2" s="1182"/>
      <c r="GP2" s="1182"/>
      <c r="GQ2" s="1182"/>
      <c r="GR2" s="1182"/>
      <c r="GS2" s="1182"/>
      <c r="GT2" s="1182"/>
      <c r="GU2" s="1182"/>
      <c r="GV2" s="1182"/>
      <c r="GW2" s="1182"/>
      <c r="GX2" s="1182"/>
      <c r="GY2" s="1182"/>
      <c r="GZ2" s="1182"/>
      <c r="HA2" s="1182"/>
      <c r="HB2" s="1182"/>
      <c r="HC2" s="1182"/>
      <c r="HD2" s="1182"/>
      <c r="HE2" s="1182"/>
      <c r="HF2" s="1182"/>
      <c r="HG2" s="1182"/>
      <c r="HH2" s="1182"/>
      <c r="HI2" s="1182"/>
      <c r="HJ2" s="1182"/>
      <c r="HK2" s="1182"/>
      <c r="HL2" s="1182"/>
      <c r="HM2" s="1182"/>
      <c r="HN2" s="1182"/>
      <c r="HO2" s="1182"/>
      <c r="HP2" s="1182"/>
      <c r="HQ2" s="1182"/>
      <c r="HR2" s="1182"/>
      <c r="HS2" s="1182"/>
      <c r="HT2" s="1182"/>
      <c r="HU2" s="1182"/>
    </row>
    <row r="3" spans="1:229" s="1186" customFormat="1" x14ac:dyDescent="0.25">
      <c r="A3" s="1187" t="s">
        <v>6285</v>
      </c>
      <c r="B3" s="1182"/>
      <c r="C3" s="1182"/>
      <c r="D3" s="1182"/>
      <c r="E3" s="1182"/>
      <c r="F3" s="1182"/>
      <c r="G3" s="1182"/>
      <c r="H3" s="1182"/>
      <c r="I3" s="1182"/>
      <c r="J3" s="1182"/>
      <c r="K3" s="1182"/>
      <c r="L3" s="1182"/>
      <c r="M3" s="1182"/>
      <c r="N3" s="1182"/>
      <c r="O3" s="1182"/>
      <c r="P3" s="1182"/>
      <c r="Q3" s="1182"/>
      <c r="R3" s="1182"/>
      <c r="S3" s="1182"/>
      <c r="T3" s="1182"/>
      <c r="U3" s="1182"/>
      <c r="V3" s="1182"/>
      <c r="W3" s="1182"/>
      <c r="X3" s="1182"/>
      <c r="Y3" s="1182"/>
      <c r="Z3" s="1182"/>
      <c r="AA3" s="1183"/>
      <c r="AB3" s="1184"/>
      <c r="AC3" s="1185"/>
      <c r="AD3" s="1184"/>
      <c r="AE3" s="1184"/>
      <c r="AF3" s="1184"/>
      <c r="AG3" s="1184"/>
      <c r="AH3" s="1184"/>
      <c r="AI3" s="1184"/>
      <c r="AJ3" s="1184"/>
      <c r="AK3" s="1184"/>
      <c r="AL3" s="1182"/>
      <c r="AM3" s="1182"/>
      <c r="AN3" s="1182"/>
      <c r="AO3" s="1182"/>
      <c r="AP3" s="1182"/>
      <c r="AQ3" s="1182"/>
      <c r="AR3" s="1182"/>
      <c r="AS3" s="1182"/>
      <c r="AT3" s="1182"/>
      <c r="AU3" s="1182"/>
      <c r="AV3" s="1182"/>
      <c r="AW3" s="1182"/>
      <c r="AX3" s="1182"/>
      <c r="AY3" s="1182"/>
      <c r="AZ3" s="1182"/>
      <c r="BA3" s="1182"/>
      <c r="BB3" s="1182"/>
      <c r="BC3" s="1182"/>
      <c r="BD3" s="1182"/>
      <c r="BE3" s="1182"/>
      <c r="BF3" s="1182"/>
      <c r="BG3" s="1182"/>
      <c r="BH3" s="1182"/>
      <c r="BI3" s="1182"/>
      <c r="BJ3" s="1182"/>
      <c r="BK3" s="1182"/>
      <c r="BL3" s="1182"/>
      <c r="BM3" s="1182"/>
      <c r="BN3" s="1182"/>
      <c r="BO3" s="1182"/>
      <c r="BP3" s="1182"/>
      <c r="BQ3" s="1182"/>
      <c r="BR3" s="1182"/>
      <c r="BS3" s="1182"/>
      <c r="BT3" s="1182"/>
      <c r="BU3" s="1182"/>
      <c r="BV3" s="1182"/>
      <c r="BW3" s="1182"/>
      <c r="BX3" s="1182"/>
      <c r="BY3" s="1182"/>
      <c r="BZ3" s="1182"/>
      <c r="CA3" s="1182"/>
      <c r="CB3" s="1182"/>
      <c r="CC3" s="1182"/>
      <c r="CD3" s="1182"/>
      <c r="CE3" s="1182"/>
      <c r="CF3" s="1182"/>
      <c r="CG3" s="1182"/>
      <c r="CH3" s="1182"/>
      <c r="CI3" s="1182"/>
      <c r="CJ3" s="1182"/>
      <c r="CK3" s="1182"/>
      <c r="CL3" s="1182"/>
      <c r="CM3" s="1182"/>
      <c r="CN3" s="1182"/>
      <c r="CO3" s="1182"/>
      <c r="CP3" s="1182"/>
      <c r="CQ3" s="1182"/>
      <c r="CR3" s="1182"/>
      <c r="CS3" s="1182"/>
      <c r="CT3" s="1182"/>
      <c r="CU3" s="1182"/>
      <c r="CV3" s="1182"/>
      <c r="CW3" s="1182"/>
      <c r="CX3" s="1182"/>
      <c r="CY3" s="1182"/>
      <c r="CZ3" s="1182"/>
      <c r="DA3" s="1182"/>
      <c r="DB3" s="1182"/>
      <c r="DC3" s="1182"/>
      <c r="DD3" s="1182"/>
      <c r="DE3" s="1182"/>
      <c r="DF3" s="1182"/>
      <c r="DG3" s="1182"/>
      <c r="DH3" s="1182"/>
      <c r="DI3" s="1182"/>
      <c r="DJ3" s="1182"/>
      <c r="DK3" s="1182"/>
      <c r="DL3" s="1182"/>
      <c r="DM3" s="1182"/>
      <c r="DN3" s="1182"/>
      <c r="DO3" s="1182"/>
      <c r="DP3" s="1182"/>
      <c r="DQ3" s="1182"/>
      <c r="DR3" s="1182"/>
      <c r="DS3" s="1182"/>
      <c r="DT3" s="1182"/>
      <c r="DU3" s="1182"/>
      <c r="DV3" s="1182"/>
      <c r="DW3" s="1182"/>
      <c r="DX3" s="1182"/>
      <c r="DY3" s="1182"/>
      <c r="DZ3" s="1182"/>
      <c r="EA3" s="1182"/>
      <c r="EB3" s="1182"/>
      <c r="EC3" s="1182"/>
      <c r="ED3" s="1182"/>
      <c r="EE3" s="1182"/>
      <c r="EF3" s="1182"/>
      <c r="EG3" s="1182"/>
      <c r="EH3" s="1182"/>
      <c r="EI3" s="1182"/>
      <c r="EJ3" s="1182"/>
      <c r="EK3" s="1182"/>
      <c r="EL3" s="1182"/>
      <c r="EM3" s="1182"/>
      <c r="EN3" s="1182"/>
      <c r="EO3" s="1182"/>
      <c r="EP3" s="1182"/>
      <c r="EQ3" s="1182"/>
      <c r="ER3" s="1182"/>
      <c r="ES3" s="1182"/>
      <c r="ET3" s="1182"/>
      <c r="EU3" s="1182"/>
      <c r="EV3" s="1182"/>
      <c r="EW3" s="1182"/>
      <c r="EX3" s="1182"/>
      <c r="EY3" s="1182"/>
      <c r="EZ3" s="1182"/>
      <c r="FA3" s="1182"/>
      <c r="FB3" s="1182"/>
      <c r="FC3" s="1182"/>
      <c r="FD3" s="1182"/>
      <c r="FE3" s="1182"/>
      <c r="FF3" s="1182"/>
      <c r="FG3" s="1182"/>
      <c r="FH3" s="1182"/>
      <c r="FI3" s="1182"/>
      <c r="FJ3" s="1182"/>
      <c r="FK3" s="1182"/>
      <c r="FL3" s="1182"/>
      <c r="FM3" s="1182"/>
      <c r="FN3" s="1182"/>
      <c r="FO3" s="1182"/>
      <c r="FP3" s="1182"/>
      <c r="FQ3" s="1182"/>
      <c r="FR3" s="1182"/>
      <c r="FS3" s="1182"/>
      <c r="FT3" s="1182"/>
      <c r="FU3" s="1182"/>
      <c r="FV3" s="1182"/>
      <c r="FW3" s="1182"/>
      <c r="FX3" s="1182"/>
      <c r="FY3" s="1182"/>
      <c r="FZ3" s="1182"/>
      <c r="GA3" s="1182"/>
      <c r="GB3" s="1182"/>
      <c r="GC3" s="1182"/>
      <c r="GD3" s="1182"/>
      <c r="GE3" s="1182"/>
      <c r="GF3" s="1182"/>
      <c r="GG3" s="1182"/>
      <c r="GH3" s="1182"/>
      <c r="GI3" s="1182"/>
      <c r="GJ3" s="1182"/>
      <c r="GK3" s="1182"/>
      <c r="GL3" s="1182"/>
      <c r="GM3" s="1182"/>
      <c r="GN3" s="1182"/>
      <c r="GO3" s="1182"/>
      <c r="GP3" s="1182"/>
      <c r="GQ3" s="1182"/>
      <c r="GR3" s="1182"/>
      <c r="GS3" s="1182"/>
      <c r="GT3" s="1182"/>
      <c r="GU3" s="1182"/>
      <c r="GV3" s="1182"/>
      <c r="GW3" s="1182"/>
      <c r="GX3" s="1182"/>
      <c r="GY3" s="1182"/>
      <c r="GZ3" s="1182"/>
      <c r="HA3" s="1182"/>
      <c r="HB3" s="1182"/>
      <c r="HC3" s="1182"/>
      <c r="HD3" s="1182"/>
      <c r="HE3" s="1182"/>
      <c r="HF3" s="1182"/>
      <c r="HG3" s="1182"/>
      <c r="HH3" s="1182"/>
      <c r="HI3" s="1182"/>
      <c r="HJ3" s="1182"/>
      <c r="HK3" s="1182"/>
      <c r="HL3" s="1182"/>
      <c r="HM3" s="1182"/>
      <c r="HN3" s="1182"/>
      <c r="HO3" s="1182"/>
      <c r="HP3" s="1182"/>
      <c r="HQ3" s="1182"/>
      <c r="HR3" s="1182"/>
      <c r="HS3" s="1182"/>
      <c r="HT3" s="1182"/>
      <c r="HU3" s="1182"/>
    </row>
    <row r="4" spans="1:229" s="1189" customFormat="1" x14ac:dyDescent="0.25">
      <c r="A4" s="1188" t="s">
        <v>232</v>
      </c>
      <c r="B4" s="1188"/>
      <c r="E4" s="1190"/>
      <c r="AA4" s="1191"/>
      <c r="AB4" s="1192"/>
      <c r="AC4" s="1193"/>
      <c r="AD4" s="1192"/>
      <c r="AE4" s="1192"/>
      <c r="AF4" s="1192"/>
      <c r="AG4" s="1192"/>
      <c r="AH4" s="1192"/>
      <c r="AI4" s="1192"/>
      <c r="AJ4" s="1192"/>
      <c r="AK4" s="1192"/>
    </row>
    <row r="5" spans="1:229" s="1189" customFormat="1" ht="10.5" x14ac:dyDescent="0.25">
      <c r="A5" s="1462" t="s">
        <v>230</v>
      </c>
      <c r="B5" s="1194"/>
      <c r="C5" s="1194"/>
      <c r="D5" s="1194"/>
      <c r="E5" s="1467" t="s">
        <v>114</v>
      </c>
      <c r="F5" s="1468"/>
      <c r="G5" s="1468"/>
      <c r="H5" s="1468"/>
      <c r="I5" s="1468"/>
      <c r="J5" s="1468"/>
      <c r="K5" s="1468"/>
      <c r="L5" s="1468"/>
      <c r="M5" s="1468"/>
      <c r="N5" s="1468"/>
      <c r="O5" s="1468"/>
      <c r="P5" s="1468"/>
      <c r="Q5" s="1468"/>
      <c r="R5" s="1468"/>
      <c r="S5" s="1468"/>
      <c r="T5" s="1468"/>
      <c r="U5" s="1468"/>
      <c r="V5" s="1468"/>
      <c r="W5" s="1468"/>
      <c r="X5" s="1468"/>
      <c r="Y5" s="1468"/>
      <c r="Z5" s="1468"/>
      <c r="AA5" s="1468"/>
      <c r="AB5" s="1468"/>
      <c r="AC5" s="1468"/>
      <c r="AD5" s="1468"/>
      <c r="AE5" s="1468"/>
      <c r="AF5" s="1468"/>
      <c r="AG5" s="1468"/>
      <c r="AH5" s="1468"/>
      <c r="AI5" s="1468"/>
      <c r="AJ5" s="1468"/>
      <c r="AK5" s="1468"/>
      <c r="AL5" s="1469"/>
    </row>
    <row r="6" spans="1:229" x14ac:dyDescent="0.25">
      <c r="A6" s="1463"/>
      <c r="B6" s="1195"/>
      <c r="C6" s="1196">
        <v>2</v>
      </c>
      <c r="D6" s="1196">
        <v>3</v>
      </c>
      <c r="E6" s="1196">
        <v>4</v>
      </c>
      <c r="F6" s="1196">
        <v>5</v>
      </c>
      <c r="G6" s="1196">
        <v>6</v>
      </c>
      <c r="H6" s="1196">
        <v>7</v>
      </c>
      <c r="I6" s="1196">
        <v>8</v>
      </c>
      <c r="J6" s="1196">
        <v>9</v>
      </c>
      <c r="K6" s="1196">
        <v>10</v>
      </c>
      <c r="L6" s="1196">
        <v>11</v>
      </c>
      <c r="M6" s="1196">
        <v>12</v>
      </c>
      <c r="N6" s="1196">
        <v>13</v>
      </c>
      <c r="O6" s="1196">
        <v>14</v>
      </c>
      <c r="P6" s="1196">
        <v>15</v>
      </c>
      <c r="Q6" s="1196">
        <v>16</v>
      </c>
      <c r="R6" s="1196">
        <v>17</v>
      </c>
      <c r="S6" s="1196">
        <v>18</v>
      </c>
      <c r="T6" s="1196">
        <v>19</v>
      </c>
      <c r="U6" s="1196">
        <v>20</v>
      </c>
      <c r="V6" s="1196">
        <v>21</v>
      </c>
      <c r="W6" s="1196">
        <v>22</v>
      </c>
      <c r="X6" s="1196">
        <v>23</v>
      </c>
      <c r="Y6" s="1196">
        <v>24</v>
      </c>
      <c r="Z6" s="1196">
        <v>25</v>
      </c>
      <c r="AA6" s="1196">
        <v>26</v>
      </c>
      <c r="AB6" s="1196">
        <v>27</v>
      </c>
      <c r="AC6" s="1196">
        <v>28</v>
      </c>
      <c r="AD6" s="1196">
        <v>29</v>
      </c>
      <c r="AE6" s="1196">
        <v>30</v>
      </c>
      <c r="AF6" s="1196">
        <v>31</v>
      </c>
      <c r="AG6" s="1196">
        <v>32</v>
      </c>
      <c r="AH6" s="1196">
        <v>33</v>
      </c>
      <c r="AI6" s="1196">
        <v>34</v>
      </c>
      <c r="AJ6" s="1196">
        <v>35</v>
      </c>
      <c r="AK6" s="1196">
        <v>36</v>
      </c>
      <c r="AL6" s="1197" t="s">
        <v>24</v>
      </c>
    </row>
    <row r="7" spans="1:229" x14ac:dyDescent="0.25">
      <c r="A7" s="944" t="s">
        <v>22</v>
      </c>
      <c r="B7" s="1200"/>
      <c r="C7" s="1201"/>
      <c r="D7" s="866"/>
      <c r="E7" s="1202"/>
      <c r="F7" s="619"/>
      <c r="G7" s="1201"/>
      <c r="H7" s="1201"/>
      <c r="I7" s="1201"/>
      <c r="J7" s="1201"/>
      <c r="K7" s="1201"/>
      <c r="L7" s="1201">
        <f>2322668101+3390076654</f>
        <v>5712744755</v>
      </c>
      <c r="M7" s="1201"/>
      <c r="N7" s="1201">
        <v>2390030802</v>
      </c>
      <c r="O7" s="1201"/>
      <c r="P7" s="1201"/>
      <c r="Q7" s="1201"/>
      <c r="R7" s="1201">
        <v>4780638401</v>
      </c>
      <c r="S7" s="1201">
        <v>614240853</v>
      </c>
      <c r="T7" s="1201"/>
      <c r="U7" s="1201">
        <f>3876915968+1798142907</f>
        <v>5675058875</v>
      </c>
      <c r="V7" s="1201"/>
      <c r="W7" s="1201"/>
      <c r="X7" s="573">
        <f>4110167509+1563714575</f>
        <v>5673882084</v>
      </c>
      <c r="Y7" s="296"/>
      <c r="Z7" s="297"/>
      <c r="AA7" s="982"/>
      <c r="AB7" s="1203">
        <v>2440313587</v>
      </c>
      <c r="AC7" s="1204"/>
      <c r="AD7" s="1205"/>
      <c r="AE7" s="1205"/>
      <c r="AF7" s="1205"/>
      <c r="AG7" s="1205"/>
      <c r="AH7" s="1205"/>
      <c r="AI7" s="1205"/>
      <c r="AJ7" s="1205"/>
      <c r="AK7" s="1205"/>
      <c r="AL7" s="1206">
        <f>SUM(C7:AK7)</f>
        <v>27286909357</v>
      </c>
    </row>
    <row r="8" spans="1:229" x14ac:dyDescent="0.15">
      <c r="A8" s="944" t="s">
        <v>153</v>
      </c>
      <c r="B8" s="1207"/>
      <c r="C8" s="1201"/>
      <c r="D8" s="1201"/>
      <c r="E8" s="1201"/>
      <c r="F8" s="619"/>
      <c r="G8" s="1201"/>
      <c r="H8" s="1201"/>
      <c r="I8" s="1201"/>
      <c r="J8" s="1201"/>
      <c r="K8" s="1201"/>
      <c r="L8" s="1201"/>
      <c r="M8" s="1201"/>
      <c r="N8" s="1201">
        <v>3757161272</v>
      </c>
      <c r="O8" s="1208"/>
      <c r="P8" s="1201"/>
      <c r="Q8" s="1201"/>
      <c r="R8" s="1201">
        <v>1721891888</v>
      </c>
      <c r="S8" s="1201">
        <v>1775585058</v>
      </c>
      <c r="T8" s="1201"/>
      <c r="U8" s="1201">
        <v>1118428733</v>
      </c>
      <c r="V8" s="1201"/>
      <c r="W8" s="1201"/>
      <c r="X8" s="1201">
        <v>314604474</v>
      </c>
      <c r="Y8" s="1201"/>
      <c r="Z8" s="573"/>
      <c r="AA8" s="982"/>
      <c r="AB8" s="1205"/>
      <c r="AC8" s="1204"/>
      <c r="AD8" s="1205"/>
      <c r="AE8" s="1205"/>
      <c r="AF8" s="1205"/>
      <c r="AG8" s="1205"/>
      <c r="AH8" s="1205"/>
      <c r="AI8" s="1205"/>
      <c r="AJ8" s="1205"/>
      <c r="AK8" s="1205"/>
      <c r="AL8" s="1206">
        <f t="shared" ref="AL8:AL10" si="0">SUM(C8:AK8)</f>
        <v>8687671425</v>
      </c>
    </row>
    <row r="9" spans="1:229" x14ac:dyDescent="0.15">
      <c r="A9" s="944" t="s">
        <v>6091</v>
      </c>
      <c r="B9" s="1207"/>
      <c r="C9" s="1201"/>
      <c r="D9" s="1201"/>
      <c r="E9" s="1201"/>
      <c r="F9" s="619"/>
      <c r="G9" s="1201"/>
      <c r="H9" s="1201"/>
      <c r="I9" s="1201"/>
      <c r="J9" s="1201"/>
      <c r="K9" s="1201"/>
      <c r="L9" s="1201"/>
      <c r="M9" s="1201"/>
      <c r="N9" s="1201"/>
      <c r="O9" s="1208"/>
      <c r="P9" s="1201"/>
      <c r="Q9" s="1201"/>
      <c r="R9" s="1201"/>
      <c r="S9" s="1201">
        <v>508105436</v>
      </c>
      <c r="T9" s="1201"/>
      <c r="U9" s="1201"/>
      <c r="V9" s="1201"/>
      <c r="W9" s="1201"/>
      <c r="X9" s="1201"/>
      <c r="Y9" s="1201"/>
      <c r="Z9" s="573"/>
      <c r="AA9" s="982"/>
      <c r="AB9" s="1205"/>
      <c r="AC9" s="1204"/>
      <c r="AD9" s="1205"/>
      <c r="AE9" s="1205"/>
      <c r="AF9" s="1205"/>
      <c r="AG9" s="1205"/>
      <c r="AH9" s="1205"/>
      <c r="AI9" s="1205"/>
      <c r="AJ9" s="1205"/>
      <c r="AK9" s="1205"/>
      <c r="AL9" s="1206">
        <f t="shared" si="0"/>
        <v>508105436</v>
      </c>
    </row>
    <row r="10" spans="1:229" x14ac:dyDescent="0.15">
      <c r="A10" s="944" t="s">
        <v>23</v>
      </c>
      <c r="B10" s="1207"/>
      <c r="C10" s="1201"/>
      <c r="D10" s="1201"/>
      <c r="E10" s="1201"/>
      <c r="F10" s="619"/>
      <c r="G10" s="1201"/>
      <c r="H10" s="1201"/>
      <c r="I10" s="1201"/>
      <c r="J10" s="1201"/>
      <c r="K10" s="1201"/>
      <c r="L10" s="1201"/>
      <c r="M10" s="1201"/>
      <c r="N10" s="1201">
        <v>989583824</v>
      </c>
      <c r="O10" s="1208"/>
      <c r="P10" s="1201"/>
      <c r="Q10" s="1201"/>
      <c r="R10" s="1201">
        <v>2392216211</v>
      </c>
      <c r="S10" s="1201"/>
      <c r="T10" s="1201"/>
      <c r="U10" s="1201"/>
      <c r="V10" s="1201"/>
      <c r="W10" s="1201"/>
      <c r="X10" s="1201">
        <f>2545970478+2564671067</f>
        <v>5110641545</v>
      </c>
      <c r="Y10" s="1201"/>
      <c r="Z10" s="1199"/>
      <c r="AA10" s="573"/>
      <c r="AB10" s="1205">
        <v>1969166226</v>
      </c>
      <c r="AC10" s="1204"/>
      <c r="AD10" s="1205"/>
      <c r="AE10" s="1205"/>
      <c r="AF10" s="1205"/>
      <c r="AG10" s="1205"/>
      <c r="AH10" s="1205"/>
      <c r="AI10" s="1205"/>
      <c r="AJ10" s="1205"/>
      <c r="AK10" s="1205"/>
      <c r="AL10" s="1206">
        <f t="shared" si="0"/>
        <v>10461607806</v>
      </c>
    </row>
    <row r="11" spans="1:229" s="1213" customFormat="1" x14ac:dyDescent="0.25">
      <c r="A11" s="1209" t="s">
        <v>203</v>
      </c>
      <c r="B11" s="1209"/>
      <c r="C11" s="1210">
        <f>SUM(C7:C10)</f>
        <v>0</v>
      </c>
      <c r="D11" s="1210">
        <f t="shared" ref="D11:AK11" si="1">SUM(D7:D10)</f>
        <v>0</v>
      </c>
      <c r="E11" s="1210">
        <f t="shared" si="1"/>
        <v>0</v>
      </c>
      <c r="F11" s="1210">
        <f t="shared" si="1"/>
        <v>0</v>
      </c>
      <c r="G11" s="1210">
        <f t="shared" si="1"/>
        <v>0</v>
      </c>
      <c r="H11" s="1210">
        <f t="shared" si="1"/>
        <v>0</v>
      </c>
      <c r="I11" s="1210">
        <f t="shared" si="1"/>
        <v>0</v>
      </c>
      <c r="J11" s="1210">
        <f t="shared" si="1"/>
        <v>0</v>
      </c>
      <c r="K11" s="1210">
        <f t="shared" si="1"/>
        <v>0</v>
      </c>
      <c r="L11" s="1210">
        <f t="shared" si="1"/>
        <v>5712744755</v>
      </c>
      <c r="M11" s="1210">
        <f t="shared" si="1"/>
        <v>0</v>
      </c>
      <c r="N11" s="1210">
        <f t="shared" si="1"/>
        <v>7136775898</v>
      </c>
      <c r="O11" s="1210">
        <f t="shared" si="1"/>
        <v>0</v>
      </c>
      <c r="P11" s="1210">
        <f t="shared" si="1"/>
        <v>0</v>
      </c>
      <c r="Q11" s="1210">
        <f t="shared" si="1"/>
        <v>0</v>
      </c>
      <c r="R11" s="1210">
        <f t="shared" si="1"/>
        <v>8894746500</v>
      </c>
      <c r="S11" s="1210">
        <f t="shared" si="1"/>
        <v>2897931347</v>
      </c>
      <c r="T11" s="1210">
        <f t="shared" si="1"/>
        <v>0</v>
      </c>
      <c r="U11" s="1210">
        <f t="shared" si="1"/>
        <v>6793487608</v>
      </c>
      <c r="V11" s="1210">
        <f t="shared" si="1"/>
        <v>0</v>
      </c>
      <c r="W11" s="1210">
        <f t="shared" si="1"/>
        <v>0</v>
      </c>
      <c r="X11" s="1210">
        <f t="shared" si="1"/>
        <v>11099128103</v>
      </c>
      <c r="Y11" s="1210">
        <f t="shared" si="1"/>
        <v>0</v>
      </c>
      <c r="Z11" s="1210">
        <f t="shared" si="1"/>
        <v>0</v>
      </c>
      <c r="AA11" s="1210">
        <f>SUM(AA7:AA10)</f>
        <v>0</v>
      </c>
      <c r="AB11" s="1210">
        <f t="shared" si="1"/>
        <v>4409479813</v>
      </c>
      <c r="AC11" s="1210">
        <f t="shared" si="1"/>
        <v>0</v>
      </c>
      <c r="AD11" s="1210">
        <f t="shared" si="1"/>
        <v>0</v>
      </c>
      <c r="AE11" s="1210">
        <f t="shared" si="1"/>
        <v>0</v>
      </c>
      <c r="AF11" s="1210">
        <f t="shared" si="1"/>
        <v>0</v>
      </c>
      <c r="AG11" s="1210">
        <f t="shared" si="1"/>
        <v>0</v>
      </c>
      <c r="AH11" s="1210">
        <f t="shared" si="1"/>
        <v>0</v>
      </c>
      <c r="AI11" s="1210">
        <f t="shared" si="1"/>
        <v>0</v>
      </c>
      <c r="AJ11" s="1210">
        <f t="shared" si="1"/>
        <v>0</v>
      </c>
      <c r="AK11" s="1210">
        <f t="shared" si="1"/>
        <v>0</v>
      </c>
      <c r="AL11" s="1210">
        <f>SUM(AL7:AL10)</f>
        <v>46944294024</v>
      </c>
      <c r="AM11" s="1211"/>
      <c r="AN11" s="1211"/>
      <c r="AO11" s="1211"/>
      <c r="AP11" s="1211"/>
      <c r="AQ11" s="1211"/>
      <c r="AR11" s="1211"/>
      <c r="AS11" s="1211"/>
      <c r="AT11" s="1211"/>
      <c r="AU11" s="1211"/>
      <c r="AV11" s="1211"/>
      <c r="AW11" s="1211"/>
      <c r="AX11" s="1211"/>
      <c r="AY11" s="1211"/>
      <c r="AZ11" s="1211"/>
      <c r="BA11" s="1211"/>
      <c r="BB11" s="1211"/>
      <c r="BC11" s="1211"/>
      <c r="BD11" s="1211"/>
      <c r="BE11" s="1211"/>
      <c r="BF11" s="1211"/>
      <c r="BG11" s="1211"/>
      <c r="BH11" s="1211"/>
      <c r="BI11" s="1211"/>
      <c r="BJ11" s="1211"/>
      <c r="BK11" s="1211"/>
      <c r="BL11" s="1211"/>
      <c r="BM11" s="1211"/>
      <c r="BN11" s="1211"/>
      <c r="BO11" s="1211"/>
      <c r="BP11" s="1211"/>
      <c r="BQ11" s="1211"/>
      <c r="BR11" s="1211"/>
      <c r="BS11" s="1211"/>
      <c r="BT11" s="1211"/>
      <c r="BU11" s="1211"/>
      <c r="BV11" s="1211"/>
      <c r="BW11" s="1211"/>
      <c r="BX11" s="1211"/>
      <c r="BY11" s="1211"/>
      <c r="BZ11" s="1211"/>
      <c r="CA11" s="1211"/>
      <c r="CB11" s="1211"/>
      <c r="CC11" s="1211"/>
      <c r="CD11" s="1211"/>
      <c r="CE11" s="1211"/>
      <c r="CF11" s="1211"/>
      <c r="CG11" s="1211"/>
      <c r="CH11" s="1211"/>
      <c r="CI11" s="1211"/>
      <c r="CJ11" s="1211"/>
      <c r="CK11" s="1211"/>
      <c r="CL11" s="1211"/>
      <c r="CM11" s="1211"/>
      <c r="CN11" s="1212"/>
      <c r="CO11" s="1212"/>
      <c r="CP11" s="1212"/>
      <c r="CQ11" s="1212"/>
      <c r="CR11" s="1212"/>
      <c r="CS11" s="1212"/>
      <c r="CT11" s="1212"/>
      <c r="CU11" s="1212"/>
      <c r="CV11" s="1212"/>
      <c r="CW11" s="1212"/>
      <c r="CX11" s="1212"/>
      <c r="CY11" s="1212"/>
      <c r="CZ11" s="1212"/>
      <c r="DA11" s="1212"/>
      <c r="DB11" s="1212"/>
      <c r="DC11" s="1212"/>
      <c r="DD11" s="1212"/>
      <c r="DE11" s="1212"/>
      <c r="DF11" s="1212"/>
      <c r="DG11" s="1212"/>
      <c r="DH11" s="1212"/>
      <c r="DI11" s="1212"/>
      <c r="DJ11" s="1212"/>
      <c r="DK11" s="1212"/>
      <c r="DL11" s="1212"/>
      <c r="DM11" s="1212"/>
      <c r="DN11" s="1212"/>
      <c r="DO11" s="1212"/>
      <c r="DP11" s="1212"/>
      <c r="DQ11" s="1212"/>
      <c r="DR11" s="1212"/>
      <c r="DS11" s="1212"/>
      <c r="DT11" s="1212"/>
      <c r="DU11" s="1212"/>
      <c r="DV11" s="1212"/>
      <c r="DW11" s="1212"/>
      <c r="DX11" s="1212"/>
      <c r="DY11" s="1212"/>
      <c r="DZ11" s="1212"/>
      <c r="EA11" s="1212"/>
      <c r="EB11" s="1212"/>
      <c r="EC11" s="1212"/>
      <c r="ED11" s="1212"/>
      <c r="EE11" s="1212"/>
      <c r="EF11" s="1212"/>
      <c r="EG11" s="1212"/>
      <c r="EH11" s="1212"/>
      <c r="EI11" s="1212"/>
      <c r="EJ11" s="1212"/>
      <c r="EK11" s="1212"/>
      <c r="EL11" s="1212"/>
      <c r="EM11" s="1212"/>
      <c r="EN11" s="1212"/>
      <c r="EO11" s="1212"/>
      <c r="EP11" s="1212"/>
      <c r="EQ11" s="1212"/>
      <c r="ER11" s="1212"/>
      <c r="ES11" s="1212"/>
      <c r="ET11" s="1212"/>
      <c r="EU11" s="1212"/>
      <c r="EV11" s="1212"/>
      <c r="EW11" s="1212"/>
      <c r="EX11" s="1212"/>
      <c r="EY11" s="1212"/>
      <c r="EZ11" s="1212"/>
      <c r="FA11" s="1212"/>
      <c r="FB11" s="1212"/>
      <c r="FC11" s="1212"/>
      <c r="FD11" s="1212"/>
      <c r="FE11" s="1212"/>
      <c r="FF11" s="1212"/>
      <c r="FG11" s="1212"/>
      <c r="FH11" s="1212"/>
      <c r="FI11" s="1212"/>
      <c r="FJ11" s="1212"/>
      <c r="FK11" s="1212"/>
      <c r="FL11" s="1212"/>
      <c r="FM11" s="1212"/>
      <c r="FN11" s="1212"/>
      <c r="FO11" s="1212"/>
      <c r="FP11" s="1212"/>
      <c r="FQ11" s="1212"/>
      <c r="FR11" s="1212"/>
      <c r="FS11" s="1212"/>
      <c r="FT11" s="1212"/>
      <c r="FU11" s="1212"/>
      <c r="FV11" s="1212"/>
      <c r="FW11" s="1212"/>
      <c r="FX11" s="1212"/>
      <c r="FY11" s="1212"/>
      <c r="FZ11" s="1212"/>
      <c r="GA11" s="1212"/>
      <c r="GB11" s="1212"/>
      <c r="GC11" s="1212"/>
      <c r="GD11" s="1212"/>
      <c r="GE11" s="1212"/>
      <c r="GF11" s="1212"/>
      <c r="GG11" s="1212"/>
      <c r="GH11" s="1212"/>
      <c r="GI11" s="1212"/>
      <c r="GJ11" s="1212"/>
      <c r="GK11" s="1212"/>
      <c r="GL11" s="1212"/>
      <c r="GM11" s="1212"/>
      <c r="GN11" s="1212"/>
      <c r="GO11" s="1212"/>
      <c r="GP11" s="1212"/>
      <c r="GQ11" s="1212"/>
      <c r="GR11" s="1212"/>
      <c r="GS11" s="1212"/>
      <c r="GT11" s="1212"/>
      <c r="GU11" s="1212"/>
      <c r="GV11" s="1212"/>
      <c r="GW11" s="1212"/>
      <c r="GX11" s="1212"/>
      <c r="GY11" s="1212"/>
      <c r="GZ11" s="1212"/>
      <c r="HA11" s="1212"/>
      <c r="HB11" s="1212"/>
      <c r="HC11" s="1212"/>
      <c r="HD11" s="1212"/>
      <c r="HE11" s="1212"/>
      <c r="HF11" s="1212"/>
      <c r="HG11" s="1212"/>
      <c r="HH11" s="1212"/>
      <c r="HI11" s="1212"/>
      <c r="HJ11" s="1212"/>
      <c r="HK11" s="1212"/>
      <c r="HL11" s="1212"/>
      <c r="HM11" s="1212"/>
      <c r="HN11" s="1212"/>
      <c r="HO11" s="1212"/>
      <c r="HP11" s="1212"/>
      <c r="HQ11" s="1212"/>
      <c r="HR11" s="1212"/>
      <c r="HS11" s="1212"/>
      <c r="HT11" s="1212"/>
      <c r="HU11" s="1212"/>
    </row>
    <row r="12" spans="1:229" x14ac:dyDescent="0.25">
      <c r="A12" s="1189"/>
      <c r="B12" s="1189"/>
      <c r="C12" s="1189"/>
      <c r="D12" s="1189"/>
      <c r="E12" s="1189"/>
      <c r="F12" s="1189"/>
      <c r="G12" s="1189"/>
      <c r="H12" s="1189"/>
      <c r="I12" s="1189"/>
      <c r="J12" s="1189"/>
      <c r="K12" s="1189"/>
      <c r="L12" s="1189"/>
      <c r="M12" s="1189"/>
      <c r="N12" s="1189"/>
      <c r="O12" s="1189"/>
      <c r="P12" s="1189"/>
      <c r="Q12" s="1189"/>
      <c r="R12" s="1189"/>
      <c r="S12" s="1189"/>
      <c r="T12" s="1189"/>
      <c r="U12" s="1189"/>
      <c r="V12" s="1189"/>
      <c r="W12" s="1189"/>
      <c r="X12" s="1189"/>
      <c r="Y12" s="1189"/>
      <c r="Z12" s="1214"/>
      <c r="AA12" s="1191"/>
      <c r="AB12" s="1192"/>
      <c r="AC12" s="1193"/>
      <c r="AD12" s="1192"/>
      <c r="AE12" s="1192"/>
      <c r="AF12" s="1192"/>
      <c r="AG12" s="1192"/>
      <c r="AH12" s="1192"/>
      <c r="AI12" s="1192"/>
      <c r="AJ12" s="1192"/>
      <c r="AK12" s="1192"/>
      <c r="AL12" s="1189"/>
    </row>
    <row r="13" spans="1:229" x14ac:dyDescent="0.25">
      <c r="A13" s="1188" t="s">
        <v>5495</v>
      </c>
      <c r="B13" s="1188"/>
      <c r="C13" s="1189"/>
      <c r="D13" s="1189"/>
      <c r="E13" s="1189"/>
      <c r="F13" s="1189"/>
      <c r="G13" s="1189"/>
      <c r="H13" s="1189"/>
      <c r="I13" s="1189"/>
      <c r="J13" s="1189"/>
      <c r="K13" s="1189"/>
      <c r="L13" s="1189"/>
      <c r="M13" s="1189"/>
      <c r="N13" s="1189"/>
      <c r="O13" s="1189"/>
      <c r="P13" s="1189"/>
      <c r="Q13" s="1189"/>
      <c r="R13" s="1189"/>
      <c r="S13" s="1189"/>
      <c r="T13" s="1189"/>
      <c r="U13" s="1189"/>
      <c r="V13" s="1189"/>
      <c r="W13" s="1189"/>
      <c r="X13" s="1189"/>
      <c r="Y13" s="1189"/>
      <c r="Z13" s="1189"/>
      <c r="AA13" s="1191"/>
      <c r="AB13" s="1215"/>
      <c r="AC13" s="1193"/>
      <c r="AD13" s="1192"/>
      <c r="AE13" s="1192"/>
      <c r="AF13" s="1192"/>
      <c r="AG13" s="1192"/>
      <c r="AH13" s="1192"/>
      <c r="AI13" s="1192"/>
      <c r="AJ13" s="1192"/>
      <c r="AK13" s="1192"/>
      <c r="AL13" s="1189"/>
    </row>
    <row r="14" spans="1:229" x14ac:dyDescent="0.25">
      <c r="A14" s="1462" t="s">
        <v>230</v>
      </c>
      <c r="B14" s="1194"/>
      <c r="C14" s="1194"/>
      <c r="D14" s="1194"/>
      <c r="E14" s="1467" t="s">
        <v>114</v>
      </c>
      <c r="F14" s="1468"/>
      <c r="G14" s="1468"/>
      <c r="H14" s="1468"/>
      <c r="I14" s="1468"/>
      <c r="J14" s="1468"/>
      <c r="K14" s="1468"/>
      <c r="L14" s="1468"/>
      <c r="M14" s="1468"/>
      <c r="N14" s="1468"/>
      <c r="O14" s="1468"/>
      <c r="P14" s="1468"/>
      <c r="Q14" s="1468"/>
      <c r="R14" s="1468"/>
      <c r="S14" s="1468"/>
      <c r="T14" s="1468"/>
      <c r="U14" s="1468"/>
      <c r="V14" s="1468"/>
      <c r="W14" s="1468"/>
      <c r="X14" s="1468"/>
      <c r="Y14" s="1468"/>
      <c r="Z14" s="1468"/>
      <c r="AA14" s="1468"/>
      <c r="AB14" s="1468"/>
      <c r="AC14" s="1468"/>
      <c r="AD14" s="1468"/>
      <c r="AE14" s="1468"/>
      <c r="AF14" s="1468"/>
      <c r="AG14" s="1468"/>
      <c r="AH14" s="1468"/>
      <c r="AI14" s="1468"/>
      <c r="AJ14" s="1468"/>
      <c r="AK14" s="1468"/>
      <c r="AL14" s="1469"/>
    </row>
    <row r="15" spans="1:229" x14ac:dyDescent="0.25">
      <c r="A15" s="1463"/>
      <c r="B15" s="1195"/>
      <c r="C15" s="1196">
        <v>2</v>
      </c>
      <c r="D15" s="1196">
        <v>3</v>
      </c>
      <c r="E15" s="1196">
        <v>4</v>
      </c>
      <c r="F15" s="1196">
        <v>5</v>
      </c>
      <c r="G15" s="1196">
        <v>6</v>
      </c>
      <c r="H15" s="1196">
        <v>7</v>
      </c>
      <c r="I15" s="1196">
        <v>8</v>
      </c>
      <c r="J15" s="1196">
        <v>9</v>
      </c>
      <c r="K15" s="1196">
        <v>10</v>
      </c>
      <c r="L15" s="1196">
        <v>11</v>
      </c>
      <c r="M15" s="1196">
        <v>12</v>
      </c>
      <c r="N15" s="1196">
        <v>13</v>
      </c>
      <c r="O15" s="1196">
        <v>14</v>
      </c>
      <c r="P15" s="1196">
        <v>15</v>
      </c>
      <c r="Q15" s="1196">
        <v>16</v>
      </c>
      <c r="R15" s="1196">
        <v>17</v>
      </c>
      <c r="S15" s="1196">
        <v>18</v>
      </c>
      <c r="T15" s="1196">
        <v>19</v>
      </c>
      <c r="U15" s="1196">
        <v>20</v>
      </c>
      <c r="V15" s="1196">
        <v>21</v>
      </c>
      <c r="W15" s="1196">
        <v>22</v>
      </c>
      <c r="X15" s="1196">
        <v>23</v>
      </c>
      <c r="Y15" s="1196">
        <v>24</v>
      </c>
      <c r="Z15" s="1196">
        <v>25</v>
      </c>
      <c r="AA15" s="1196">
        <v>26</v>
      </c>
      <c r="AB15" s="1196">
        <v>27</v>
      </c>
      <c r="AC15" s="1196">
        <v>28</v>
      </c>
      <c r="AD15" s="1196">
        <v>29</v>
      </c>
      <c r="AE15" s="1196">
        <v>30</v>
      </c>
      <c r="AF15" s="1196">
        <v>31</v>
      </c>
      <c r="AG15" s="1196">
        <v>32</v>
      </c>
      <c r="AH15" s="1196">
        <v>33</v>
      </c>
      <c r="AI15" s="1196">
        <v>34</v>
      </c>
      <c r="AJ15" s="1196">
        <v>35</v>
      </c>
      <c r="AK15" s="1196">
        <v>36</v>
      </c>
      <c r="AL15" s="1197" t="s">
        <v>24</v>
      </c>
    </row>
    <row r="16" spans="1:229" x14ac:dyDescent="0.15">
      <c r="A16" s="1216" t="s">
        <v>4912</v>
      </c>
      <c r="B16" s="1216"/>
      <c r="C16" s="1201"/>
      <c r="D16" s="1201"/>
      <c r="E16" s="617"/>
      <c r="F16" s="982"/>
      <c r="G16" s="619"/>
      <c r="H16" s="619"/>
      <c r="I16" s="619"/>
      <c r="J16" s="619"/>
      <c r="K16" s="619"/>
      <c r="L16" s="619"/>
      <c r="M16" s="619"/>
      <c r="N16" s="619"/>
      <c r="O16" s="1183"/>
      <c r="P16" s="1201"/>
      <c r="Q16" s="572"/>
      <c r="R16" s="1201"/>
      <c r="S16" s="1201"/>
      <c r="T16" s="1201"/>
      <c r="U16" s="586"/>
      <c r="V16" s="1201"/>
      <c r="W16" s="1217"/>
      <c r="X16" s="586"/>
      <c r="Y16" s="296"/>
      <c r="Z16" s="586"/>
      <c r="AA16" s="297"/>
      <c r="AB16" s="1205"/>
      <c r="AC16" s="1205"/>
      <c r="AD16" s="1205"/>
      <c r="AE16" s="1205"/>
      <c r="AF16" s="1205"/>
      <c r="AG16" s="1205"/>
      <c r="AH16" s="1205"/>
      <c r="AI16" s="1205"/>
      <c r="AJ16" s="1205"/>
      <c r="AK16" s="1205"/>
      <c r="AL16" s="1206">
        <f>SUM(C16:AK16)</f>
        <v>0</v>
      </c>
    </row>
    <row r="17" spans="1:229" ht="15" customHeight="1" x14ac:dyDescent="0.15">
      <c r="A17" s="1216" t="s">
        <v>4913</v>
      </c>
      <c r="B17" s="1218"/>
      <c r="C17" s="1201"/>
      <c r="D17" s="1201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1201"/>
      <c r="P17" s="1201"/>
      <c r="Q17" s="572"/>
      <c r="R17" s="1219"/>
      <c r="S17" s="1201"/>
      <c r="T17" s="1201"/>
      <c r="U17" s="1201"/>
      <c r="V17" s="1220"/>
      <c r="W17" s="1208"/>
      <c r="X17" s="1201"/>
      <c r="Y17" s="1201"/>
      <c r="Z17" s="1201"/>
      <c r="AA17" s="982"/>
      <c r="AB17" s="1205"/>
      <c r="AC17" s="1205"/>
      <c r="AD17" s="1205"/>
      <c r="AE17" s="1205"/>
      <c r="AF17" s="1205"/>
      <c r="AG17" s="1205"/>
      <c r="AH17" s="1205"/>
      <c r="AI17" s="1205"/>
      <c r="AJ17" s="1205"/>
      <c r="AK17" s="1205"/>
      <c r="AL17" s="1206">
        <f t="shared" ref="AL17:AL23" si="2">SUM(C17:AK17)</f>
        <v>0</v>
      </c>
    </row>
    <row r="18" spans="1:229" s="1189" customFormat="1" ht="12.75" customHeight="1" x14ac:dyDescent="0.15">
      <c r="A18" s="1216" t="s">
        <v>4914</v>
      </c>
      <c r="B18" s="1216"/>
      <c r="C18" s="1201"/>
      <c r="D18" s="1201"/>
      <c r="E18" s="619"/>
      <c r="F18" s="619"/>
      <c r="G18" s="619"/>
      <c r="H18" s="619"/>
      <c r="I18" s="619"/>
      <c r="J18" s="619">
        <v>298862192</v>
      </c>
      <c r="K18" s="619"/>
      <c r="L18" s="619"/>
      <c r="M18" s="619"/>
      <c r="N18" s="619">
        <v>2398726114</v>
      </c>
      <c r="O18" s="1201"/>
      <c r="P18" s="1201"/>
      <c r="Q18" s="572"/>
      <c r="R18" s="1201">
        <f>1632306347+2493217660</f>
        <v>4125524007</v>
      </c>
      <c r="S18" s="1201">
        <v>759092309</v>
      </c>
      <c r="T18" s="1201"/>
      <c r="U18" s="586">
        <v>2203082212</v>
      </c>
      <c r="V18" s="1220"/>
      <c r="W18" s="982"/>
      <c r="X18" s="586">
        <v>1323685286</v>
      </c>
      <c r="Y18" s="573">
        <v>1406411773</v>
      </c>
      <c r="Z18" s="1220"/>
      <c r="AA18" s="573"/>
      <c r="AB18" s="1205"/>
      <c r="AC18" s="1205"/>
      <c r="AD18" s="1205"/>
      <c r="AE18" s="1205"/>
      <c r="AF18" s="1205"/>
      <c r="AG18" s="1205"/>
      <c r="AH18" s="1205"/>
      <c r="AI18" s="1205"/>
      <c r="AJ18" s="1205"/>
      <c r="AK18" s="1205"/>
      <c r="AL18" s="1206">
        <f t="shared" si="2"/>
        <v>12515383893</v>
      </c>
    </row>
    <row r="19" spans="1:229" x14ac:dyDescent="0.15">
      <c r="A19" s="1216" t="s">
        <v>4915</v>
      </c>
      <c r="B19" s="1216"/>
      <c r="C19" s="1201"/>
      <c r="D19" s="1201"/>
      <c r="E19" s="619"/>
      <c r="F19" s="619"/>
      <c r="G19" s="619"/>
      <c r="H19" s="619"/>
      <c r="I19" s="619"/>
      <c r="J19" s="619"/>
      <c r="K19" s="619"/>
      <c r="L19" s="619"/>
      <c r="M19" s="619"/>
      <c r="N19" s="619"/>
      <c r="O19" s="1201"/>
      <c r="P19" s="1201"/>
      <c r="Q19" s="572"/>
      <c r="R19" s="1219"/>
      <c r="S19" s="1201"/>
      <c r="T19" s="1201"/>
      <c r="U19" s="1201"/>
      <c r="V19" s="1201"/>
      <c r="W19" s="1221"/>
      <c r="X19" s="586"/>
      <c r="Y19" s="1201"/>
      <c r="Z19" s="1220"/>
      <c r="AA19" s="586"/>
      <c r="AB19" s="1205"/>
      <c r="AC19" s="1205"/>
      <c r="AD19" s="1205"/>
      <c r="AE19" s="1205"/>
      <c r="AF19" s="1205"/>
      <c r="AG19" s="1205"/>
      <c r="AH19" s="1205"/>
      <c r="AI19" s="1205"/>
      <c r="AJ19" s="1205"/>
      <c r="AK19" s="1205"/>
      <c r="AL19" s="1206">
        <f t="shared" si="2"/>
        <v>0</v>
      </c>
      <c r="AM19" s="1222"/>
      <c r="AN19" s="1222"/>
      <c r="AO19" s="1222"/>
      <c r="AP19" s="1222"/>
      <c r="AQ19" s="1222"/>
      <c r="AR19" s="1222"/>
      <c r="AS19" s="1222"/>
      <c r="AT19" s="1222"/>
      <c r="AU19" s="1222"/>
      <c r="AV19" s="1222"/>
      <c r="AW19" s="1222"/>
      <c r="AX19" s="1222"/>
      <c r="AY19" s="1222"/>
      <c r="AZ19" s="1222"/>
      <c r="BA19" s="1222"/>
      <c r="BB19" s="1222"/>
      <c r="BC19" s="1222"/>
      <c r="BD19" s="1222"/>
      <c r="BE19" s="1222"/>
      <c r="BF19" s="1222"/>
      <c r="BG19" s="1222"/>
      <c r="BH19" s="1222"/>
      <c r="BI19" s="1222"/>
      <c r="BJ19" s="1222"/>
      <c r="BK19" s="1222"/>
      <c r="BL19" s="1222"/>
      <c r="BM19" s="1222"/>
      <c r="BN19" s="1222"/>
      <c r="BO19" s="1222"/>
      <c r="BP19" s="1222"/>
      <c r="BQ19" s="1222"/>
      <c r="BR19" s="1222"/>
      <c r="BS19" s="1222"/>
      <c r="BT19" s="1222"/>
      <c r="BU19" s="1222"/>
      <c r="BV19" s="1222"/>
      <c r="BW19" s="1222"/>
      <c r="BX19" s="1222"/>
      <c r="BY19" s="1222"/>
      <c r="BZ19" s="1222"/>
      <c r="CA19" s="1222"/>
      <c r="CB19" s="1222"/>
      <c r="CC19" s="1222"/>
      <c r="CD19" s="1222"/>
      <c r="CE19" s="1222"/>
      <c r="CF19" s="1222"/>
      <c r="CG19" s="1222"/>
      <c r="CH19" s="1222"/>
      <c r="CI19" s="1222"/>
      <c r="CJ19" s="1222"/>
      <c r="CK19" s="1222"/>
      <c r="CL19" s="1222"/>
      <c r="CM19" s="1222"/>
      <c r="CN19" s="1199"/>
      <c r="CO19" s="1199"/>
      <c r="CP19" s="1199"/>
      <c r="CQ19" s="1199"/>
      <c r="CR19" s="1199"/>
      <c r="CS19" s="1199"/>
      <c r="CT19" s="1199"/>
      <c r="CU19" s="1199"/>
      <c r="CV19" s="1199"/>
      <c r="CW19" s="1199"/>
      <c r="CX19" s="1199"/>
      <c r="CY19" s="1199"/>
      <c r="CZ19" s="1199"/>
      <c r="DA19" s="1199"/>
      <c r="DB19" s="1199"/>
      <c r="DC19" s="1199"/>
      <c r="DD19" s="1199"/>
      <c r="DE19" s="1199"/>
      <c r="DF19" s="1199"/>
      <c r="DG19" s="1199"/>
      <c r="DH19" s="1199"/>
      <c r="DI19" s="1199"/>
      <c r="DJ19" s="1199"/>
      <c r="DK19" s="1199"/>
      <c r="DL19" s="1199"/>
      <c r="DM19" s="1199"/>
      <c r="DN19" s="1199"/>
      <c r="DO19" s="1199"/>
      <c r="DP19" s="1199"/>
      <c r="DQ19" s="1199"/>
      <c r="DR19" s="1199"/>
      <c r="DS19" s="1199"/>
      <c r="DT19" s="1199"/>
      <c r="DU19" s="1199"/>
      <c r="DV19" s="1199"/>
      <c r="DW19" s="1199"/>
      <c r="DX19" s="1199"/>
      <c r="DY19" s="1199"/>
      <c r="DZ19" s="1199"/>
      <c r="EA19" s="1199"/>
      <c r="EB19" s="1199"/>
      <c r="EC19" s="1199"/>
      <c r="ED19" s="1199"/>
      <c r="EE19" s="1199"/>
      <c r="EF19" s="1199"/>
      <c r="EG19" s="1199"/>
      <c r="EH19" s="1199"/>
      <c r="EI19" s="1199"/>
      <c r="EJ19" s="1199"/>
      <c r="EK19" s="1199"/>
      <c r="EL19" s="1199"/>
      <c r="EM19" s="1199"/>
      <c r="EN19" s="1199"/>
      <c r="EO19" s="1199"/>
      <c r="EP19" s="1199"/>
      <c r="EQ19" s="1199"/>
      <c r="ER19" s="1199"/>
      <c r="ES19" s="1199"/>
      <c r="ET19" s="1199"/>
      <c r="EU19" s="1199"/>
      <c r="EV19" s="1199"/>
      <c r="EW19" s="1199"/>
      <c r="EX19" s="1199"/>
      <c r="EY19" s="1199"/>
      <c r="EZ19" s="1199"/>
      <c r="FA19" s="1199"/>
      <c r="FB19" s="1199"/>
      <c r="FC19" s="1199"/>
      <c r="FD19" s="1199"/>
      <c r="FE19" s="1199"/>
      <c r="FF19" s="1199"/>
      <c r="FG19" s="1199"/>
      <c r="FH19" s="1199"/>
      <c r="FI19" s="1199"/>
      <c r="FJ19" s="1199"/>
      <c r="FK19" s="1199"/>
      <c r="FL19" s="1199"/>
      <c r="FM19" s="1199"/>
      <c r="FN19" s="1199"/>
      <c r="FO19" s="1199"/>
      <c r="FP19" s="1199"/>
      <c r="FQ19" s="1199"/>
      <c r="FR19" s="1199"/>
      <c r="FS19" s="1199"/>
      <c r="FT19" s="1199"/>
      <c r="FU19" s="1199"/>
      <c r="FV19" s="1199"/>
      <c r="FW19" s="1199"/>
      <c r="FX19" s="1199"/>
      <c r="FY19" s="1199"/>
      <c r="FZ19" s="1199"/>
      <c r="GA19" s="1199"/>
      <c r="GB19" s="1199"/>
      <c r="GC19" s="1199"/>
      <c r="GD19" s="1199"/>
      <c r="GE19" s="1199"/>
      <c r="GF19" s="1199"/>
      <c r="GG19" s="1199"/>
      <c r="GH19" s="1199"/>
      <c r="GI19" s="1199"/>
      <c r="GJ19" s="1199"/>
      <c r="GK19" s="1199"/>
      <c r="GL19" s="1199"/>
      <c r="GM19" s="1199"/>
      <c r="GN19" s="1199"/>
      <c r="GO19" s="1199"/>
      <c r="GP19" s="1199"/>
      <c r="GQ19" s="1199"/>
      <c r="GR19" s="1199"/>
      <c r="GS19" s="1199"/>
      <c r="GT19" s="1199"/>
      <c r="GU19" s="1199"/>
      <c r="GV19" s="1199"/>
      <c r="GW19" s="1199"/>
      <c r="GX19" s="1199"/>
      <c r="GY19" s="1199"/>
      <c r="GZ19" s="1199"/>
      <c r="HA19" s="1199"/>
      <c r="HB19" s="1199"/>
      <c r="HC19" s="1199"/>
      <c r="HD19" s="1199"/>
      <c r="HE19" s="1199"/>
      <c r="HF19" s="1199"/>
      <c r="HG19" s="1199"/>
      <c r="HH19" s="1199"/>
      <c r="HI19" s="1199"/>
      <c r="HJ19" s="1199"/>
      <c r="HK19" s="1199"/>
      <c r="HL19" s="1199"/>
      <c r="HM19" s="1199"/>
      <c r="HN19" s="1199"/>
      <c r="HO19" s="1199"/>
      <c r="HP19" s="1199"/>
      <c r="HQ19" s="1199"/>
      <c r="HR19" s="1199"/>
      <c r="HS19" s="1199"/>
      <c r="HT19" s="1199"/>
      <c r="HU19" s="1199"/>
    </row>
    <row r="20" spans="1:229" x14ac:dyDescent="0.15">
      <c r="A20" s="1216" t="s">
        <v>4916</v>
      </c>
      <c r="B20" s="1216"/>
      <c r="C20" s="1201"/>
      <c r="D20" s="1201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1201"/>
      <c r="P20" s="1201"/>
      <c r="Q20" s="572"/>
      <c r="R20" s="1219"/>
      <c r="S20" s="1201"/>
      <c r="T20" s="1201"/>
      <c r="U20" s="1223"/>
      <c r="V20" s="1220"/>
      <c r="W20" s="1221"/>
      <c r="X20" s="296"/>
      <c r="Y20" s="1201"/>
      <c r="Z20" s="1220"/>
      <c r="AA20" s="586"/>
      <c r="AB20" s="1205"/>
      <c r="AC20" s="1205"/>
      <c r="AD20" s="1205"/>
      <c r="AE20" s="1205"/>
      <c r="AF20" s="1205"/>
      <c r="AG20" s="1205"/>
      <c r="AH20" s="1205"/>
      <c r="AI20" s="1205"/>
      <c r="AJ20" s="1205"/>
      <c r="AK20" s="1205"/>
      <c r="AL20" s="1206">
        <f t="shared" si="2"/>
        <v>0</v>
      </c>
      <c r="AM20" s="1222"/>
      <c r="AN20" s="1222"/>
      <c r="AO20" s="1222"/>
      <c r="AP20" s="1222"/>
      <c r="AQ20" s="1222"/>
      <c r="AR20" s="1222"/>
      <c r="AS20" s="1222"/>
      <c r="AT20" s="1222"/>
      <c r="AU20" s="1222"/>
      <c r="AV20" s="1222"/>
      <c r="AW20" s="1222"/>
      <c r="AX20" s="1222"/>
      <c r="AY20" s="1222"/>
      <c r="AZ20" s="1222"/>
      <c r="BA20" s="1222"/>
      <c r="BB20" s="1222"/>
      <c r="BC20" s="1222"/>
      <c r="BD20" s="1222"/>
      <c r="BE20" s="1222"/>
      <c r="BF20" s="1222"/>
      <c r="BG20" s="1222"/>
      <c r="BH20" s="1222"/>
      <c r="BI20" s="1222"/>
      <c r="BJ20" s="1222"/>
      <c r="BK20" s="1222"/>
      <c r="BL20" s="1222"/>
      <c r="BM20" s="1222"/>
      <c r="BN20" s="1222"/>
      <c r="BO20" s="1222"/>
      <c r="BP20" s="1222"/>
      <c r="BQ20" s="1222"/>
      <c r="BR20" s="1222"/>
      <c r="BS20" s="1222"/>
      <c r="BT20" s="1222"/>
      <c r="BU20" s="1222"/>
      <c r="BV20" s="1222"/>
      <c r="BW20" s="1222"/>
      <c r="BX20" s="1222"/>
      <c r="BY20" s="1222"/>
      <c r="BZ20" s="1222"/>
      <c r="CA20" s="1222"/>
      <c r="CB20" s="1222"/>
      <c r="CC20" s="1222"/>
      <c r="CD20" s="1222"/>
      <c r="CE20" s="1222"/>
      <c r="CF20" s="1222"/>
      <c r="CG20" s="1222"/>
      <c r="CH20" s="1222"/>
      <c r="CI20" s="1222"/>
      <c r="CJ20" s="1222"/>
      <c r="CK20" s="1222"/>
      <c r="CL20" s="1222"/>
      <c r="CM20" s="1222"/>
      <c r="CN20" s="1199"/>
      <c r="CO20" s="1199"/>
      <c r="CP20" s="1199"/>
      <c r="CQ20" s="1199"/>
      <c r="CR20" s="1199"/>
      <c r="CS20" s="1199"/>
      <c r="CT20" s="1199"/>
      <c r="CU20" s="1199"/>
      <c r="CV20" s="1199"/>
      <c r="CW20" s="1199"/>
      <c r="CX20" s="1199"/>
      <c r="CY20" s="1199"/>
      <c r="CZ20" s="1199"/>
      <c r="DA20" s="1199"/>
      <c r="DB20" s="1199"/>
      <c r="DC20" s="1199"/>
      <c r="DD20" s="1199"/>
      <c r="DE20" s="1199"/>
      <c r="DF20" s="1199"/>
      <c r="DG20" s="1199"/>
      <c r="DH20" s="1199"/>
      <c r="DI20" s="1199"/>
      <c r="DJ20" s="1199"/>
      <c r="DK20" s="1199"/>
      <c r="DL20" s="1199"/>
      <c r="DM20" s="1199"/>
      <c r="DN20" s="1199"/>
      <c r="DO20" s="1199"/>
      <c r="DP20" s="1199"/>
      <c r="DQ20" s="1199"/>
      <c r="DR20" s="1199"/>
      <c r="DS20" s="1199"/>
      <c r="DT20" s="1199"/>
      <c r="DU20" s="1199"/>
      <c r="DV20" s="1199"/>
      <c r="DW20" s="1199"/>
      <c r="DX20" s="1199"/>
      <c r="DY20" s="1199"/>
      <c r="DZ20" s="1199"/>
      <c r="EA20" s="1199"/>
      <c r="EB20" s="1199"/>
      <c r="EC20" s="1199"/>
      <c r="ED20" s="1199"/>
      <c r="EE20" s="1199"/>
      <c r="EF20" s="1199"/>
      <c r="EG20" s="1199"/>
      <c r="EH20" s="1199"/>
      <c r="EI20" s="1199"/>
      <c r="EJ20" s="1199"/>
      <c r="EK20" s="1199"/>
      <c r="EL20" s="1199"/>
      <c r="EM20" s="1199"/>
      <c r="EN20" s="1199"/>
      <c r="EO20" s="1199"/>
      <c r="EP20" s="1199"/>
      <c r="EQ20" s="1199"/>
      <c r="ER20" s="1199"/>
      <c r="ES20" s="1199"/>
      <c r="ET20" s="1199"/>
      <c r="EU20" s="1199"/>
      <c r="EV20" s="1199"/>
      <c r="EW20" s="1199"/>
      <c r="EX20" s="1199"/>
      <c r="EY20" s="1199"/>
      <c r="EZ20" s="1199"/>
      <c r="FA20" s="1199"/>
      <c r="FB20" s="1199"/>
      <c r="FC20" s="1199"/>
      <c r="FD20" s="1199"/>
      <c r="FE20" s="1199"/>
      <c r="FF20" s="1199"/>
      <c r="FG20" s="1199"/>
      <c r="FH20" s="1199"/>
      <c r="FI20" s="1199"/>
      <c r="FJ20" s="1199"/>
      <c r="FK20" s="1199"/>
      <c r="FL20" s="1199"/>
      <c r="FM20" s="1199"/>
      <c r="FN20" s="1199"/>
      <c r="FO20" s="1199"/>
      <c r="FP20" s="1199"/>
      <c r="FQ20" s="1199"/>
      <c r="FR20" s="1199"/>
      <c r="FS20" s="1199"/>
      <c r="FT20" s="1199"/>
      <c r="FU20" s="1199"/>
      <c r="FV20" s="1199"/>
      <c r="FW20" s="1199"/>
      <c r="FX20" s="1199"/>
      <c r="FY20" s="1199"/>
      <c r="FZ20" s="1199"/>
      <c r="GA20" s="1199"/>
      <c r="GB20" s="1199"/>
      <c r="GC20" s="1199"/>
      <c r="GD20" s="1199"/>
      <c r="GE20" s="1199"/>
      <c r="GF20" s="1199"/>
      <c r="GG20" s="1199"/>
      <c r="GH20" s="1199"/>
      <c r="GI20" s="1199"/>
      <c r="GJ20" s="1199"/>
      <c r="GK20" s="1199"/>
      <c r="GL20" s="1199"/>
      <c r="GM20" s="1199"/>
      <c r="GN20" s="1199"/>
      <c r="GO20" s="1199"/>
      <c r="GP20" s="1199"/>
      <c r="GQ20" s="1199"/>
      <c r="GR20" s="1199"/>
      <c r="GS20" s="1199"/>
      <c r="GT20" s="1199"/>
      <c r="GU20" s="1199"/>
      <c r="GV20" s="1199"/>
      <c r="GW20" s="1199"/>
      <c r="GX20" s="1199"/>
      <c r="GY20" s="1199"/>
      <c r="GZ20" s="1199"/>
      <c r="HA20" s="1199"/>
      <c r="HB20" s="1199"/>
      <c r="HC20" s="1199"/>
      <c r="HD20" s="1199"/>
      <c r="HE20" s="1199"/>
      <c r="HF20" s="1199"/>
      <c r="HG20" s="1199"/>
      <c r="HH20" s="1199"/>
      <c r="HI20" s="1199"/>
      <c r="HJ20" s="1199"/>
      <c r="HK20" s="1199"/>
      <c r="HL20" s="1199"/>
      <c r="HM20" s="1199"/>
      <c r="HN20" s="1199"/>
      <c r="HO20" s="1199"/>
      <c r="HP20" s="1199"/>
      <c r="HQ20" s="1199"/>
      <c r="HR20" s="1199"/>
      <c r="HS20" s="1199"/>
      <c r="HT20" s="1199"/>
      <c r="HU20" s="1199"/>
    </row>
    <row r="21" spans="1:229" x14ac:dyDescent="0.15">
      <c r="A21" s="1216" t="s">
        <v>4917</v>
      </c>
      <c r="B21" s="1216"/>
      <c r="C21" s="1201"/>
      <c r="D21" s="1201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1201"/>
      <c r="P21" s="1201"/>
      <c r="Q21" s="572"/>
      <c r="R21" s="1219"/>
      <c r="S21" s="1201"/>
      <c r="T21" s="1201"/>
      <c r="U21" s="1201"/>
      <c r="V21" s="1220"/>
      <c r="W21" s="1221"/>
      <c r="X21" s="1201"/>
      <c r="Y21" s="573"/>
      <c r="Z21" s="1220"/>
      <c r="AA21" s="586"/>
      <c r="AB21" s="1205"/>
      <c r="AC21" s="1205"/>
      <c r="AD21" s="1205"/>
      <c r="AE21" s="1205"/>
      <c r="AF21" s="1205"/>
      <c r="AG21" s="1205"/>
      <c r="AH21" s="1205"/>
      <c r="AI21" s="1205"/>
      <c r="AJ21" s="1205"/>
      <c r="AK21" s="1205"/>
      <c r="AL21" s="1206">
        <f t="shared" si="2"/>
        <v>0</v>
      </c>
      <c r="AM21" s="1222"/>
      <c r="AN21" s="1222"/>
      <c r="AO21" s="1222"/>
      <c r="AP21" s="1222"/>
      <c r="AQ21" s="1222"/>
      <c r="AR21" s="1222"/>
      <c r="AS21" s="1222"/>
      <c r="AT21" s="1222"/>
      <c r="AU21" s="1222"/>
      <c r="AV21" s="1222"/>
      <c r="AW21" s="1222"/>
      <c r="AX21" s="1222"/>
      <c r="AY21" s="1222"/>
      <c r="AZ21" s="1222"/>
      <c r="BA21" s="1222"/>
      <c r="BB21" s="1222"/>
      <c r="BC21" s="1222"/>
      <c r="BD21" s="1222"/>
      <c r="BE21" s="1222"/>
      <c r="BF21" s="1222"/>
      <c r="BG21" s="1222"/>
      <c r="BH21" s="1222"/>
      <c r="BI21" s="1222"/>
      <c r="BJ21" s="1222"/>
      <c r="BK21" s="1222"/>
      <c r="BL21" s="1222"/>
      <c r="BM21" s="1222"/>
      <c r="BN21" s="1222"/>
      <c r="BO21" s="1222"/>
      <c r="BP21" s="1222"/>
      <c r="BQ21" s="1222"/>
      <c r="BR21" s="1222"/>
      <c r="BS21" s="1222"/>
      <c r="BT21" s="1222"/>
      <c r="BU21" s="1222"/>
      <c r="BV21" s="1222"/>
      <c r="BW21" s="1222"/>
      <c r="BX21" s="1222"/>
      <c r="BY21" s="1222"/>
      <c r="BZ21" s="1222"/>
      <c r="CA21" s="1222"/>
      <c r="CB21" s="1222"/>
      <c r="CC21" s="1222"/>
      <c r="CD21" s="1222"/>
      <c r="CE21" s="1222"/>
      <c r="CF21" s="1222"/>
      <c r="CG21" s="1222"/>
      <c r="CH21" s="1222"/>
      <c r="CI21" s="1222"/>
      <c r="CJ21" s="1222"/>
      <c r="CK21" s="1222"/>
      <c r="CL21" s="1222"/>
      <c r="CM21" s="1222"/>
      <c r="CN21" s="1199"/>
      <c r="CO21" s="1199"/>
      <c r="CP21" s="1199"/>
      <c r="CQ21" s="1199"/>
      <c r="CR21" s="1199"/>
      <c r="CS21" s="1199"/>
      <c r="CT21" s="1199"/>
      <c r="CU21" s="1199"/>
      <c r="CV21" s="1199"/>
      <c r="CW21" s="1199"/>
      <c r="CX21" s="1199"/>
      <c r="CY21" s="1199"/>
      <c r="CZ21" s="1199"/>
      <c r="DA21" s="1199"/>
      <c r="DB21" s="1199"/>
      <c r="DC21" s="1199"/>
      <c r="DD21" s="1199"/>
      <c r="DE21" s="1199"/>
      <c r="DF21" s="1199"/>
      <c r="DG21" s="1199"/>
      <c r="DH21" s="1199"/>
      <c r="DI21" s="1199"/>
      <c r="DJ21" s="1199"/>
      <c r="DK21" s="1199"/>
      <c r="DL21" s="1199"/>
      <c r="DM21" s="1199"/>
      <c r="DN21" s="1199"/>
      <c r="DO21" s="1199"/>
      <c r="DP21" s="1199"/>
      <c r="DQ21" s="1199"/>
      <c r="DR21" s="1199"/>
      <c r="DS21" s="1199"/>
      <c r="DT21" s="1199"/>
      <c r="DU21" s="1199"/>
      <c r="DV21" s="1199"/>
      <c r="DW21" s="1199"/>
      <c r="DX21" s="1199"/>
      <c r="DY21" s="1199"/>
      <c r="DZ21" s="1199"/>
      <c r="EA21" s="1199"/>
      <c r="EB21" s="1199"/>
      <c r="EC21" s="1199"/>
      <c r="ED21" s="1199"/>
      <c r="EE21" s="1199"/>
      <c r="EF21" s="1199"/>
      <c r="EG21" s="1199"/>
      <c r="EH21" s="1199"/>
      <c r="EI21" s="1199"/>
      <c r="EJ21" s="1199"/>
      <c r="EK21" s="1199"/>
      <c r="EL21" s="1199"/>
      <c r="EM21" s="1199"/>
      <c r="EN21" s="1199"/>
      <c r="EO21" s="1199"/>
      <c r="EP21" s="1199"/>
      <c r="EQ21" s="1199"/>
      <c r="ER21" s="1199"/>
      <c r="ES21" s="1199"/>
      <c r="ET21" s="1199"/>
      <c r="EU21" s="1199"/>
      <c r="EV21" s="1199"/>
      <c r="EW21" s="1199"/>
      <c r="EX21" s="1199"/>
      <c r="EY21" s="1199"/>
      <c r="EZ21" s="1199"/>
      <c r="FA21" s="1199"/>
      <c r="FB21" s="1199"/>
      <c r="FC21" s="1199"/>
      <c r="FD21" s="1199"/>
      <c r="FE21" s="1199"/>
      <c r="FF21" s="1199"/>
      <c r="FG21" s="1199"/>
      <c r="FH21" s="1199"/>
      <c r="FI21" s="1199"/>
      <c r="FJ21" s="1199"/>
      <c r="FK21" s="1199"/>
      <c r="FL21" s="1199"/>
      <c r="FM21" s="1199"/>
      <c r="FN21" s="1199"/>
      <c r="FO21" s="1199"/>
      <c r="FP21" s="1199"/>
      <c r="FQ21" s="1199"/>
      <c r="FR21" s="1199"/>
      <c r="FS21" s="1199"/>
      <c r="FT21" s="1199"/>
      <c r="FU21" s="1199"/>
      <c r="FV21" s="1199"/>
      <c r="FW21" s="1199"/>
      <c r="FX21" s="1199"/>
      <c r="FY21" s="1199"/>
      <c r="FZ21" s="1199"/>
      <c r="GA21" s="1199"/>
      <c r="GB21" s="1199"/>
      <c r="GC21" s="1199"/>
      <c r="GD21" s="1199"/>
      <c r="GE21" s="1199"/>
      <c r="GF21" s="1199"/>
      <c r="GG21" s="1199"/>
      <c r="GH21" s="1199"/>
      <c r="GI21" s="1199"/>
      <c r="GJ21" s="1199"/>
      <c r="GK21" s="1199"/>
      <c r="GL21" s="1199"/>
      <c r="GM21" s="1199"/>
      <c r="GN21" s="1199"/>
      <c r="GO21" s="1199"/>
      <c r="GP21" s="1199"/>
      <c r="GQ21" s="1199"/>
      <c r="GR21" s="1199"/>
      <c r="GS21" s="1199"/>
      <c r="GT21" s="1199"/>
      <c r="GU21" s="1199"/>
      <c r="GV21" s="1199"/>
      <c r="GW21" s="1199"/>
      <c r="GX21" s="1199"/>
      <c r="GY21" s="1199"/>
      <c r="GZ21" s="1199"/>
      <c r="HA21" s="1199"/>
      <c r="HB21" s="1199"/>
      <c r="HC21" s="1199"/>
      <c r="HD21" s="1199"/>
      <c r="HE21" s="1199"/>
      <c r="HF21" s="1199"/>
      <c r="HG21" s="1199"/>
      <c r="HH21" s="1199"/>
      <c r="HI21" s="1199"/>
      <c r="HJ21" s="1199"/>
      <c r="HK21" s="1199"/>
      <c r="HL21" s="1199"/>
      <c r="HM21" s="1199"/>
      <c r="HN21" s="1199"/>
      <c r="HO21" s="1199"/>
      <c r="HP21" s="1199"/>
      <c r="HQ21" s="1199"/>
      <c r="HR21" s="1199"/>
      <c r="HS21" s="1199"/>
      <c r="HT21" s="1199"/>
      <c r="HU21" s="1199"/>
    </row>
    <row r="22" spans="1:229" x14ac:dyDescent="0.15">
      <c r="A22" s="1216" t="s">
        <v>4918</v>
      </c>
      <c r="B22" s="1216"/>
      <c r="C22" s="1201"/>
      <c r="D22" s="1201"/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1201"/>
      <c r="P22" s="1201"/>
      <c r="Q22" s="572"/>
      <c r="R22" s="1219"/>
      <c r="S22" s="1201"/>
      <c r="T22" s="1201"/>
      <c r="U22" s="1201"/>
      <c r="V22" s="1201"/>
      <c r="W22" s="1221"/>
      <c r="X22" s="1201"/>
      <c r="Y22" s="573"/>
      <c r="Z22" s="1201"/>
      <c r="AA22" s="586"/>
      <c r="AB22" s="1205"/>
      <c r="AC22" s="1205"/>
      <c r="AD22" s="1205"/>
      <c r="AE22" s="1205"/>
      <c r="AF22" s="1205"/>
      <c r="AG22" s="1205"/>
      <c r="AH22" s="1205"/>
      <c r="AI22" s="1205"/>
      <c r="AJ22" s="1205"/>
      <c r="AK22" s="1205"/>
      <c r="AL22" s="1206">
        <f t="shared" si="2"/>
        <v>0</v>
      </c>
      <c r="AM22" s="1222"/>
      <c r="AN22" s="1222"/>
      <c r="AO22" s="1222"/>
      <c r="AP22" s="1222"/>
      <c r="AQ22" s="1222"/>
      <c r="AR22" s="1222"/>
      <c r="AS22" s="1222"/>
      <c r="AT22" s="1222"/>
      <c r="AU22" s="1222"/>
      <c r="AV22" s="1222"/>
      <c r="AW22" s="1222"/>
      <c r="AX22" s="1222"/>
      <c r="AY22" s="1222"/>
      <c r="AZ22" s="1222"/>
      <c r="BA22" s="1222"/>
      <c r="BB22" s="1222"/>
      <c r="BC22" s="1222"/>
      <c r="BD22" s="1222"/>
      <c r="BE22" s="1222"/>
      <c r="BF22" s="1222"/>
      <c r="BG22" s="1222"/>
      <c r="BH22" s="1222"/>
      <c r="BI22" s="1222"/>
      <c r="BJ22" s="1222"/>
      <c r="BK22" s="1222"/>
      <c r="BL22" s="1222"/>
      <c r="BM22" s="1222"/>
      <c r="BN22" s="1222"/>
      <c r="BO22" s="1222"/>
      <c r="BP22" s="1222"/>
      <c r="BQ22" s="1222"/>
      <c r="BR22" s="1222"/>
      <c r="BS22" s="1222"/>
      <c r="BT22" s="1222"/>
      <c r="BU22" s="1222"/>
      <c r="BV22" s="1222"/>
      <c r="BW22" s="1222"/>
      <c r="BX22" s="1222"/>
      <c r="BY22" s="1222"/>
      <c r="BZ22" s="1222"/>
      <c r="CA22" s="1222"/>
      <c r="CB22" s="1222"/>
      <c r="CC22" s="1222"/>
      <c r="CD22" s="1222"/>
      <c r="CE22" s="1222"/>
      <c r="CF22" s="1222"/>
      <c r="CG22" s="1222"/>
      <c r="CH22" s="1222"/>
      <c r="CI22" s="1222"/>
      <c r="CJ22" s="1222"/>
      <c r="CK22" s="1222"/>
      <c r="CL22" s="1222"/>
      <c r="CM22" s="1222"/>
      <c r="CN22" s="1199"/>
      <c r="CO22" s="1199"/>
      <c r="CP22" s="1199"/>
      <c r="CQ22" s="1199"/>
      <c r="CR22" s="1199"/>
      <c r="CS22" s="1199"/>
      <c r="CT22" s="1199"/>
      <c r="CU22" s="1199"/>
      <c r="CV22" s="1199"/>
      <c r="CW22" s="1199"/>
      <c r="CX22" s="1199"/>
      <c r="CY22" s="1199"/>
      <c r="CZ22" s="1199"/>
      <c r="DA22" s="1199"/>
      <c r="DB22" s="1199"/>
      <c r="DC22" s="1199"/>
      <c r="DD22" s="1199"/>
      <c r="DE22" s="1199"/>
      <c r="DF22" s="1199"/>
      <c r="DG22" s="1199"/>
      <c r="DH22" s="1199"/>
      <c r="DI22" s="1199"/>
      <c r="DJ22" s="1199"/>
      <c r="DK22" s="1199"/>
      <c r="DL22" s="1199"/>
      <c r="DM22" s="1199"/>
      <c r="DN22" s="1199"/>
      <c r="DO22" s="1199"/>
      <c r="DP22" s="1199"/>
      <c r="DQ22" s="1199"/>
      <c r="DR22" s="1199"/>
      <c r="DS22" s="1199"/>
      <c r="DT22" s="1199"/>
      <c r="DU22" s="1199"/>
      <c r="DV22" s="1199"/>
      <c r="DW22" s="1199"/>
      <c r="DX22" s="1199"/>
      <c r="DY22" s="1199"/>
      <c r="DZ22" s="1199"/>
      <c r="EA22" s="1199"/>
      <c r="EB22" s="1199"/>
      <c r="EC22" s="1199"/>
      <c r="ED22" s="1199"/>
      <c r="EE22" s="1199"/>
      <c r="EF22" s="1199"/>
      <c r="EG22" s="1199"/>
      <c r="EH22" s="1199"/>
      <c r="EI22" s="1199"/>
      <c r="EJ22" s="1199"/>
      <c r="EK22" s="1199"/>
      <c r="EL22" s="1199"/>
      <c r="EM22" s="1199"/>
      <c r="EN22" s="1199"/>
      <c r="EO22" s="1199"/>
      <c r="EP22" s="1199"/>
      <c r="EQ22" s="1199"/>
      <c r="ER22" s="1199"/>
      <c r="ES22" s="1199"/>
      <c r="ET22" s="1199"/>
      <c r="EU22" s="1199"/>
      <c r="EV22" s="1199"/>
      <c r="EW22" s="1199"/>
      <c r="EX22" s="1199"/>
      <c r="EY22" s="1199"/>
      <c r="EZ22" s="1199"/>
      <c r="FA22" s="1199"/>
      <c r="FB22" s="1199"/>
      <c r="FC22" s="1199"/>
      <c r="FD22" s="1199"/>
      <c r="FE22" s="1199"/>
      <c r="FF22" s="1199"/>
      <c r="FG22" s="1199"/>
      <c r="FH22" s="1199"/>
      <c r="FI22" s="1199"/>
      <c r="FJ22" s="1199"/>
      <c r="FK22" s="1199"/>
      <c r="FL22" s="1199"/>
      <c r="FM22" s="1199"/>
      <c r="FN22" s="1199"/>
      <c r="FO22" s="1199"/>
      <c r="FP22" s="1199"/>
      <c r="FQ22" s="1199"/>
      <c r="FR22" s="1199"/>
      <c r="FS22" s="1199"/>
      <c r="FT22" s="1199"/>
      <c r="FU22" s="1199"/>
      <c r="FV22" s="1199"/>
      <c r="FW22" s="1199"/>
      <c r="FX22" s="1199"/>
      <c r="FY22" s="1199"/>
      <c r="FZ22" s="1199"/>
      <c r="GA22" s="1199"/>
      <c r="GB22" s="1199"/>
      <c r="GC22" s="1199"/>
      <c r="GD22" s="1199"/>
      <c r="GE22" s="1199"/>
      <c r="GF22" s="1199"/>
      <c r="GG22" s="1199"/>
      <c r="GH22" s="1199"/>
      <c r="GI22" s="1199"/>
      <c r="GJ22" s="1199"/>
      <c r="GK22" s="1199"/>
      <c r="GL22" s="1199"/>
      <c r="GM22" s="1199"/>
      <c r="GN22" s="1199"/>
      <c r="GO22" s="1199"/>
      <c r="GP22" s="1199"/>
      <c r="GQ22" s="1199"/>
      <c r="GR22" s="1199"/>
      <c r="GS22" s="1199"/>
      <c r="GT22" s="1199"/>
      <c r="GU22" s="1199"/>
      <c r="GV22" s="1199"/>
      <c r="GW22" s="1199"/>
      <c r="GX22" s="1199"/>
      <c r="GY22" s="1199"/>
      <c r="GZ22" s="1199"/>
      <c r="HA22" s="1199"/>
      <c r="HB22" s="1199"/>
      <c r="HC22" s="1199"/>
      <c r="HD22" s="1199"/>
      <c r="HE22" s="1199"/>
      <c r="HF22" s="1199"/>
      <c r="HG22" s="1199"/>
      <c r="HH22" s="1199"/>
      <c r="HI22" s="1199"/>
      <c r="HJ22" s="1199"/>
      <c r="HK22" s="1199"/>
      <c r="HL22" s="1199"/>
      <c r="HM22" s="1199"/>
      <c r="HN22" s="1199"/>
      <c r="HO22" s="1199"/>
      <c r="HP22" s="1199"/>
      <c r="HQ22" s="1199"/>
      <c r="HR22" s="1199"/>
      <c r="HS22" s="1199"/>
      <c r="HT22" s="1199"/>
      <c r="HU22" s="1199"/>
    </row>
    <row r="23" spans="1:229" x14ac:dyDescent="0.25">
      <c r="A23" s="1216" t="s">
        <v>4919</v>
      </c>
      <c r="B23" s="1216"/>
      <c r="C23" s="1201"/>
      <c r="D23" s="1201"/>
      <c r="E23" s="619"/>
      <c r="F23" s="619"/>
      <c r="G23" s="619"/>
      <c r="H23" s="619"/>
      <c r="I23" s="621"/>
      <c r="J23" s="619">
        <v>3762612208</v>
      </c>
      <c r="K23" s="619"/>
      <c r="L23" s="619"/>
      <c r="M23" s="619"/>
      <c r="N23" s="619">
        <v>2490573319</v>
      </c>
      <c r="O23" s="1201"/>
      <c r="P23" s="1201"/>
      <c r="Q23" s="572"/>
      <c r="R23" s="1201">
        <v>652537319</v>
      </c>
      <c r="S23" s="1201">
        <f>2286664730+1063928404</f>
        <v>3350593134</v>
      </c>
      <c r="T23" s="1201"/>
      <c r="U23" s="1201">
        <v>1126145227</v>
      </c>
      <c r="V23" s="1201"/>
      <c r="W23" s="1221"/>
      <c r="X23" s="1201">
        <v>1890133256</v>
      </c>
      <c r="Y23" s="1201">
        <v>4071745675</v>
      </c>
      <c r="Z23" s="1201"/>
      <c r="AA23" s="982"/>
      <c r="AB23" s="1205"/>
      <c r="AC23" s="1204"/>
      <c r="AD23" s="1205"/>
      <c r="AE23" s="1205"/>
      <c r="AF23" s="1205"/>
      <c r="AG23" s="1205"/>
      <c r="AH23" s="1205"/>
      <c r="AI23" s="1205"/>
      <c r="AJ23" s="1205"/>
      <c r="AK23" s="1205"/>
      <c r="AL23" s="1206">
        <f t="shared" si="2"/>
        <v>17344340138</v>
      </c>
      <c r="AM23" s="1222"/>
      <c r="AN23" s="1222"/>
      <c r="AO23" s="1222"/>
      <c r="AP23" s="1222"/>
      <c r="AQ23" s="1222"/>
      <c r="AR23" s="1222"/>
      <c r="AS23" s="1222"/>
      <c r="AT23" s="1222"/>
      <c r="AU23" s="1222"/>
      <c r="AV23" s="1222"/>
      <c r="AW23" s="1222"/>
      <c r="AX23" s="1222"/>
      <c r="AY23" s="1222"/>
      <c r="AZ23" s="1222"/>
      <c r="BA23" s="1222"/>
      <c r="BB23" s="1222"/>
      <c r="BC23" s="1222"/>
      <c r="BD23" s="1222"/>
      <c r="BE23" s="1222"/>
      <c r="BF23" s="1222"/>
      <c r="BG23" s="1222"/>
      <c r="BH23" s="1222"/>
      <c r="BI23" s="1222"/>
      <c r="BJ23" s="1222"/>
      <c r="BK23" s="1222"/>
      <c r="BL23" s="1222"/>
      <c r="BM23" s="1222"/>
      <c r="BN23" s="1222"/>
      <c r="BO23" s="1222"/>
      <c r="BP23" s="1222"/>
      <c r="BQ23" s="1222"/>
      <c r="BR23" s="1222"/>
      <c r="BS23" s="1222"/>
      <c r="BT23" s="1222"/>
      <c r="BU23" s="1222"/>
      <c r="BV23" s="1222"/>
      <c r="BW23" s="1222"/>
      <c r="BX23" s="1222"/>
      <c r="BY23" s="1222"/>
      <c r="BZ23" s="1222"/>
      <c r="CA23" s="1222"/>
      <c r="CB23" s="1222"/>
      <c r="CC23" s="1222"/>
      <c r="CD23" s="1222"/>
      <c r="CE23" s="1222"/>
      <c r="CF23" s="1222"/>
      <c r="CG23" s="1222"/>
      <c r="CH23" s="1222"/>
      <c r="CI23" s="1222"/>
      <c r="CJ23" s="1222"/>
      <c r="CK23" s="1222"/>
      <c r="CL23" s="1222"/>
      <c r="CM23" s="1222"/>
      <c r="CN23" s="1199"/>
      <c r="CO23" s="1199"/>
      <c r="CP23" s="1199"/>
      <c r="CQ23" s="1199"/>
      <c r="CR23" s="1199"/>
      <c r="CS23" s="1199"/>
      <c r="CT23" s="1199"/>
      <c r="CU23" s="1199"/>
      <c r="CV23" s="1199"/>
      <c r="CW23" s="1199"/>
      <c r="CX23" s="1199"/>
      <c r="CY23" s="1199"/>
      <c r="CZ23" s="1199"/>
      <c r="DA23" s="1199"/>
      <c r="DB23" s="1199"/>
      <c r="DC23" s="1199"/>
      <c r="DD23" s="1199"/>
      <c r="DE23" s="1199"/>
      <c r="DF23" s="1199"/>
      <c r="DG23" s="1199"/>
      <c r="DH23" s="1199"/>
      <c r="DI23" s="1199"/>
      <c r="DJ23" s="1199"/>
      <c r="DK23" s="1199"/>
      <c r="DL23" s="1199"/>
      <c r="DM23" s="1199"/>
      <c r="DN23" s="1199"/>
      <c r="DO23" s="1199"/>
      <c r="DP23" s="1199"/>
      <c r="DQ23" s="1199"/>
      <c r="DR23" s="1199"/>
      <c r="DS23" s="1199"/>
      <c r="DT23" s="1199"/>
      <c r="DU23" s="1199"/>
      <c r="DV23" s="1199"/>
      <c r="DW23" s="1199"/>
      <c r="DX23" s="1199"/>
      <c r="DY23" s="1199"/>
      <c r="DZ23" s="1199"/>
      <c r="EA23" s="1199"/>
      <c r="EB23" s="1199"/>
      <c r="EC23" s="1199"/>
      <c r="ED23" s="1199"/>
      <c r="EE23" s="1199"/>
      <c r="EF23" s="1199"/>
      <c r="EG23" s="1199"/>
      <c r="EH23" s="1199"/>
      <c r="EI23" s="1199"/>
      <c r="EJ23" s="1199"/>
      <c r="EK23" s="1199"/>
      <c r="EL23" s="1199"/>
      <c r="EM23" s="1199"/>
      <c r="EN23" s="1199"/>
      <c r="EO23" s="1199"/>
      <c r="EP23" s="1199"/>
      <c r="EQ23" s="1199"/>
      <c r="ER23" s="1199"/>
      <c r="ES23" s="1199"/>
      <c r="ET23" s="1199"/>
      <c r="EU23" s="1199"/>
      <c r="EV23" s="1199"/>
      <c r="EW23" s="1199"/>
      <c r="EX23" s="1199"/>
      <c r="EY23" s="1199"/>
      <c r="EZ23" s="1199"/>
      <c r="FA23" s="1199"/>
      <c r="FB23" s="1199"/>
      <c r="FC23" s="1199"/>
      <c r="FD23" s="1199"/>
      <c r="FE23" s="1199"/>
      <c r="FF23" s="1199"/>
      <c r="FG23" s="1199"/>
      <c r="FH23" s="1199"/>
      <c r="FI23" s="1199"/>
      <c r="FJ23" s="1199"/>
      <c r="FK23" s="1199"/>
      <c r="FL23" s="1199"/>
      <c r="FM23" s="1199"/>
      <c r="FN23" s="1199"/>
      <c r="FO23" s="1199"/>
      <c r="FP23" s="1199"/>
      <c r="FQ23" s="1199"/>
      <c r="FR23" s="1199"/>
      <c r="FS23" s="1199"/>
      <c r="FT23" s="1199"/>
      <c r="FU23" s="1199"/>
      <c r="FV23" s="1199"/>
      <c r="FW23" s="1199"/>
      <c r="FX23" s="1199"/>
      <c r="FY23" s="1199"/>
      <c r="FZ23" s="1199"/>
      <c r="GA23" s="1199"/>
      <c r="GB23" s="1199"/>
      <c r="GC23" s="1199"/>
      <c r="GD23" s="1199"/>
      <c r="GE23" s="1199"/>
      <c r="GF23" s="1199"/>
      <c r="GG23" s="1199"/>
      <c r="GH23" s="1199"/>
      <c r="GI23" s="1199"/>
      <c r="GJ23" s="1199"/>
      <c r="GK23" s="1199"/>
      <c r="GL23" s="1199"/>
      <c r="GM23" s="1199"/>
      <c r="GN23" s="1199"/>
      <c r="GO23" s="1199"/>
      <c r="GP23" s="1199"/>
      <c r="GQ23" s="1199"/>
      <c r="GR23" s="1199"/>
      <c r="GS23" s="1199"/>
      <c r="GT23" s="1199"/>
      <c r="GU23" s="1199"/>
      <c r="GV23" s="1199"/>
      <c r="GW23" s="1199"/>
      <c r="GX23" s="1199"/>
      <c r="GY23" s="1199"/>
      <c r="GZ23" s="1199"/>
      <c r="HA23" s="1199"/>
      <c r="HB23" s="1199"/>
      <c r="HC23" s="1199"/>
      <c r="HD23" s="1199"/>
      <c r="HE23" s="1199"/>
      <c r="HF23" s="1199"/>
      <c r="HG23" s="1199"/>
      <c r="HH23" s="1199"/>
      <c r="HI23" s="1199"/>
      <c r="HJ23" s="1199"/>
      <c r="HK23" s="1199"/>
      <c r="HL23" s="1199"/>
      <c r="HM23" s="1199"/>
      <c r="HN23" s="1199"/>
      <c r="HO23" s="1199"/>
      <c r="HP23" s="1199"/>
      <c r="HQ23" s="1199"/>
      <c r="HR23" s="1199"/>
      <c r="HS23" s="1199"/>
      <c r="HT23" s="1199"/>
      <c r="HU23" s="1199"/>
    </row>
    <row r="24" spans="1:229" x14ac:dyDescent="0.25">
      <c r="A24" s="1224" t="s">
        <v>5496</v>
      </c>
      <c r="B24" s="1224"/>
      <c r="C24" s="1225">
        <f>SUM(C16:C23)</f>
        <v>0</v>
      </c>
      <c r="D24" s="1225">
        <f t="shared" ref="D24:AK24" si="3">SUM(D16:D23)</f>
        <v>0</v>
      </c>
      <c r="E24" s="1225">
        <f>SUM(E16:E23)</f>
        <v>0</v>
      </c>
      <c r="F24" s="1225">
        <f>SUM(F16:F23)</f>
        <v>0</v>
      </c>
      <c r="G24" s="1225">
        <f t="shared" si="3"/>
        <v>0</v>
      </c>
      <c r="H24" s="1225">
        <f t="shared" si="3"/>
        <v>0</v>
      </c>
      <c r="I24" s="1225">
        <f t="shared" si="3"/>
        <v>0</v>
      </c>
      <c r="J24" s="1225">
        <f t="shared" si="3"/>
        <v>4061474400</v>
      </c>
      <c r="K24" s="1225">
        <f t="shared" si="3"/>
        <v>0</v>
      </c>
      <c r="L24" s="1225">
        <f t="shared" si="3"/>
        <v>0</v>
      </c>
      <c r="M24" s="1225">
        <f t="shared" si="3"/>
        <v>0</v>
      </c>
      <c r="N24" s="1225">
        <f t="shared" si="3"/>
        <v>4889299433</v>
      </c>
      <c r="O24" s="1225">
        <f t="shared" si="3"/>
        <v>0</v>
      </c>
      <c r="P24" s="1225">
        <f t="shared" si="3"/>
        <v>0</v>
      </c>
      <c r="Q24" s="1225">
        <f t="shared" si="3"/>
        <v>0</v>
      </c>
      <c r="R24" s="1225">
        <f t="shared" si="3"/>
        <v>4778061326</v>
      </c>
      <c r="S24" s="1225">
        <f>SUM(S16:S23)</f>
        <v>4109685443</v>
      </c>
      <c r="T24" s="1225">
        <f t="shared" si="3"/>
        <v>0</v>
      </c>
      <c r="U24" s="1225">
        <f t="shared" si="3"/>
        <v>3329227439</v>
      </c>
      <c r="V24" s="1225">
        <f t="shared" si="3"/>
        <v>0</v>
      </c>
      <c r="W24" s="1225">
        <f t="shared" si="3"/>
        <v>0</v>
      </c>
      <c r="X24" s="1225">
        <f>SUM(X16:X23)</f>
        <v>3213818542</v>
      </c>
      <c r="Y24" s="1225">
        <f t="shared" si="3"/>
        <v>5478157448</v>
      </c>
      <c r="Z24" s="1225">
        <f t="shared" si="3"/>
        <v>0</v>
      </c>
      <c r="AA24" s="1225">
        <f t="shared" si="3"/>
        <v>0</v>
      </c>
      <c r="AB24" s="1225">
        <f>SUM(AB16:AB23)</f>
        <v>0</v>
      </c>
      <c r="AC24" s="1225">
        <f t="shared" si="3"/>
        <v>0</v>
      </c>
      <c r="AD24" s="1225">
        <f t="shared" si="3"/>
        <v>0</v>
      </c>
      <c r="AE24" s="1225">
        <f t="shared" si="3"/>
        <v>0</v>
      </c>
      <c r="AF24" s="1225">
        <f t="shared" si="3"/>
        <v>0</v>
      </c>
      <c r="AG24" s="1225">
        <f t="shared" si="3"/>
        <v>0</v>
      </c>
      <c r="AH24" s="1225">
        <f t="shared" si="3"/>
        <v>0</v>
      </c>
      <c r="AI24" s="1225">
        <f t="shared" si="3"/>
        <v>0</v>
      </c>
      <c r="AJ24" s="1225">
        <f t="shared" si="3"/>
        <v>0</v>
      </c>
      <c r="AK24" s="1225">
        <f t="shared" si="3"/>
        <v>0</v>
      </c>
      <c r="AL24" s="1225">
        <f>SUM(AL16:AL23)</f>
        <v>29859724031</v>
      </c>
      <c r="AM24" s="1222"/>
      <c r="AN24" s="1222"/>
      <c r="AO24" s="1222"/>
      <c r="AP24" s="1222"/>
      <c r="AQ24" s="1222"/>
      <c r="AR24" s="1222"/>
      <c r="AS24" s="1222"/>
      <c r="AT24" s="1222"/>
      <c r="AU24" s="1222"/>
      <c r="AV24" s="1222"/>
      <c r="AW24" s="1222"/>
      <c r="AX24" s="1222"/>
      <c r="AY24" s="1222"/>
      <c r="AZ24" s="1222"/>
      <c r="BA24" s="1222"/>
      <c r="BB24" s="1222"/>
      <c r="BC24" s="1222"/>
      <c r="BD24" s="1222"/>
      <c r="BE24" s="1222"/>
      <c r="BF24" s="1222"/>
      <c r="BG24" s="1222"/>
      <c r="BH24" s="1222"/>
      <c r="BI24" s="1222"/>
      <c r="BJ24" s="1222"/>
      <c r="BK24" s="1222"/>
      <c r="BL24" s="1222"/>
      <c r="BM24" s="1222"/>
      <c r="BN24" s="1222"/>
      <c r="BO24" s="1222"/>
      <c r="BP24" s="1222"/>
      <c r="BQ24" s="1222"/>
      <c r="BR24" s="1222"/>
      <c r="BS24" s="1222"/>
      <c r="BT24" s="1222"/>
      <c r="BU24" s="1222"/>
      <c r="BV24" s="1222"/>
      <c r="BW24" s="1222"/>
      <c r="BX24" s="1222"/>
      <c r="BY24" s="1222"/>
      <c r="BZ24" s="1222"/>
      <c r="CA24" s="1222"/>
      <c r="CB24" s="1222"/>
      <c r="CC24" s="1222"/>
      <c r="CD24" s="1222"/>
      <c r="CE24" s="1222"/>
      <c r="CF24" s="1222"/>
      <c r="CG24" s="1222"/>
      <c r="CH24" s="1222"/>
      <c r="CI24" s="1222"/>
      <c r="CJ24" s="1222"/>
      <c r="CK24" s="1222"/>
      <c r="CL24" s="1222"/>
      <c r="CM24" s="1222"/>
      <c r="CN24" s="1199"/>
      <c r="CO24" s="1199"/>
      <c r="CP24" s="1199"/>
      <c r="CQ24" s="1199"/>
      <c r="CR24" s="1199"/>
      <c r="CS24" s="1199"/>
      <c r="CT24" s="1199"/>
      <c r="CU24" s="1199"/>
      <c r="CV24" s="1199"/>
      <c r="CW24" s="1199"/>
      <c r="CX24" s="1199"/>
      <c r="CY24" s="1199"/>
      <c r="CZ24" s="1199"/>
      <c r="DA24" s="1199"/>
      <c r="DB24" s="1199"/>
      <c r="DC24" s="1199"/>
      <c r="DD24" s="1199"/>
      <c r="DE24" s="1199"/>
      <c r="DF24" s="1199"/>
      <c r="DG24" s="1199"/>
      <c r="DH24" s="1199"/>
      <c r="DI24" s="1199"/>
      <c r="DJ24" s="1199"/>
      <c r="DK24" s="1199"/>
      <c r="DL24" s="1199"/>
      <c r="DM24" s="1199"/>
      <c r="DN24" s="1199"/>
      <c r="DO24" s="1199"/>
      <c r="DP24" s="1199"/>
      <c r="DQ24" s="1199"/>
      <c r="DR24" s="1199"/>
      <c r="DS24" s="1199"/>
      <c r="DT24" s="1199"/>
      <c r="DU24" s="1199"/>
      <c r="DV24" s="1199"/>
      <c r="DW24" s="1199"/>
      <c r="DX24" s="1199"/>
      <c r="DY24" s="1199"/>
      <c r="DZ24" s="1199"/>
      <c r="EA24" s="1199"/>
      <c r="EB24" s="1199"/>
      <c r="EC24" s="1199"/>
      <c r="ED24" s="1199"/>
      <c r="EE24" s="1199"/>
      <c r="EF24" s="1199"/>
      <c r="EG24" s="1199"/>
      <c r="EH24" s="1199"/>
      <c r="EI24" s="1199"/>
      <c r="EJ24" s="1199"/>
      <c r="EK24" s="1199"/>
      <c r="EL24" s="1199"/>
      <c r="EM24" s="1199"/>
      <c r="EN24" s="1199"/>
      <c r="EO24" s="1199"/>
      <c r="EP24" s="1199"/>
      <c r="EQ24" s="1199"/>
      <c r="ER24" s="1199"/>
      <c r="ES24" s="1199"/>
      <c r="ET24" s="1199"/>
      <c r="EU24" s="1199"/>
      <c r="EV24" s="1199"/>
      <c r="EW24" s="1199"/>
      <c r="EX24" s="1199"/>
      <c r="EY24" s="1199"/>
      <c r="EZ24" s="1199"/>
      <c r="FA24" s="1199"/>
      <c r="FB24" s="1199"/>
      <c r="FC24" s="1199"/>
      <c r="FD24" s="1199"/>
      <c r="FE24" s="1199"/>
      <c r="FF24" s="1199"/>
      <c r="FG24" s="1199"/>
      <c r="FH24" s="1199"/>
      <c r="FI24" s="1199"/>
      <c r="FJ24" s="1199"/>
      <c r="FK24" s="1199"/>
      <c r="FL24" s="1199"/>
      <c r="FM24" s="1199"/>
      <c r="FN24" s="1199"/>
      <c r="FO24" s="1199"/>
      <c r="FP24" s="1199"/>
      <c r="FQ24" s="1199"/>
      <c r="FR24" s="1199"/>
      <c r="FS24" s="1199"/>
      <c r="FT24" s="1199"/>
      <c r="FU24" s="1199"/>
      <c r="FV24" s="1199"/>
      <c r="FW24" s="1199"/>
      <c r="FX24" s="1199"/>
      <c r="FY24" s="1199"/>
      <c r="FZ24" s="1199"/>
      <c r="GA24" s="1199"/>
      <c r="GB24" s="1199"/>
      <c r="GC24" s="1199"/>
      <c r="GD24" s="1199"/>
      <c r="GE24" s="1199"/>
      <c r="GF24" s="1199"/>
      <c r="GG24" s="1199"/>
      <c r="GH24" s="1199"/>
      <c r="GI24" s="1199"/>
      <c r="GJ24" s="1199"/>
      <c r="GK24" s="1199"/>
      <c r="GL24" s="1199"/>
      <c r="GM24" s="1199"/>
      <c r="GN24" s="1199"/>
      <c r="GO24" s="1199"/>
      <c r="GP24" s="1199"/>
      <c r="GQ24" s="1199"/>
      <c r="GR24" s="1199"/>
      <c r="GS24" s="1199"/>
      <c r="GT24" s="1199"/>
      <c r="GU24" s="1199"/>
      <c r="GV24" s="1199"/>
      <c r="GW24" s="1199"/>
      <c r="GX24" s="1199"/>
      <c r="GY24" s="1199"/>
      <c r="GZ24" s="1199"/>
      <c r="HA24" s="1199"/>
      <c r="HB24" s="1199"/>
      <c r="HC24" s="1199"/>
      <c r="HD24" s="1199"/>
      <c r="HE24" s="1199"/>
      <c r="HF24" s="1199"/>
      <c r="HG24" s="1199"/>
      <c r="HH24" s="1199"/>
      <c r="HI24" s="1199"/>
      <c r="HJ24" s="1199"/>
      <c r="HK24" s="1199"/>
      <c r="HL24" s="1199"/>
      <c r="HM24" s="1199"/>
      <c r="HN24" s="1199"/>
      <c r="HO24" s="1199"/>
      <c r="HP24" s="1199"/>
      <c r="HQ24" s="1199"/>
      <c r="HR24" s="1199"/>
      <c r="HS24" s="1199"/>
      <c r="HT24" s="1199"/>
      <c r="HU24" s="1199"/>
    </row>
    <row r="25" spans="1:229" s="1186" customFormat="1" x14ac:dyDescent="0.25">
      <c r="A25" s="1218"/>
      <c r="B25" s="1218"/>
      <c r="C25" s="1226"/>
      <c r="D25" s="1226"/>
      <c r="E25" s="1226"/>
      <c r="F25" s="1226"/>
      <c r="G25" s="1226"/>
      <c r="H25" s="1226"/>
      <c r="I25" s="1226"/>
      <c r="J25" s="1226"/>
      <c r="K25" s="1226"/>
      <c r="L25" s="1226"/>
      <c r="M25" s="1226"/>
      <c r="N25" s="1226"/>
      <c r="O25" s="1226"/>
      <c r="P25" s="1226"/>
      <c r="Q25" s="1226"/>
      <c r="R25" s="1226"/>
      <c r="S25" s="1226"/>
      <c r="T25" s="1226"/>
      <c r="U25" s="1226"/>
      <c r="V25" s="1226"/>
      <c r="W25" s="1226"/>
      <c r="X25" s="1226"/>
      <c r="Y25" s="1226"/>
      <c r="Z25" s="1226"/>
      <c r="AA25" s="1226"/>
      <c r="AB25" s="1226"/>
      <c r="AC25" s="1226"/>
      <c r="AD25" s="1226"/>
      <c r="AE25" s="1226"/>
      <c r="AF25" s="1226"/>
      <c r="AG25" s="1226"/>
      <c r="AH25" s="1226"/>
      <c r="AI25" s="1226"/>
      <c r="AJ25" s="1226"/>
      <c r="AK25" s="1226"/>
      <c r="AL25" s="1226"/>
    </row>
    <row r="26" spans="1:229" s="1186" customFormat="1" ht="22.5" customHeight="1" x14ac:dyDescent="0.25">
      <c r="A26" s="1473" t="s">
        <v>231</v>
      </c>
      <c r="B26" s="1473"/>
      <c r="C26" s="1226"/>
      <c r="D26" s="1226"/>
      <c r="E26" s="1226"/>
      <c r="F26" s="1226"/>
      <c r="G26" s="1226"/>
      <c r="H26" s="1226"/>
      <c r="I26" s="1226"/>
      <c r="J26" s="1226"/>
      <c r="K26" s="1226"/>
      <c r="L26" s="1226"/>
      <c r="M26" s="1226"/>
      <c r="N26" s="1226"/>
      <c r="O26" s="1226"/>
      <c r="P26" s="1226"/>
      <c r="Q26" s="1226"/>
      <c r="R26" s="1226"/>
      <c r="S26" s="1226"/>
      <c r="T26" s="1226"/>
      <c r="U26" s="1226"/>
      <c r="V26" s="1226"/>
      <c r="W26" s="1226"/>
      <c r="X26" s="1226"/>
      <c r="Y26" s="1226"/>
      <c r="Z26" s="1226"/>
      <c r="AA26" s="1226"/>
      <c r="AB26" s="1226"/>
      <c r="AC26" s="1226"/>
      <c r="AD26" s="1226"/>
      <c r="AE26" s="1226"/>
      <c r="AF26" s="1226"/>
      <c r="AG26" s="1226"/>
      <c r="AH26" s="1226"/>
      <c r="AI26" s="1226"/>
      <c r="AJ26" s="1226"/>
      <c r="AK26" s="1226"/>
      <c r="AL26" s="1226"/>
    </row>
    <row r="27" spans="1:229" x14ac:dyDescent="0.25">
      <c r="A27" s="1462" t="s">
        <v>230</v>
      </c>
      <c r="B27" s="1194"/>
      <c r="C27" s="1194"/>
      <c r="D27" s="1194"/>
      <c r="E27" s="1467" t="s">
        <v>114</v>
      </c>
      <c r="F27" s="1468"/>
      <c r="G27" s="1468"/>
      <c r="H27" s="1468"/>
      <c r="I27" s="1468"/>
      <c r="J27" s="1468"/>
      <c r="K27" s="1468"/>
      <c r="L27" s="1468"/>
      <c r="M27" s="1468"/>
      <c r="N27" s="1468"/>
      <c r="O27" s="1468"/>
      <c r="P27" s="1468"/>
      <c r="Q27" s="1468"/>
      <c r="R27" s="1468"/>
      <c r="S27" s="1468"/>
      <c r="T27" s="1468"/>
      <c r="U27" s="1468"/>
      <c r="V27" s="1468"/>
      <c r="W27" s="1468"/>
      <c r="X27" s="1468"/>
      <c r="Y27" s="1468"/>
      <c r="Z27" s="1468"/>
      <c r="AA27" s="1468"/>
      <c r="AB27" s="1468"/>
      <c r="AC27" s="1468"/>
      <c r="AD27" s="1468"/>
      <c r="AE27" s="1468"/>
      <c r="AF27" s="1468"/>
      <c r="AG27" s="1468"/>
      <c r="AH27" s="1468"/>
      <c r="AI27" s="1468"/>
      <c r="AJ27" s="1468"/>
      <c r="AK27" s="1468"/>
      <c r="AL27" s="1469"/>
    </row>
    <row r="28" spans="1:229" x14ac:dyDescent="0.25">
      <c r="A28" s="1463"/>
      <c r="B28" s="1195"/>
      <c r="C28" s="1196">
        <v>2</v>
      </c>
      <c r="D28" s="1196">
        <v>3</v>
      </c>
      <c r="E28" s="1196">
        <v>4</v>
      </c>
      <c r="F28" s="1196">
        <v>5</v>
      </c>
      <c r="G28" s="1196">
        <v>6</v>
      </c>
      <c r="H28" s="1196">
        <v>7</v>
      </c>
      <c r="I28" s="1196">
        <v>8</v>
      </c>
      <c r="J28" s="1196">
        <v>9</v>
      </c>
      <c r="K28" s="1196">
        <v>10</v>
      </c>
      <c r="L28" s="1196">
        <v>11</v>
      </c>
      <c r="M28" s="1196">
        <v>12</v>
      </c>
      <c r="N28" s="1196">
        <v>13</v>
      </c>
      <c r="O28" s="1196">
        <v>14</v>
      </c>
      <c r="P28" s="1196">
        <v>15</v>
      </c>
      <c r="Q28" s="1196">
        <v>16</v>
      </c>
      <c r="R28" s="1196">
        <v>17</v>
      </c>
      <c r="S28" s="1196">
        <v>18</v>
      </c>
      <c r="T28" s="1196">
        <v>19</v>
      </c>
      <c r="U28" s="1196">
        <v>20</v>
      </c>
      <c r="V28" s="1196">
        <v>21</v>
      </c>
      <c r="W28" s="1196">
        <v>22</v>
      </c>
      <c r="X28" s="1196">
        <v>23</v>
      </c>
      <c r="Y28" s="1196">
        <v>24</v>
      </c>
      <c r="Z28" s="1196">
        <v>25</v>
      </c>
      <c r="AA28" s="1196">
        <v>26</v>
      </c>
      <c r="AB28" s="1196">
        <v>27</v>
      </c>
      <c r="AC28" s="1196">
        <v>28</v>
      </c>
      <c r="AD28" s="1196">
        <v>29</v>
      </c>
      <c r="AE28" s="1196">
        <v>30</v>
      </c>
      <c r="AF28" s="1196">
        <v>31</v>
      </c>
      <c r="AG28" s="1196">
        <v>32</v>
      </c>
      <c r="AH28" s="1196">
        <v>33</v>
      </c>
      <c r="AI28" s="1196">
        <v>34</v>
      </c>
      <c r="AJ28" s="1196">
        <v>35</v>
      </c>
      <c r="AK28" s="1196">
        <v>36</v>
      </c>
      <c r="AL28" s="1197" t="s">
        <v>24</v>
      </c>
    </row>
    <row r="29" spans="1:229" s="1186" customFormat="1" x14ac:dyDescent="0.25">
      <c r="A29" s="1227" t="s">
        <v>6183</v>
      </c>
      <c r="B29" s="1227"/>
      <c r="C29" s="983"/>
      <c r="D29" s="983"/>
      <c r="E29" s="983"/>
      <c r="F29" s="983"/>
      <c r="G29" s="983"/>
      <c r="H29" s="983"/>
      <c r="I29" s="983"/>
      <c r="J29" s="983"/>
      <c r="K29" s="983"/>
      <c r="L29" s="983"/>
      <c r="M29" s="983"/>
      <c r="N29" s="983"/>
      <c r="O29" s="983"/>
      <c r="P29" s="983"/>
      <c r="Q29" s="983"/>
      <c r="R29" s="983"/>
      <c r="S29" s="983"/>
      <c r="T29" s="983"/>
      <c r="U29" s="983"/>
      <c r="V29" s="983"/>
      <c r="W29" s="983"/>
      <c r="X29" s="983"/>
      <c r="Y29" s="983"/>
      <c r="Z29" s="983"/>
      <c r="AA29" s="983"/>
      <c r="AB29" s="983"/>
      <c r="AC29" s="983"/>
      <c r="AD29" s="983"/>
      <c r="AE29" s="983"/>
      <c r="AF29" s="983"/>
      <c r="AG29" s="983"/>
      <c r="AH29" s="983"/>
      <c r="AI29" s="983"/>
      <c r="AJ29" s="983"/>
      <c r="AK29" s="983"/>
      <c r="AL29" s="1206">
        <f>SUM(C29:AK29)</f>
        <v>0</v>
      </c>
      <c r="AM29" s="1182"/>
      <c r="AN29" s="1182"/>
      <c r="AO29" s="1182"/>
      <c r="AP29" s="1182"/>
      <c r="AQ29" s="1182"/>
      <c r="AR29" s="1182"/>
      <c r="AS29" s="1182"/>
      <c r="AT29" s="1182"/>
      <c r="AU29" s="1182"/>
      <c r="AV29" s="1182"/>
      <c r="AW29" s="1182"/>
      <c r="AX29" s="1182"/>
      <c r="AY29" s="1182"/>
      <c r="AZ29" s="1182"/>
      <c r="BA29" s="1182"/>
      <c r="BB29" s="1182"/>
      <c r="BC29" s="1182"/>
      <c r="BD29" s="1182"/>
      <c r="BE29" s="1182"/>
      <c r="BF29" s="1182"/>
      <c r="BG29" s="1182"/>
      <c r="BH29" s="1182"/>
      <c r="BI29" s="1182"/>
      <c r="BJ29" s="1182"/>
      <c r="BK29" s="1182"/>
      <c r="BL29" s="1182"/>
      <c r="BM29" s="1182"/>
      <c r="BN29" s="1182"/>
      <c r="BO29" s="1182"/>
      <c r="BP29" s="1182"/>
      <c r="BQ29" s="1182"/>
      <c r="BR29" s="1182"/>
      <c r="BS29" s="1182"/>
      <c r="BT29" s="1182"/>
      <c r="BU29" s="1182"/>
      <c r="BV29" s="1182"/>
      <c r="BW29" s="1182"/>
      <c r="BX29" s="1182"/>
      <c r="BY29" s="1182"/>
      <c r="BZ29" s="1182"/>
      <c r="CA29" s="1182"/>
      <c r="CB29" s="1182"/>
      <c r="CC29" s="1182"/>
      <c r="CD29" s="1182"/>
      <c r="CE29" s="1182"/>
      <c r="CF29" s="1182"/>
      <c r="CG29" s="1182"/>
      <c r="CH29" s="1182"/>
      <c r="CI29" s="1182"/>
      <c r="CJ29" s="1182"/>
      <c r="CK29" s="1182"/>
      <c r="CL29" s="1182"/>
      <c r="CM29" s="1182"/>
      <c r="CN29" s="1182"/>
      <c r="CO29" s="1182"/>
      <c r="CP29" s="1182"/>
      <c r="CQ29" s="1182"/>
      <c r="CR29" s="1182"/>
      <c r="CS29" s="1182"/>
      <c r="CT29" s="1182"/>
      <c r="CU29" s="1182"/>
      <c r="CV29" s="1182"/>
      <c r="CW29" s="1182"/>
      <c r="CX29" s="1182"/>
      <c r="CY29" s="1182"/>
      <c r="CZ29" s="1182"/>
      <c r="DA29" s="1182"/>
      <c r="DB29" s="1182"/>
      <c r="DC29" s="1182"/>
      <c r="DD29" s="1182"/>
      <c r="DE29" s="1182"/>
      <c r="DF29" s="1182"/>
      <c r="DG29" s="1182"/>
      <c r="DH29" s="1182"/>
      <c r="DI29" s="1182"/>
      <c r="DJ29" s="1182"/>
      <c r="DK29" s="1182"/>
      <c r="DL29" s="1182"/>
      <c r="DM29" s="1182"/>
      <c r="DN29" s="1182"/>
      <c r="DO29" s="1182"/>
      <c r="DP29" s="1182"/>
      <c r="DQ29" s="1182"/>
      <c r="DR29" s="1182"/>
      <c r="DS29" s="1182"/>
      <c r="DT29" s="1182"/>
      <c r="DU29" s="1182"/>
      <c r="DV29" s="1182"/>
      <c r="DW29" s="1182"/>
      <c r="DX29" s="1182"/>
      <c r="DY29" s="1182"/>
      <c r="DZ29" s="1182"/>
      <c r="EA29" s="1182"/>
      <c r="EB29" s="1182"/>
      <c r="EC29" s="1182"/>
      <c r="ED29" s="1182"/>
      <c r="EE29" s="1182"/>
      <c r="EF29" s="1182"/>
      <c r="EG29" s="1182"/>
      <c r="EH29" s="1182"/>
      <c r="EI29" s="1182"/>
      <c r="EJ29" s="1182"/>
      <c r="EK29" s="1182"/>
      <c r="EL29" s="1182"/>
      <c r="EM29" s="1182"/>
      <c r="EN29" s="1182"/>
      <c r="EO29" s="1182"/>
      <c r="EP29" s="1182"/>
      <c r="EQ29" s="1182"/>
      <c r="ER29" s="1182"/>
      <c r="ES29" s="1182"/>
      <c r="ET29" s="1182"/>
      <c r="EU29" s="1182"/>
      <c r="EV29" s="1182"/>
      <c r="EW29" s="1182"/>
      <c r="EX29" s="1182"/>
      <c r="EY29" s="1182"/>
      <c r="EZ29" s="1182"/>
      <c r="FA29" s="1182"/>
      <c r="FB29" s="1182"/>
      <c r="FC29" s="1182"/>
      <c r="FD29" s="1182"/>
      <c r="FE29" s="1182"/>
      <c r="FF29" s="1182"/>
      <c r="FG29" s="1182"/>
      <c r="FH29" s="1182"/>
      <c r="FI29" s="1182"/>
      <c r="FJ29" s="1182"/>
      <c r="FK29" s="1182"/>
      <c r="FL29" s="1182"/>
      <c r="FM29" s="1182"/>
      <c r="FN29" s="1182"/>
      <c r="FO29" s="1182"/>
      <c r="FP29" s="1182"/>
      <c r="FQ29" s="1182"/>
      <c r="FR29" s="1182"/>
      <c r="FS29" s="1182"/>
      <c r="FT29" s="1182"/>
      <c r="FU29" s="1182"/>
      <c r="FV29" s="1182"/>
      <c r="FW29" s="1182"/>
      <c r="FX29" s="1182"/>
      <c r="FY29" s="1182"/>
      <c r="FZ29" s="1182"/>
      <c r="GA29" s="1182"/>
      <c r="GB29" s="1182"/>
      <c r="GC29" s="1182"/>
      <c r="GD29" s="1182"/>
      <c r="GE29" s="1182"/>
      <c r="GF29" s="1182"/>
      <c r="GG29" s="1182"/>
      <c r="GH29" s="1182"/>
      <c r="GI29" s="1182"/>
      <c r="GJ29" s="1182"/>
      <c r="GK29" s="1182"/>
      <c r="GL29" s="1182"/>
      <c r="GM29" s="1182"/>
      <c r="GN29" s="1182"/>
      <c r="GO29" s="1182"/>
      <c r="GP29" s="1182"/>
      <c r="GQ29" s="1182"/>
      <c r="GR29" s="1182"/>
      <c r="GS29" s="1182"/>
      <c r="GT29" s="1182"/>
      <c r="GU29" s="1182"/>
      <c r="GV29" s="1182"/>
      <c r="GW29" s="1182"/>
      <c r="GX29" s="1182"/>
      <c r="GY29" s="1182"/>
      <c r="GZ29" s="1182"/>
      <c r="HA29" s="1182"/>
      <c r="HB29" s="1182"/>
      <c r="HC29" s="1182"/>
      <c r="HD29" s="1182"/>
      <c r="HE29" s="1182"/>
      <c r="HF29" s="1182"/>
      <c r="HG29" s="1182"/>
      <c r="HH29" s="1182"/>
      <c r="HI29" s="1182"/>
      <c r="HJ29" s="1182"/>
      <c r="HK29" s="1182"/>
      <c r="HL29" s="1182"/>
      <c r="HM29" s="1182"/>
      <c r="HN29" s="1182"/>
      <c r="HO29" s="1182"/>
      <c r="HP29" s="1182"/>
      <c r="HQ29" s="1182"/>
      <c r="HR29" s="1182"/>
      <c r="HS29" s="1182"/>
      <c r="HT29" s="1182"/>
      <c r="HU29" s="1182"/>
    </row>
    <row r="30" spans="1:229" x14ac:dyDescent="0.15">
      <c r="A30" s="1216" t="s">
        <v>6182</v>
      </c>
      <c r="B30" s="1216"/>
      <c r="C30" s="1201"/>
      <c r="D30" s="1201"/>
      <c r="E30" s="1228"/>
      <c r="F30" s="619"/>
      <c r="G30" s="619"/>
      <c r="H30" s="619"/>
      <c r="I30" s="619"/>
      <c r="J30" s="619"/>
      <c r="K30" s="619"/>
      <c r="L30" s="619"/>
      <c r="M30" s="619">
        <v>701670321</v>
      </c>
      <c r="N30" s="619"/>
      <c r="O30" s="1201"/>
      <c r="P30" s="1201"/>
      <c r="Q30" s="572"/>
      <c r="R30" s="1219"/>
      <c r="S30" s="1201"/>
      <c r="T30" s="1201"/>
      <c r="U30" s="1201"/>
      <c r="V30" s="982"/>
      <c r="W30" s="1208"/>
      <c r="X30" s="1201"/>
      <c r="Y30" s="586"/>
      <c r="Z30" s="1201"/>
      <c r="AA30" s="586"/>
      <c r="AB30" s="1205"/>
      <c r="AC30" s="1205"/>
      <c r="AD30" s="1205"/>
      <c r="AE30" s="1205"/>
      <c r="AF30" s="1205"/>
      <c r="AG30" s="1205"/>
      <c r="AH30" s="1205"/>
      <c r="AI30" s="1205"/>
      <c r="AJ30" s="1205"/>
      <c r="AK30" s="1205"/>
      <c r="AL30" s="1206">
        <f>SUM(C30:AK30)</f>
        <v>701670321</v>
      </c>
      <c r="AM30" s="1222"/>
      <c r="AN30" s="1222"/>
      <c r="AO30" s="1222"/>
      <c r="AP30" s="1222"/>
      <c r="AQ30" s="1222"/>
      <c r="AR30" s="1222"/>
      <c r="AS30" s="1222"/>
      <c r="AT30" s="1222"/>
      <c r="AU30" s="1222"/>
      <c r="AV30" s="1222"/>
      <c r="AW30" s="1222"/>
      <c r="AX30" s="1222"/>
      <c r="AY30" s="1222"/>
      <c r="AZ30" s="1222"/>
      <c r="BA30" s="1222"/>
      <c r="BB30" s="1222"/>
      <c r="BC30" s="1222"/>
      <c r="BD30" s="1222"/>
      <c r="BE30" s="1222"/>
      <c r="BF30" s="1222"/>
      <c r="BG30" s="1222"/>
      <c r="BH30" s="1222"/>
      <c r="BI30" s="1222"/>
      <c r="BJ30" s="1222"/>
      <c r="BK30" s="1222"/>
      <c r="BL30" s="1222"/>
      <c r="BM30" s="1222"/>
      <c r="BN30" s="1222"/>
      <c r="BO30" s="1222"/>
      <c r="BP30" s="1222"/>
      <c r="BQ30" s="1222"/>
      <c r="BR30" s="1222"/>
      <c r="BS30" s="1222"/>
      <c r="BT30" s="1222"/>
      <c r="BU30" s="1222"/>
      <c r="BV30" s="1222"/>
      <c r="BW30" s="1222"/>
      <c r="BX30" s="1222"/>
      <c r="BY30" s="1222"/>
      <c r="BZ30" s="1222"/>
      <c r="CA30" s="1222"/>
      <c r="CB30" s="1222"/>
      <c r="CC30" s="1222"/>
      <c r="CD30" s="1222"/>
      <c r="CE30" s="1222"/>
      <c r="CF30" s="1222"/>
      <c r="CG30" s="1222"/>
      <c r="CH30" s="1222"/>
      <c r="CI30" s="1222"/>
      <c r="CJ30" s="1222"/>
      <c r="CK30" s="1222"/>
      <c r="CL30" s="1222"/>
      <c r="CM30" s="1222"/>
      <c r="CN30" s="1199"/>
      <c r="CO30" s="1199"/>
      <c r="CP30" s="1199"/>
      <c r="CQ30" s="1199"/>
      <c r="CR30" s="1199"/>
      <c r="CS30" s="1199"/>
      <c r="CT30" s="1199"/>
      <c r="CU30" s="1199"/>
      <c r="CV30" s="1199"/>
      <c r="CW30" s="1199"/>
      <c r="CX30" s="1199"/>
      <c r="CY30" s="1199"/>
      <c r="CZ30" s="1199"/>
      <c r="DA30" s="1199"/>
      <c r="DB30" s="1199"/>
      <c r="DC30" s="1199"/>
      <c r="DD30" s="1199"/>
      <c r="DE30" s="1199"/>
      <c r="DF30" s="1199"/>
      <c r="DG30" s="1199"/>
      <c r="DH30" s="1199"/>
      <c r="DI30" s="1199"/>
      <c r="DJ30" s="1199"/>
      <c r="DK30" s="1199"/>
      <c r="DL30" s="1199"/>
      <c r="DM30" s="1199"/>
      <c r="DN30" s="1199"/>
      <c r="DO30" s="1199"/>
      <c r="DP30" s="1199"/>
      <c r="DQ30" s="1199"/>
      <c r="DR30" s="1199"/>
      <c r="DS30" s="1199"/>
      <c r="DT30" s="1199"/>
      <c r="DU30" s="1199"/>
      <c r="DV30" s="1199"/>
      <c r="DW30" s="1199"/>
      <c r="DX30" s="1199"/>
      <c r="DY30" s="1199"/>
      <c r="DZ30" s="1199"/>
      <c r="EA30" s="1199"/>
      <c r="EB30" s="1199"/>
      <c r="EC30" s="1199"/>
      <c r="ED30" s="1199"/>
      <c r="EE30" s="1199"/>
      <c r="EF30" s="1199"/>
      <c r="EG30" s="1199"/>
      <c r="EH30" s="1199"/>
      <c r="EI30" s="1199"/>
      <c r="EJ30" s="1199"/>
      <c r="EK30" s="1199"/>
      <c r="EL30" s="1199"/>
      <c r="EM30" s="1199"/>
      <c r="EN30" s="1199"/>
      <c r="EO30" s="1199"/>
      <c r="EP30" s="1199"/>
      <c r="EQ30" s="1199"/>
      <c r="ER30" s="1199"/>
      <c r="ES30" s="1199"/>
      <c r="ET30" s="1199"/>
      <c r="EU30" s="1199"/>
      <c r="EV30" s="1199"/>
      <c r="EW30" s="1199"/>
      <c r="EX30" s="1199"/>
      <c r="EY30" s="1199"/>
      <c r="EZ30" s="1199"/>
      <c r="FA30" s="1199"/>
      <c r="FB30" s="1199"/>
      <c r="FC30" s="1199"/>
      <c r="FD30" s="1199"/>
      <c r="FE30" s="1199"/>
      <c r="FF30" s="1199"/>
      <c r="FG30" s="1199"/>
      <c r="FH30" s="1199"/>
      <c r="FI30" s="1199"/>
      <c r="FJ30" s="1199"/>
      <c r="FK30" s="1199"/>
      <c r="FL30" s="1199"/>
      <c r="FM30" s="1199"/>
      <c r="FN30" s="1199"/>
      <c r="FO30" s="1199"/>
      <c r="FP30" s="1199"/>
      <c r="FQ30" s="1199"/>
      <c r="FR30" s="1199"/>
      <c r="FS30" s="1199"/>
      <c r="FT30" s="1199"/>
      <c r="FU30" s="1199"/>
      <c r="FV30" s="1199"/>
      <c r="FW30" s="1199"/>
      <c r="FX30" s="1199"/>
      <c r="FY30" s="1199"/>
      <c r="FZ30" s="1199"/>
      <c r="GA30" s="1199"/>
      <c r="GB30" s="1199"/>
      <c r="GC30" s="1199"/>
      <c r="GD30" s="1199"/>
      <c r="GE30" s="1199"/>
      <c r="GF30" s="1199"/>
      <c r="GG30" s="1199"/>
      <c r="GH30" s="1199"/>
      <c r="GI30" s="1199"/>
      <c r="GJ30" s="1199"/>
      <c r="GK30" s="1199"/>
      <c r="GL30" s="1199"/>
      <c r="GM30" s="1199"/>
      <c r="GN30" s="1199"/>
      <c r="GO30" s="1199"/>
      <c r="GP30" s="1199"/>
      <c r="GQ30" s="1199"/>
      <c r="GR30" s="1199"/>
      <c r="GS30" s="1199"/>
      <c r="GT30" s="1199"/>
      <c r="GU30" s="1199"/>
      <c r="GV30" s="1199"/>
      <c r="GW30" s="1199"/>
      <c r="GX30" s="1199"/>
      <c r="GY30" s="1199"/>
      <c r="GZ30" s="1199"/>
      <c r="HA30" s="1199"/>
      <c r="HB30" s="1199"/>
      <c r="HC30" s="1199"/>
      <c r="HD30" s="1199"/>
      <c r="HE30" s="1199"/>
      <c r="HF30" s="1199"/>
      <c r="HG30" s="1199"/>
      <c r="HH30" s="1199"/>
      <c r="HI30" s="1199"/>
      <c r="HJ30" s="1199"/>
      <c r="HK30" s="1199"/>
      <c r="HL30" s="1199"/>
      <c r="HM30" s="1199"/>
      <c r="HN30" s="1199"/>
      <c r="HO30" s="1199"/>
      <c r="HP30" s="1199"/>
      <c r="HQ30" s="1199"/>
      <c r="HR30" s="1199"/>
      <c r="HS30" s="1199"/>
      <c r="HT30" s="1199"/>
      <c r="HU30" s="1199"/>
    </row>
    <row r="31" spans="1:229" x14ac:dyDescent="0.15">
      <c r="A31" s="1216" t="s">
        <v>5948</v>
      </c>
      <c r="B31" s="1216"/>
      <c r="C31" s="1201"/>
      <c r="D31" s="1201"/>
      <c r="E31" s="1228"/>
      <c r="F31" s="619"/>
      <c r="G31" s="619"/>
      <c r="H31" s="619"/>
      <c r="I31" s="619"/>
      <c r="J31" s="619"/>
      <c r="K31" s="619"/>
      <c r="L31" s="619"/>
      <c r="M31" s="619"/>
      <c r="N31" s="619"/>
      <c r="O31" s="1201"/>
      <c r="P31" s="1201"/>
      <c r="Q31" s="572"/>
      <c r="R31" s="1219">
        <v>211869674</v>
      </c>
      <c r="S31" s="1201"/>
      <c r="T31" s="1201"/>
      <c r="U31" s="1201"/>
      <c r="V31" s="982"/>
      <c r="W31" s="1208"/>
      <c r="X31" s="1201"/>
      <c r="Y31" s="586"/>
      <c r="Z31" s="1201"/>
      <c r="AA31" s="586"/>
      <c r="AB31" s="1205"/>
      <c r="AC31" s="1205"/>
      <c r="AD31" s="1205"/>
      <c r="AE31" s="1205"/>
      <c r="AF31" s="1205"/>
      <c r="AG31" s="1205"/>
      <c r="AH31" s="1205"/>
      <c r="AI31" s="1205"/>
      <c r="AJ31" s="1205"/>
      <c r="AK31" s="1205"/>
      <c r="AL31" s="1206"/>
      <c r="AM31" s="1222"/>
      <c r="AN31" s="1222"/>
      <c r="AO31" s="1222"/>
      <c r="AP31" s="1222"/>
      <c r="AQ31" s="1222"/>
      <c r="AR31" s="1222"/>
      <c r="AS31" s="1222"/>
      <c r="AT31" s="1222"/>
      <c r="AU31" s="1222"/>
      <c r="AV31" s="1222"/>
      <c r="AW31" s="1222"/>
      <c r="AX31" s="1222"/>
      <c r="AY31" s="1222"/>
      <c r="AZ31" s="1222"/>
      <c r="BA31" s="1222"/>
      <c r="BB31" s="1222"/>
      <c r="BC31" s="1222"/>
      <c r="BD31" s="1222"/>
      <c r="BE31" s="1222"/>
      <c r="BF31" s="1222"/>
      <c r="BG31" s="1222"/>
      <c r="BH31" s="1222"/>
      <c r="BI31" s="1222"/>
      <c r="BJ31" s="1222"/>
      <c r="BK31" s="1222"/>
      <c r="BL31" s="1222"/>
      <c r="BM31" s="1222"/>
      <c r="BN31" s="1222"/>
      <c r="BO31" s="1222"/>
      <c r="BP31" s="1222"/>
      <c r="BQ31" s="1222"/>
      <c r="BR31" s="1222"/>
      <c r="BS31" s="1222"/>
      <c r="BT31" s="1222"/>
      <c r="BU31" s="1222"/>
      <c r="BV31" s="1222"/>
      <c r="BW31" s="1222"/>
      <c r="BX31" s="1222"/>
      <c r="BY31" s="1222"/>
      <c r="BZ31" s="1222"/>
      <c r="CA31" s="1222"/>
      <c r="CB31" s="1222"/>
      <c r="CC31" s="1222"/>
      <c r="CD31" s="1222"/>
      <c r="CE31" s="1222"/>
      <c r="CF31" s="1222"/>
      <c r="CG31" s="1222"/>
      <c r="CH31" s="1222"/>
      <c r="CI31" s="1222"/>
      <c r="CJ31" s="1222"/>
      <c r="CK31" s="1222"/>
      <c r="CL31" s="1222"/>
      <c r="CM31" s="1222"/>
      <c r="CN31" s="1199"/>
      <c r="CO31" s="1199"/>
      <c r="CP31" s="1199"/>
      <c r="CQ31" s="1199"/>
      <c r="CR31" s="1199"/>
      <c r="CS31" s="1199"/>
      <c r="CT31" s="1199"/>
      <c r="CU31" s="1199"/>
      <c r="CV31" s="1199"/>
      <c r="CW31" s="1199"/>
      <c r="CX31" s="1199"/>
      <c r="CY31" s="1199"/>
      <c r="CZ31" s="1199"/>
      <c r="DA31" s="1199"/>
      <c r="DB31" s="1199"/>
      <c r="DC31" s="1199"/>
      <c r="DD31" s="1199"/>
      <c r="DE31" s="1199"/>
      <c r="DF31" s="1199"/>
      <c r="DG31" s="1199"/>
      <c r="DH31" s="1199"/>
      <c r="DI31" s="1199"/>
      <c r="DJ31" s="1199"/>
      <c r="DK31" s="1199"/>
      <c r="DL31" s="1199"/>
      <c r="DM31" s="1199"/>
      <c r="DN31" s="1199"/>
      <c r="DO31" s="1199"/>
      <c r="DP31" s="1199"/>
      <c r="DQ31" s="1199"/>
      <c r="DR31" s="1199"/>
      <c r="DS31" s="1199"/>
      <c r="DT31" s="1199"/>
      <c r="DU31" s="1199"/>
      <c r="DV31" s="1199"/>
      <c r="DW31" s="1199"/>
      <c r="DX31" s="1199"/>
      <c r="DY31" s="1199"/>
      <c r="DZ31" s="1199"/>
      <c r="EA31" s="1199"/>
      <c r="EB31" s="1199"/>
      <c r="EC31" s="1199"/>
      <c r="ED31" s="1199"/>
      <c r="EE31" s="1199"/>
      <c r="EF31" s="1199"/>
      <c r="EG31" s="1199"/>
      <c r="EH31" s="1199"/>
      <c r="EI31" s="1199"/>
      <c r="EJ31" s="1199"/>
      <c r="EK31" s="1199"/>
      <c r="EL31" s="1199"/>
      <c r="EM31" s="1199"/>
      <c r="EN31" s="1199"/>
      <c r="EO31" s="1199"/>
      <c r="EP31" s="1199"/>
      <c r="EQ31" s="1199"/>
      <c r="ER31" s="1199"/>
      <c r="ES31" s="1199"/>
      <c r="ET31" s="1199"/>
      <c r="EU31" s="1199"/>
      <c r="EV31" s="1199"/>
      <c r="EW31" s="1199"/>
      <c r="EX31" s="1199"/>
      <c r="EY31" s="1199"/>
      <c r="EZ31" s="1199"/>
      <c r="FA31" s="1199"/>
      <c r="FB31" s="1199"/>
      <c r="FC31" s="1199"/>
      <c r="FD31" s="1199"/>
      <c r="FE31" s="1199"/>
      <c r="FF31" s="1199"/>
      <c r="FG31" s="1199"/>
      <c r="FH31" s="1199"/>
      <c r="FI31" s="1199"/>
      <c r="FJ31" s="1199"/>
      <c r="FK31" s="1199"/>
      <c r="FL31" s="1199"/>
      <c r="FM31" s="1199"/>
      <c r="FN31" s="1199"/>
      <c r="FO31" s="1199"/>
      <c r="FP31" s="1199"/>
      <c r="FQ31" s="1199"/>
      <c r="FR31" s="1199"/>
      <c r="FS31" s="1199"/>
      <c r="FT31" s="1199"/>
      <c r="FU31" s="1199"/>
      <c r="FV31" s="1199"/>
      <c r="FW31" s="1199"/>
      <c r="FX31" s="1199"/>
      <c r="FY31" s="1199"/>
      <c r="FZ31" s="1199"/>
      <c r="GA31" s="1199"/>
      <c r="GB31" s="1199"/>
      <c r="GC31" s="1199"/>
      <c r="GD31" s="1199"/>
      <c r="GE31" s="1199"/>
      <c r="GF31" s="1199"/>
      <c r="GG31" s="1199"/>
      <c r="GH31" s="1199"/>
      <c r="GI31" s="1199"/>
      <c r="GJ31" s="1199"/>
      <c r="GK31" s="1199"/>
      <c r="GL31" s="1199"/>
      <c r="GM31" s="1199"/>
      <c r="GN31" s="1199"/>
      <c r="GO31" s="1199"/>
      <c r="GP31" s="1199"/>
      <c r="GQ31" s="1199"/>
      <c r="GR31" s="1199"/>
      <c r="GS31" s="1199"/>
      <c r="GT31" s="1199"/>
      <c r="GU31" s="1199"/>
      <c r="GV31" s="1199"/>
      <c r="GW31" s="1199"/>
      <c r="GX31" s="1199"/>
      <c r="GY31" s="1199"/>
      <c r="GZ31" s="1199"/>
      <c r="HA31" s="1199"/>
      <c r="HB31" s="1199"/>
      <c r="HC31" s="1199"/>
      <c r="HD31" s="1199"/>
      <c r="HE31" s="1199"/>
      <c r="HF31" s="1199"/>
      <c r="HG31" s="1199"/>
      <c r="HH31" s="1199"/>
      <c r="HI31" s="1199"/>
      <c r="HJ31" s="1199"/>
      <c r="HK31" s="1199"/>
      <c r="HL31" s="1199"/>
      <c r="HM31" s="1199"/>
      <c r="HN31" s="1199"/>
      <c r="HO31" s="1199"/>
      <c r="HP31" s="1199"/>
      <c r="HQ31" s="1199"/>
      <c r="HR31" s="1199"/>
      <c r="HS31" s="1199"/>
      <c r="HT31" s="1199"/>
      <c r="HU31" s="1199"/>
    </row>
    <row r="32" spans="1:229" x14ac:dyDescent="0.15">
      <c r="A32" s="1216" t="s">
        <v>29</v>
      </c>
      <c r="B32" s="1216"/>
      <c r="C32" s="1201"/>
      <c r="D32" s="1201"/>
      <c r="E32" s="1228"/>
      <c r="F32" s="619"/>
      <c r="G32" s="619"/>
      <c r="H32" s="619"/>
      <c r="I32" s="619"/>
      <c r="J32" s="619"/>
      <c r="K32" s="619"/>
      <c r="L32" s="619"/>
      <c r="M32" s="619">
        <v>245568935</v>
      </c>
      <c r="N32" s="619"/>
      <c r="O32" s="1201"/>
      <c r="P32" s="1201"/>
      <c r="Q32" s="572"/>
      <c r="R32" s="1219">
        <v>153707962</v>
      </c>
      <c r="S32" s="1201"/>
      <c r="T32" s="1201"/>
      <c r="U32" s="1201"/>
      <c r="V32" s="982"/>
      <c r="W32" s="1208"/>
      <c r="X32" s="1201"/>
      <c r="Y32" s="586"/>
      <c r="Z32" s="1201"/>
      <c r="AA32" s="586"/>
      <c r="AB32" s="1205"/>
      <c r="AC32" s="1205"/>
      <c r="AD32" s="1205"/>
      <c r="AE32" s="1205"/>
      <c r="AF32" s="1205"/>
      <c r="AG32" s="1205"/>
      <c r="AH32" s="1205"/>
      <c r="AI32" s="1205"/>
      <c r="AJ32" s="1205"/>
      <c r="AK32" s="1205"/>
      <c r="AL32" s="1206">
        <f t="shared" ref="AL32:AL72" si="4">SUM(C32:AK32)</f>
        <v>399276897</v>
      </c>
      <c r="AM32" s="1222"/>
      <c r="AN32" s="1222"/>
      <c r="AO32" s="1222"/>
      <c r="AP32" s="1222"/>
      <c r="AQ32" s="1222"/>
      <c r="AR32" s="1222"/>
      <c r="AS32" s="1222"/>
      <c r="AT32" s="1222"/>
      <c r="AU32" s="1222"/>
      <c r="AV32" s="1222"/>
      <c r="AW32" s="1222"/>
      <c r="AX32" s="1222"/>
      <c r="AY32" s="1222"/>
      <c r="AZ32" s="1222"/>
      <c r="BA32" s="1222"/>
      <c r="BB32" s="1222"/>
      <c r="BC32" s="1222"/>
      <c r="BD32" s="1222"/>
      <c r="BE32" s="1222"/>
      <c r="BF32" s="1222"/>
      <c r="BG32" s="1222"/>
      <c r="BH32" s="1222"/>
      <c r="BI32" s="1222"/>
      <c r="BJ32" s="1222"/>
      <c r="BK32" s="1222"/>
      <c r="BL32" s="1222"/>
      <c r="BM32" s="1222"/>
      <c r="BN32" s="1222"/>
      <c r="BO32" s="1222"/>
      <c r="BP32" s="1222"/>
      <c r="BQ32" s="1222"/>
      <c r="BR32" s="1222"/>
      <c r="BS32" s="1222"/>
      <c r="BT32" s="1222"/>
      <c r="BU32" s="1222"/>
      <c r="BV32" s="1222"/>
      <c r="BW32" s="1222"/>
      <c r="BX32" s="1222"/>
      <c r="BY32" s="1222"/>
      <c r="BZ32" s="1222"/>
      <c r="CA32" s="1222"/>
      <c r="CB32" s="1222"/>
      <c r="CC32" s="1222"/>
      <c r="CD32" s="1222"/>
      <c r="CE32" s="1222"/>
      <c r="CF32" s="1222"/>
      <c r="CG32" s="1222"/>
      <c r="CH32" s="1222"/>
      <c r="CI32" s="1222"/>
      <c r="CJ32" s="1222"/>
      <c r="CK32" s="1222"/>
      <c r="CL32" s="1222"/>
      <c r="CM32" s="1222"/>
      <c r="CN32" s="1199"/>
      <c r="CO32" s="1199"/>
      <c r="CP32" s="1199"/>
      <c r="CQ32" s="1199"/>
      <c r="CR32" s="1199"/>
      <c r="CS32" s="1199"/>
      <c r="CT32" s="1199"/>
      <c r="CU32" s="1199"/>
      <c r="CV32" s="1199"/>
      <c r="CW32" s="1199"/>
      <c r="CX32" s="1199"/>
      <c r="CY32" s="1199"/>
      <c r="CZ32" s="1199"/>
      <c r="DA32" s="1199"/>
      <c r="DB32" s="1199"/>
      <c r="DC32" s="1199"/>
      <c r="DD32" s="1199"/>
      <c r="DE32" s="1199"/>
      <c r="DF32" s="1199"/>
      <c r="DG32" s="1199"/>
      <c r="DH32" s="1199"/>
      <c r="DI32" s="1199"/>
      <c r="DJ32" s="1199"/>
      <c r="DK32" s="1199"/>
      <c r="DL32" s="1199"/>
      <c r="DM32" s="1199"/>
      <c r="DN32" s="1199"/>
      <c r="DO32" s="1199"/>
      <c r="DP32" s="1199"/>
      <c r="DQ32" s="1199"/>
      <c r="DR32" s="1199"/>
      <c r="DS32" s="1199"/>
      <c r="DT32" s="1199"/>
      <c r="DU32" s="1199"/>
      <c r="DV32" s="1199"/>
      <c r="DW32" s="1199"/>
      <c r="DX32" s="1199"/>
      <c r="DY32" s="1199"/>
      <c r="DZ32" s="1199"/>
      <c r="EA32" s="1199"/>
      <c r="EB32" s="1199"/>
      <c r="EC32" s="1199"/>
      <c r="ED32" s="1199"/>
      <c r="EE32" s="1199"/>
      <c r="EF32" s="1199"/>
      <c r="EG32" s="1199"/>
      <c r="EH32" s="1199"/>
      <c r="EI32" s="1199"/>
      <c r="EJ32" s="1199"/>
      <c r="EK32" s="1199"/>
      <c r="EL32" s="1199"/>
      <c r="EM32" s="1199"/>
      <c r="EN32" s="1199"/>
      <c r="EO32" s="1199"/>
      <c r="EP32" s="1199"/>
      <c r="EQ32" s="1199"/>
      <c r="ER32" s="1199"/>
      <c r="ES32" s="1199"/>
      <c r="ET32" s="1199"/>
      <c r="EU32" s="1199"/>
      <c r="EV32" s="1199"/>
      <c r="EW32" s="1199"/>
      <c r="EX32" s="1199"/>
      <c r="EY32" s="1199"/>
      <c r="EZ32" s="1199"/>
      <c r="FA32" s="1199"/>
      <c r="FB32" s="1199"/>
      <c r="FC32" s="1199"/>
      <c r="FD32" s="1199"/>
      <c r="FE32" s="1199"/>
      <c r="FF32" s="1199"/>
      <c r="FG32" s="1199"/>
      <c r="FH32" s="1199"/>
      <c r="FI32" s="1199"/>
      <c r="FJ32" s="1199"/>
      <c r="FK32" s="1199"/>
      <c r="FL32" s="1199"/>
      <c r="FM32" s="1199"/>
      <c r="FN32" s="1199"/>
      <c r="FO32" s="1199"/>
      <c r="FP32" s="1199"/>
      <c r="FQ32" s="1199"/>
      <c r="FR32" s="1199"/>
      <c r="FS32" s="1199"/>
      <c r="FT32" s="1199"/>
      <c r="FU32" s="1199"/>
      <c r="FV32" s="1199"/>
      <c r="FW32" s="1199"/>
      <c r="FX32" s="1199"/>
      <c r="FY32" s="1199"/>
      <c r="FZ32" s="1199"/>
      <c r="GA32" s="1199"/>
      <c r="GB32" s="1199"/>
      <c r="GC32" s="1199"/>
      <c r="GD32" s="1199"/>
      <c r="GE32" s="1199"/>
      <c r="GF32" s="1199"/>
      <c r="GG32" s="1199"/>
      <c r="GH32" s="1199"/>
      <c r="GI32" s="1199"/>
      <c r="GJ32" s="1199"/>
      <c r="GK32" s="1199"/>
      <c r="GL32" s="1199"/>
      <c r="GM32" s="1199"/>
      <c r="GN32" s="1199"/>
      <c r="GO32" s="1199"/>
      <c r="GP32" s="1199"/>
      <c r="GQ32" s="1199"/>
      <c r="GR32" s="1199"/>
      <c r="GS32" s="1199"/>
      <c r="GT32" s="1199"/>
      <c r="GU32" s="1199"/>
      <c r="GV32" s="1199"/>
      <c r="GW32" s="1199"/>
      <c r="GX32" s="1199"/>
      <c r="GY32" s="1199"/>
      <c r="GZ32" s="1199"/>
      <c r="HA32" s="1199"/>
      <c r="HB32" s="1199"/>
      <c r="HC32" s="1199"/>
      <c r="HD32" s="1199"/>
      <c r="HE32" s="1199"/>
      <c r="HF32" s="1199"/>
      <c r="HG32" s="1199"/>
      <c r="HH32" s="1199"/>
      <c r="HI32" s="1199"/>
      <c r="HJ32" s="1199"/>
      <c r="HK32" s="1199"/>
      <c r="HL32" s="1199"/>
      <c r="HM32" s="1199"/>
      <c r="HN32" s="1199"/>
      <c r="HO32" s="1199"/>
      <c r="HP32" s="1199"/>
      <c r="HQ32" s="1199"/>
      <c r="HR32" s="1199"/>
      <c r="HS32" s="1199"/>
      <c r="HT32" s="1199"/>
      <c r="HU32" s="1199"/>
    </row>
    <row r="33" spans="1:229" ht="13.5" customHeight="1" x14ac:dyDescent="0.25">
      <c r="A33" s="1216" t="s">
        <v>4972</v>
      </c>
      <c r="B33" s="1216"/>
      <c r="C33" s="1201"/>
      <c r="D33" s="1201"/>
      <c r="E33" s="1228"/>
      <c r="F33" s="619"/>
      <c r="G33" s="619"/>
      <c r="H33" s="619"/>
      <c r="I33" s="619"/>
      <c r="J33" s="619"/>
      <c r="K33" s="619"/>
      <c r="L33" s="619"/>
      <c r="M33" s="619"/>
      <c r="N33" s="619"/>
      <c r="O33" s="1201"/>
      <c r="P33" s="1201"/>
      <c r="Q33" s="572"/>
      <c r="R33" s="1201"/>
      <c r="S33" s="1201"/>
      <c r="T33" s="1201"/>
      <c r="U33" s="1201"/>
      <c r="V33" s="1201"/>
      <c r="W33" s="1201"/>
      <c r="X33" s="1201"/>
      <c r="Y33" s="1201"/>
      <c r="Z33" s="1201"/>
      <c r="AA33" s="982"/>
      <c r="AB33" s="1205"/>
      <c r="AC33" s="1205"/>
      <c r="AD33" s="1205"/>
      <c r="AE33" s="1205"/>
      <c r="AF33" s="1205"/>
      <c r="AG33" s="1205"/>
      <c r="AH33" s="1205"/>
      <c r="AI33" s="1205"/>
      <c r="AJ33" s="1205"/>
      <c r="AK33" s="1205"/>
      <c r="AL33" s="1206">
        <f t="shared" si="4"/>
        <v>0</v>
      </c>
      <c r="AM33" s="1222"/>
      <c r="AN33" s="1222"/>
      <c r="AO33" s="1222"/>
      <c r="AP33" s="1222"/>
      <c r="AQ33" s="1222"/>
      <c r="AR33" s="1222"/>
      <c r="AS33" s="1222"/>
      <c r="AT33" s="1222"/>
      <c r="AU33" s="1222"/>
      <c r="AV33" s="1222"/>
      <c r="AW33" s="1222"/>
      <c r="AX33" s="1222"/>
      <c r="AY33" s="1222"/>
      <c r="AZ33" s="1222"/>
      <c r="BA33" s="1222"/>
      <c r="BB33" s="1222"/>
      <c r="BC33" s="1222"/>
      <c r="BD33" s="1222"/>
      <c r="BE33" s="1222"/>
      <c r="BF33" s="1222"/>
      <c r="BG33" s="1222"/>
      <c r="BH33" s="1222"/>
      <c r="BI33" s="1222"/>
      <c r="BJ33" s="1222"/>
      <c r="BK33" s="1222"/>
      <c r="BL33" s="1222"/>
      <c r="BM33" s="1222"/>
      <c r="BN33" s="1222"/>
      <c r="BO33" s="1222"/>
      <c r="BP33" s="1222"/>
      <c r="BQ33" s="1222"/>
      <c r="BR33" s="1222"/>
      <c r="BS33" s="1222"/>
      <c r="BT33" s="1222"/>
      <c r="BU33" s="1222"/>
      <c r="BV33" s="1222"/>
      <c r="BW33" s="1222"/>
      <c r="BX33" s="1222"/>
      <c r="BY33" s="1222"/>
      <c r="BZ33" s="1222"/>
      <c r="CA33" s="1222"/>
      <c r="CB33" s="1222"/>
      <c r="CC33" s="1222"/>
      <c r="CD33" s="1222"/>
      <c r="CE33" s="1222"/>
      <c r="CF33" s="1222"/>
      <c r="CG33" s="1222"/>
      <c r="CH33" s="1222"/>
      <c r="CI33" s="1222"/>
      <c r="CJ33" s="1222"/>
      <c r="CK33" s="1222"/>
      <c r="CL33" s="1222"/>
      <c r="CM33" s="1222"/>
      <c r="CN33" s="1199"/>
      <c r="CO33" s="1199"/>
      <c r="CP33" s="1199"/>
      <c r="CQ33" s="1199"/>
      <c r="CR33" s="1199"/>
      <c r="CS33" s="1199"/>
      <c r="CT33" s="1199"/>
      <c r="CU33" s="1199"/>
      <c r="CV33" s="1199"/>
      <c r="CW33" s="1199"/>
      <c r="CX33" s="1199"/>
      <c r="CY33" s="1199"/>
      <c r="CZ33" s="1199"/>
      <c r="DA33" s="1199"/>
      <c r="DB33" s="1199"/>
      <c r="DC33" s="1199"/>
      <c r="DD33" s="1199"/>
      <c r="DE33" s="1199"/>
      <c r="DF33" s="1199"/>
      <c r="DG33" s="1199"/>
      <c r="DH33" s="1199"/>
      <c r="DI33" s="1199"/>
      <c r="DJ33" s="1199"/>
      <c r="DK33" s="1199"/>
      <c r="DL33" s="1199"/>
      <c r="DM33" s="1199"/>
      <c r="DN33" s="1199"/>
      <c r="DO33" s="1199"/>
      <c r="DP33" s="1199"/>
      <c r="DQ33" s="1199"/>
      <c r="DR33" s="1199"/>
      <c r="DS33" s="1199"/>
      <c r="DT33" s="1199"/>
      <c r="DU33" s="1199"/>
      <c r="DV33" s="1199"/>
      <c r="DW33" s="1199"/>
      <c r="DX33" s="1199"/>
      <c r="DY33" s="1199"/>
      <c r="DZ33" s="1199"/>
      <c r="EA33" s="1199"/>
      <c r="EB33" s="1199"/>
      <c r="EC33" s="1199"/>
      <c r="ED33" s="1199"/>
      <c r="EE33" s="1199"/>
      <c r="EF33" s="1199"/>
      <c r="EG33" s="1199"/>
      <c r="EH33" s="1199"/>
      <c r="EI33" s="1199"/>
      <c r="EJ33" s="1199"/>
      <c r="EK33" s="1199"/>
      <c r="EL33" s="1199"/>
      <c r="EM33" s="1199"/>
      <c r="EN33" s="1199"/>
      <c r="EO33" s="1199"/>
      <c r="EP33" s="1199"/>
      <c r="EQ33" s="1199"/>
      <c r="ER33" s="1199"/>
      <c r="ES33" s="1199"/>
      <c r="ET33" s="1199"/>
      <c r="EU33" s="1199"/>
      <c r="EV33" s="1199"/>
      <c r="EW33" s="1199"/>
      <c r="EX33" s="1199"/>
      <c r="EY33" s="1199"/>
      <c r="EZ33" s="1199"/>
      <c r="FA33" s="1199"/>
      <c r="FB33" s="1199"/>
      <c r="FC33" s="1199"/>
      <c r="FD33" s="1199"/>
      <c r="FE33" s="1199"/>
      <c r="FF33" s="1199"/>
      <c r="FG33" s="1199"/>
      <c r="FH33" s="1199"/>
      <c r="FI33" s="1199"/>
      <c r="FJ33" s="1199"/>
      <c r="FK33" s="1199"/>
      <c r="FL33" s="1199"/>
      <c r="FM33" s="1199"/>
      <c r="FN33" s="1199"/>
      <c r="FO33" s="1199"/>
      <c r="FP33" s="1199"/>
      <c r="FQ33" s="1199"/>
      <c r="FR33" s="1199"/>
      <c r="FS33" s="1199"/>
      <c r="FT33" s="1199"/>
      <c r="FU33" s="1199"/>
      <c r="FV33" s="1199"/>
      <c r="FW33" s="1199"/>
      <c r="FX33" s="1199"/>
      <c r="FY33" s="1199"/>
      <c r="FZ33" s="1199"/>
      <c r="GA33" s="1199"/>
      <c r="GB33" s="1199"/>
      <c r="GC33" s="1199"/>
      <c r="GD33" s="1199"/>
      <c r="GE33" s="1199"/>
      <c r="GF33" s="1199"/>
      <c r="GG33" s="1199"/>
      <c r="GH33" s="1199"/>
      <c r="GI33" s="1199"/>
      <c r="GJ33" s="1199"/>
      <c r="GK33" s="1199"/>
      <c r="GL33" s="1199"/>
      <c r="GM33" s="1199"/>
      <c r="GN33" s="1199"/>
      <c r="GO33" s="1199"/>
      <c r="GP33" s="1199"/>
      <c r="GQ33" s="1199"/>
      <c r="GR33" s="1199"/>
      <c r="GS33" s="1199"/>
      <c r="GT33" s="1199"/>
      <c r="GU33" s="1199"/>
      <c r="GV33" s="1199"/>
      <c r="GW33" s="1199"/>
      <c r="GX33" s="1199"/>
      <c r="GY33" s="1199"/>
      <c r="GZ33" s="1199"/>
      <c r="HA33" s="1199"/>
      <c r="HB33" s="1199"/>
      <c r="HC33" s="1199"/>
      <c r="HD33" s="1199"/>
      <c r="HE33" s="1199"/>
      <c r="HF33" s="1199"/>
      <c r="HG33" s="1199"/>
      <c r="HH33" s="1199"/>
      <c r="HI33" s="1199"/>
      <c r="HJ33" s="1199"/>
      <c r="HK33" s="1199"/>
      <c r="HL33" s="1199"/>
      <c r="HM33" s="1199"/>
      <c r="HN33" s="1199"/>
      <c r="HO33" s="1199"/>
      <c r="HP33" s="1199"/>
      <c r="HQ33" s="1199"/>
      <c r="HR33" s="1199"/>
      <c r="HS33" s="1199"/>
      <c r="HT33" s="1199"/>
      <c r="HU33" s="1199"/>
    </row>
    <row r="34" spans="1:229" ht="16.5" customHeight="1" x14ac:dyDescent="0.15">
      <c r="A34" s="1216" t="s">
        <v>128</v>
      </c>
      <c r="B34" s="1216"/>
      <c r="C34" s="1201"/>
      <c r="D34" s="1201"/>
      <c r="E34" s="1228"/>
      <c r="F34" s="619"/>
      <c r="G34" s="619"/>
      <c r="H34" s="619"/>
      <c r="I34" s="619"/>
      <c r="J34" s="619"/>
      <c r="K34" s="619"/>
      <c r="L34" s="619"/>
      <c r="M34" s="619"/>
      <c r="N34" s="619"/>
      <c r="O34" s="1201"/>
      <c r="P34" s="1201"/>
      <c r="Q34" s="572"/>
      <c r="R34" s="1201"/>
      <c r="S34" s="1201"/>
      <c r="T34" s="1201"/>
      <c r="U34" s="1201"/>
      <c r="V34" s="1201"/>
      <c r="W34" s="1208"/>
      <c r="X34" s="573"/>
      <c r="Y34" s="1201"/>
      <c r="Z34" s="1201"/>
      <c r="AA34" s="982"/>
      <c r="AB34" s="1205"/>
      <c r="AC34" s="1205"/>
      <c r="AD34" s="1205"/>
      <c r="AE34" s="1205"/>
      <c r="AF34" s="1205"/>
      <c r="AG34" s="1205"/>
      <c r="AH34" s="1205"/>
      <c r="AI34" s="1205"/>
      <c r="AJ34" s="1205"/>
      <c r="AK34" s="1205"/>
      <c r="AL34" s="1206">
        <f t="shared" si="4"/>
        <v>0</v>
      </c>
      <c r="AM34" s="1222"/>
      <c r="AN34" s="1222"/>
      <c r="AO34" s="1222"/>
      <c r="AP34" s="1222"/>
      <c r="AQ34" s="1222"/>
      <c r="AR34" s="1222"/>
      <c r="AS34" s="1222"/>
      <c r="AT34" s="1222"/>
      <c r="AU34" s="1222"/>
      <c r="AV34" s="1222"/>
      <c r="AW34" s="1222"/>
      <c r="AX34" s="1222"/>
      <c r="AY34" s="1222"/>
      <c r="AZ34" s="1222"/>
      <c r="BA34" s="1222"/>
      <c r="BB34" s="1222"/>
      <c r="BC34" s="1222"/>
      <c r="BD34" s="1222"/>
      <c r="BE34" s="1222"/>
      <c r="BF34" s="1222"/>
      <c r="BG34" s="1222"/>
      <c r="BH34" s="1222"/>
      <c r="BI34" s="1222"/>
      <c r="BJ34" s="1222"/>
      <c r="BK34" s="1222"/>
      <c r="BL34" s="1222"/>
      <c r="BM34" s="1222"/>
      <c r="BN34" s="1222"/>
      <c r="BO34" s="1222"/>
      <c r="BP34" s="1222"/>
      <c r="BQ34" s="1222"/>
      <c r="BR34" s="1222"/>
      <c r="BS34" s="1222"/>
      <c r="BT34" s="1222"/>
      <c r="BU34" s="1222"/>
      <c r="BV34" s="1222"/>
      <c r="BW34" s="1222"/>
      <c r="BX34" s="1222"/>
      <c r="BY34" s="1222"/>
      <c r="BZ34" s="1222"/>
      <c r="CA34" s="1222"/>
      <c r="CB34" s="1222"/>
      <c r="CC34" s="1222"/>
      <c r="CD34" s="1222"/>
      <c r="CE34" s="1222"/>
      <c r="CF34" s="1222"/>
      <c r="CG34" s="1222"/>
      <c r="CH34" s="1222"/>
      <c r="CI34" s="1222"/>
      <c r="CJ34" s="1222"/>
      <c r="CK34" s="1222"/>
      <c r="CL34" s="1222"/>
      <c r="CM34" s="1222"/>
      <c r="CN34" s="1199"/>
      <c r="CO34" s="1199"/>
      <c r="CP34" s="1199"/>
      <c r="CQ34" s="1199"/>
      <c r="CR34" s="1199"/>
      <c r="CS34" s="1199"/>
      <c r="CT34" s="1199"/>
      <c r="CU34" s="1199"/>
      <c r="CV34" s="1199"/>
      <c r="CW34" s="1199"/>
      <c r="CX34" s="1199"/>
      <c r="CY34" s="1199"/>
      <c r="CZ34" s="1199"/>
      <c r="DA34" s="1199"/>
      <c r="DB34" s="1199"/>
      <c r="DC34" s="1199"/>
      <c r="DD34" s="1199"/>
      <c r="DE34" s="1199"/>
      <c r="DF34" s="1199"/>
      <c r="DG34" s="1199"/>
      <c r="DH34" s="1199"/>
      <c r="DI34" s="1199"/>
      <c r="DJ34" s="1199"/>
      <c r="DK34" s="1199"/>
      <c r="DL34" s="1199"/>
      <c r="DM34" s="1199"/>
      <c r="DN34" s="1199"/>
      <c r="DO34" s="1199"/>
      <c r="DP34" s="1199"/>
      <c r="DQ34" s="1199"/>
      <c r="DR34" s="1199"/>
      <c r="DS34" s="1199"/>
      <c r="DT34" s="1199"/>
      <c r="DU34" s="1199"/>
      <c r="DV34" s="1199"/>
      <c r="DW34" s="1199"/>
      <c r="DX34" s="1199"/>
      <c r="DY34" s="1199"/>
      <c r="DZ34" s="1199"/>
      <c r="EA34" s="1199"/>
      <c r="EB34" s="1199"/>
      <c r="EC34" s="1199"/>
      <c r="ED34" s="1199"/>
      <c r="EE34" s="1199"/>
      <c r="EF34" s="1199"/>
      <c r="EG34" s="1199"/>
      <c r="EH34" s="1199"/>
      <c r="EI34" s="1199"/>
      <c r="EJ34" s="1199"/>
      <c r="EK34" s="1199"/>
      <c r="EL34" s="1199"/>
      <c r="EM34" s="1199"/>
      <c r="EN34" s="1199"/>
      <c r="EO34" s="1199"/>
      <c r="EP34" s="1199"/>
      <c r="EQ34" s="1199"/>
      <c r="ER34" s="1199"/>
      <c r="ES34" s="1199"/>
      <c r="ET34" s="1199"/>
      <c r="EU34" s="1199"/>
      <c r="EV34" s="1199"/>
      <c r="EW34" s="1199"/>
      <c r="EX34" s="1199"/>
      <c r="EY34" s="1199"/>
      <c r="EZ34" s="1199"/>
      <c r="FA34" s="1199"/>
      <c r="FB34" s="1199"/>
      <c r="FC34" s="1199"/>
      <c r="FD34" s="1199"/>
      <c r="FE34" s="1199"/>
      <c r="FF34" s="1199"/>
      <c r="FG34" s="1199"/>
      <c r="FH34" s="1199"/>
      <c r="FI34" s="1199"/>
      <c r="FJ34" s="1199"/>
      <c r="FK34" s="1199"/>
      <c r="FL34" s="1199"/>
      <c r="FM34" s="1199"/>
      <c r="FN34" s="1199"/>
      <c r="FO34" s="1199"/>
      <c r="FP34" s="1199"/>
      <c r="FQ34" s="1199"/>
      <c r="FR34" s="1199"/>
      <c r="FS34" s="1199"/>
      <c r="FT34" s="1199"/>
      <c r="FU34" s="1199"/>
      <c r="FV34" s="1199"/>
      <c r="FW34" s="1199"/>
      <c r="FX34" s="1199"/>
      <c r="FY34" s="1199"/>
      <c r="FZ34" s="1199"/>
      <c r="GA34" s="1199"/>
      <c r="GB34" s="1199"/>
      <c r="GC34" s="1199"/>
      <c r="GD34" s="1199"/>
      <c r="GE34" s="1199"/>
      <c r="GF34" s="1199"/>
      <c r="GG34" s="1199"/>
      <c r="GH34" s="1199"/>
      <c r="GI34" s="1199"/>
      <c r="GJ34" s="1199"/>
      <c r="GK34" s="1199"/>
      <c r="GL34" s="1199"/>
      <c r="GM34" s="1199"/>
      <c r="GN34" s="1199"/>
      <c r="GO34" s="1199"/>
      <c r="GP34" s="1199"/>
      <c r="GQ34" s="1199"/>
      <c r="GR34" s="1199"/>
      <c r="GS34" s="1199"/>
      <c r="GT34" s="1199"/>
      <c r="GU34" s="1199"/>
      <c r="GV34" s="1199"/>
      <c r="GW34" s="1199"/>
      <c r="GX34" s="1199"/>
      <c r="GY34" s="1199"/>
      <c r="GZ34" s="1199"/>
      <c r="HA34" s="1199"/>
      <c r="HB34" s="1199"/>
      <c r="HC34" s="1199"/>
      <c r="HD34" s="1199"/>
      <c r="HE34" s="1199"/>
      <c r="HF34" s="1199"/>
      <c r="HG34" s="1199"/>
      <c r="HH34" s="1199"/>
      <c r="HI34" s="1199"/>
      <c r="HJ34" s="1199"/>
      <c r="HK34" s="1199"/>
      <c r="HL34" s="1199"/>
      <c r="HM34" s="1199"/>
      <c r="HN34" s="1199"/>
      <c r="HO34" s="1199"/>
      <c r="HP34" s="1199"/>
      <c r="HQ34" s="1199"/>
      <c r="HR34" s="1199"/>
      <c r="HS34" s="1199"/>
      <c r="HT34" s="1199"/>
      <c r="HU34" s="1199"/>
    </row>
    <row r="35" spans="1:229" ht="14.25" customHeight="1" x14ac:dyDescent="0.15">
      <c r="A35" s="1216" t="s">
        <v>31</v>
      </c>
      <c r="B35" s="1216"/>
      <c r="C35" s="1201"/>
      <c r="D35" s="1201"/>
      <c r="E35" s="1228"/>
      <c r="F35" s="619"/>
      <c r="G35" s="619"/>
      <c r="H35" s="619"/>
      <c r="I35" s="619"/>
      <c r="J35" s="619"/>
      <c r="K35" s="619"/>
      <c r="L35" s="619"/>
      <c r="M35" s="619"/>
      <c r="N35" s="619"/>
      <c r="O35" s="1201"/>
      <c r="P35" s="1201"/>
      <c r="Q35" s="572"/>
      <c r="R35" s="1201"/>
      <c r="S35" s="1201"/>
      <c r="T35" s="1201"/>
      <c r="U35" s="1201"/>
      <c r="V35" s="1220"/>
      <c r="W35" s="1208"/>
      <c r="X35" s="573"/>
      <c r="Y35" s="1201"/>
      <c r="Z35" s="1220"/>
      <c r="AA35" s="982"/>
      <c r="AB35" s="1205"/>
      <c r="AC35" s="1205"/>
      <c r="AD35" s="1205"/>
      <c r="AE35" s="1205"/>
      <c r="AF35" s="1205"/>
      <c r="AG35" s="1205"/>
      <c r="AH35" s="1205"/>
      <c r="AI35" s="1205"/>
      <c r="AJ35" s="1205"/>
      <c r="AK35" s="1205"/>
      <c r="AL35" s="1206">
        <f t="shared" si="4"/>
        <v>0</v>
      </c>
      <c r="AM35" s="1222"/>
      <c r="AN35" s="1222"/>
      <c r="AO35" s="1222"/>
      <c r="AP35" s="1222"/>
      <c r="AQ35" s="1222"/>
      <c r="AR35" s="1222"/>
      <c r="AS35" s="1222"/>
      <c r="AT35" s="1222"/>
      <c r="AU35" s="1222"/>
      <c r="AV35" s="1222"/>
      <c r="AW35" s="1222"/>
      <c r="AX35" s="1222"/>
      <c r="AY35" s="1222"/>
      <c r="AZ35" s="1222"/>
      <c r="BA35" s="1222"/>
      <c r="BB35" s="1222"/>
      <c r="BC35" s="1222"/>
      <c r="BD35" s="1222"/>
      <c r="BE35" s="1222"/>
      <c r="BF35" s="1222"/>
      <c r="BG35" s="1222"/>
      <c r="BH35" s="1222"/>
      <c r="BI35" s="1222"/>
      <c r="BJ35" s="1222"/>
      <c r="BK35" s="1222"/>
      <c r="BL35" s="1222"/>
      <c r="BM35" s="1222"/>
      <c r="BN35" s="1222"/>
      <c r="BO35" s="1222"/>
      <c r="BP35" s="1222"/>
      <c r="BQ35" s="1222"/>
      <c r="BR35" s="1222"/>
      <c r="BS35" s="1222"/>
      <c r="BT35" s="1222"/>
      <c r="BU35" s="1222"/>
      <c r="BV35" s="1222"/>
      <c r="BW35" s="1222"/>
      <c r="BX35" s="1222"/>
      <c r="BY35" s="1222"/>
      <c r="BZ35" s="1222"/>
      <c r="CA35" s="1222"/>
      <c r="CB35" s="1222"/>
      <c r="CC35" s="1222"/>
      <c r="CD35" s="1222"/>
      <c r="CE35" s="1222"/>
      <c r="CF35" s="1222"/>
      <c r="CG35" s="1222"/>
      <c r="CH35" s="1222"/>
      <c r="CI35" s="1222"/>
      <c r="CJ35" s="1222"/>
      <c r="CK35" s="1222"/>
      <c r="CL35" s="1222"/>
      <c r="CM35" s="1222"/>
      <c r="CN35" s="1199"/>
      <c r="CO35" s="1199"/>
      <c r="CP35" s="1199"/>
      <c r="CQ35" s="1199"/>
      <c r="CR35" s="1199"/>
      <c r="CS35" s="1199"/>
      <c r="CT35" s="1199"/>
      <c r="CU35" s="1199"/>
      <c r="CV35" s="1199"/>
      <c r="CW35" s="1199"/>
      <c r="CX35" s="1199"/>
      <c r="CY35" s="1199"/>
      <c r="CZ35" s="1199"/>
      <c r="DA35" s="1199"/>
      <c r="DB35" s="1199"/>
      <c r="DC35" s="1199"/>
      <c r="DD35" s="1199"/>
      <c r="DE35" s="1199"/>
      <c r="DF35" s="1199"/>
      <c r="DG35" s="1199"/>
      <c r="DH35" s="1199"/>
      <c r="DI35" s="1199"/>
      <c r="DJ35" s="1199"/>
      <c r="DK35" s="1199"/>
      <c r="DL35" s="1199"/>
      <c r="DM35" s="1199"/>
      <c r="DN35" s="1199"/>
      <c r="DO35" s="1199"/>
      <c r="DP35" s="1199"/>
      <c r="DQ35" s="1199"/>
      <c r="DR35" s="1199"/>
      <c r="DS35" s="1199"/>
      <c r="DT35" s="1199"/>
      <c r="DU35" s="1199"/>
      <c r="DV35" s="1199"/>
      <c r="DW35" s="1199"/>
      <c r="DX35" s="1199"/>
      <c r="DY35" s="1199"/>
      <c r="DZ35" s="1199"/>
      <c r="EA35" s="1199"/>
      <c r="EB35" s="1199"/>
      <c r="EC35" s="1199"/>
      <c r="ED35" s="1199"/>
      <c r="EE35" s="1199"/>
      <c r="EF35" s="1199"/>
      <c r="EG35" s="1199"/>
      <c r="EH35" s="1199"/>
      <c r="EI35" s="1199"/>
      <c r="EJ35" s="1199"/>
      <c r="EK35" s="1199"/>
      <c r="EL35" s="1199"/>
      <c r="EM35" s="1199"/>
      <c r="EN35" s="1199"/>
      <c r="EO35" s="1199"/>
      <c r="EP35" s="1199"/>
      <c r="EQ35" s="1199"/>
      <c r="ER35" s="1199"/>
      <c r="ES35" s="1199"/>
      <c r="ET35" s="1199"/>
      <c r="EU35" s="1199"/>
      <c r="EV35" s="1199"/>
      <c r="EW35" s="1199"/>
      <c r="EX35" s="1199"/>
      <c r="EY35" s="1199"/>
      <c r="EZ35" s="1199"/>
      <c r="FA35" s="1199"/>
      <c r="FB35" s="1199"/>
      <c r="FC35" s="1199"/>
      <c r="FD35" s="1199"/>
      <c r="FE35" s="1199"/>
      <c r="FF35" s="1199"/>
      <c r="FG35" s="1199"/>
      <c r="FH35" s="1199"/>
      <c r="FI35" s="1199"/>
      <c r="FJ35" s="1199"/>
      <c r="FK35" s="1199"/>
      <c r="FL35" s="1199"/>
      <c r="FM35" s="1199"/>
      <c r="FN35" s="1199"/>
      <c r="FO35" s="1199"/>
      <c r="FP35" s="1199"/>
      <c r="FQ35" s="1199"/>
      <c r="FR35" s="1199"/>
      <c r="FS35" s="1199"/>
      <c r="FT35" s="1199"/>
      <c r="FU35" s="1199"/>
      <c r="FV35" s="1199"/>
      <c r="FW35" s="1199"/>
      <c r="FX35" s="1199"/>
      <c r="FY35" s="1199"/>
      <c r="FZ35" s="1199"/>
      <c r="GA35" s="1199"/>
      <c r="GB35" s="1199"/>
      <c r="GC35" s="1199"/>
      <c r="GD35" s="1199"/>
      <c r="GE35" s="1199"/>
      <c r="GF35" s="1199"/>
      <c r="GG35" s="1199"/>
      <c r="GH35" s="1199"/>
      <c r="GI35" s="1199"/>
      <c r="GJ35" s="1199"/>
      <c r="GK35" s="1199"/>
      <c r="GL35" s="1199"/>
      <c r="GM35" s="1199"/>
      <c r="GN35" s="1199"/>
      <c r="GO35" s="1199"/>
      <c r="GP35" s="1199"/>
      <c r="GQ35" s="1199"/>
      <c r="GR35" s="1199"/>
      <c r="GS35" s="1199"/>
      <c r="GT35" s="1199"/>
      <c r="GU35" s="1199"/>
      <c r="GV35" s="1199"/>
      <c r="GW35" s="1199"/>
      <c r="GX35" s="1199"/>
      <c r="GY35" s="1199"/>
      <c r="GZ35" s="1199"/>
      <c r="HA35" s="1199"/>
      <c r="HB35" s="1199"/>
      <c r="HC35" s="1199"/>
      <c r="HD35" s="1199"/>
      <c r="HE35" s="1199"/>
      <c r="HF35" s="1199"/>
      <c r="HG35" s="1199"/>
      <c r="HH35" s="1199"/>
      <c r="HI35" s="1199"/>
      <c r="HJ35" s="1199"/>
      <c r="HK35" s="1199"/>
      <c r="HL35" s="1199"/>
      <c r="HM35" s="1199"/>
      <c r="HN35" s="1199"/>
      <c r="HO35" s="1199"/>
      <c r="HP35" s="1199"/>
      <c r="HQ35" s="1199"/>
      <c r="HR35" s="1199"/>
      <c r="HS35" s="1199"/>
      <c r="HT35" s="1199"/>
      <c r="HU35" s="1199"/>
    </row>
    <row r="36" spans="1:229" ht="15.75" customHeight="1" x14ac:dyDescent="0.15">
      <c r="A36" s="1229" t="s">
        <v>154</v>
      </c>
      <c r="B36" s="1229"/>
      <c r="C36" s="1201"/>
      <c r="D36" s="1201"/>
      <c r="E36" s="1228"/>
      <c r="F36" s="619"/>
      <c r="G36" s="619"/>
      <c r="H36" s="619"/>
      <c r="I36" s="619"/>
      <c r="J36" s="619"/>
      <c r="K36" s="619"/>
      <c r="L36" s="619"/>
      <c r="M36" s="619"/>
      <c r="N36" s="619"/>
      <c r="O36" s="1201"/>
      <c r="P36" s="1201"/>
      <c r="Q36" s="572"/>
      <c r="R36" s="1201"/>
      <c r="S36" s="1201"/>
      <c r="T36" s="1201"/>
      <c r="U36" s="296"/>
      <c r="V36" s="1220"/>
      <c r="W36" s="982"/>
      <c r="X36" s="297"/>
      <c r="Y36" s="1223"/>
      <c r="Z36" s="1223"/>
      <c r="AA36" s="1230"/>
      <c r="AB36" s="1205"/>
      <c r="AC36" s="1205"/>
      <c r="AD36" s="1205"/>
      <c r="AE36" s="1205"/>
      <c r="AF36" s="1205"/>
      <c r="AG36" s="1205"/>
      <c r="AH36" s="1205"/>
      <c r="AI36" s="1205"/>
      <c r="AJ36" s="1205"/>
      <c r="AK36" s="1205"/>
      <c r="AL36" s="1206">
        <f t="shared" si="4"/>
        <v>0</v>
      </c>
      <c r="AM36" s="1222"/>
      <c r="AN36" s="1222"/>
      <c r="AO36" s="1222"/>
      <c r="AP36" s="1222"/>
      <c r="AQ36" s="1222"/>
      <c r="AR36" s="1222"/>
      <c r="AS36" s="1222"/>
      <c r="AT36" s="1222"/>
      <c r="AU36" s="1222"/>
      <c r="AV36" s="1222"/>
      <c r="AW36" s="1222"/>
      <c r="AX36" s="1222"/>
      <c r="AY36" s="1222"/>
      <c r="AZ36" s="1222"/>
      <c r="BA36" s="1222"/>
      <c r="BB36" s="1222"/>
      <c r="BC36" s="1222"/>
      <c r="BD36" s="1222"/>
      <c r="BE36" s="1222"/>
      <c r="BF36" s="1222"/>
      <c r="BG36" s="1222"/>
      <c r="BH36" s="1222"/>
      <c r="BI36" s="1222"/>
      <c r="BJ36" s="1222"/>
      <c r="BK36" s="1222"/>
      <c r="BL36" s="1222"/>
      <c r="BM36" s="1222"/>
      <c r="BN36" s="1222"/>
      <c r="BO36" s="1222"/>
      <c r="BP36" s="1222"/>
      <c r="BQ36" s="1222"/>
      <c r="BR36" s="1222"/>
      <c r="BS36" s="1222"/>
      <c r="BT36" s="1222"/>
      <c r="BU36" s="1222"/>
      <c r="BV36" s="1222"/>
      <c r="BW36" s="1222"/>
      <c r="BX36" s="1222"/>
      <c r="BY36" s="1222"/>
      <c r="BZ36" s="1222"/>
      <c r="CA36" s="1222"/>
      <c r="CB36" s="1222"/>
      <c r="CC36" s="1222"/>
      <c r="CD36" s="1222"/>
      <c r="CE36" s="1222"/>
      <c r="CF36" s="1222"/>
      <c r="CG36" s="1222"/>
      <c r="CH36" s="1222"/>
      <c r="CI36" s="1222"/>
      <c r="CJ36" s="1222"/>
      <c r="CK36" s="1222"/>
      <c r="CL36" s="1222"/>
      <c r="CM36" s="1222"/>
      <c r="CN36" s="1199"/>
      <c r="CO36" s="1199"/>
      <c r="CP36" s="1199"/>
      <c r="CQ36" s="1199"/>
      <c r="CR36" s="1199"/>
      <c r="CS36" s="1199"/>
      <c r="CT36" s="1199"/>
      <c r="CU36" s="1199"/>
      <c r="CV36" s="1199"/>
      <c r="CW36" s="1199"/>
      <c r="CX36" s="1199"/>
      <c r="CY36" s="1199"/>
      <c r="CZ36" s="1199"/>
      <c r="DA36" s="1199"/>
      <c r="DB36" s="1199"/>
      <c r="DC36" s="1199"/>
      <c r="DD36" s="1199"/>
      <c r="DE36" s="1199"/>
      <c r="DF36" s="1199"/>
      <c r="DG36" s="1199"/>
      <c r="DH36" s="1199"/>
      <c r="DI36" s="1199"/>
      <c r="DJ36" s="1199"/>
      <c r="DK36" s="1199"/>
      <c r="DL36" s="1199"/>
      <c r="DM36" s="1199"/>
      <c r="DN36" s="1199"/>
      <c r="DO36" s="1199"/>
      <c r="DP36" s="1199"/>
      <c r="DQ36" s="1199"/>
      <c r="DR36" s="1199"/>
      <c r="DS36" s="1199"/>
      <c r="DT36" s="1199"/>
      <c r="DU36" s="1199"/>
      <c r="DV36" s="1199"/>
      <c r="DW36" s="1199"/>
      <c r="DX36" s="1199"/>
      <c r="DY36" s="1199"/>
      <c r="DZ36" s="1199"/>
      <c r="EA36" s="1199"/>
      <c r="EB36" s="1199"/>
      <c r="EC36" s="1199"/>
      <c r="ED36" s="1199"/>
      <c r="EE36" s="1199"/>
      <c r="EF36" s="1199"/>
      <c r="EG36" s="1199"/>
      <c r="EH36" s="1199"/>
      <c r="EI36" s="1199"/>
      <c r="EJ36" s="1199"/>
      <c r="EK36" s="1199"/>
      <c r="EL36" s="1199"/>
      <c r="EM36" s="1199"/>
      <c r="EN36" s="1199"/>
      <c r="EO36" s="1199"/>
      <c r="EP36" s="1199"/>
      <c r="EQ36" s="1199"/>
      <c r="ER36" s="1199"/>
      <c r="ES36" s="1199"/>
      <c r="ET36" s="1199"/>
      <c r="EU36" s="1199"/>
      <c r="EV36" s="1199"/>
      <c r="EW36" s="1199"/>
      <c r="EX36" s="1199"/>
      <c r="EY36" s="1199"/>
      <c r="EZ36" s="1199"/>
      <c r="FA36" s="1199"/>
      <c r="FB36" s="1199"/>
      <c r="FC36" s="1199"/>
      <c r="FD36" s="1199"/>
      <c r="FE36" s="1199"/>
      <c r="FF36" s="1199"/>
      <c r="FG36" s="1199"/>
      <c r="FH36" s="1199"/>
      <c r="FI36" s="1199"/>
      <c r="FJ36" s="1199"/>
      <c r="FK36" s="1199"/>
      <c r="FL36" s="1199"/>
      <c r="FM36" s="1199"/>
      <c r="FN36" s="1199"/>
      <c r="FO36" s="1199"/>
      <c r="FP36" s="1199"/>
      <c r="FQ36" s="1199"/>
      <c r="FR36" s="1199"/>
      <c r="FS36" s="1199"/>
      <c r="FT36" s="1199"/>
      <c r="FU36" s="1199"/>
      <c r="FV36" s="1199"/>
      <c r="FW36" s="1199"/>
      <c r="FX36" s="1199"/>
      <c r="FY36" s="1199"/>
      <c r="FZ36" s="1199"/>
      <c r="GA36" s="1199"/>
      <c r="GB36" s="1199"/>
      <c r="GC36" s="1199"/>
      <c r="GD36" s="1199"/>
      <c r="GE36" s="1199"/>
      <c r="GF36" s="1199"/>
      <c r="GG36" s="1199"/>
      <c r="GH36" s="1199"/>
      <c r="GI36" s="1199"/>
      <c r="GJ36" s="1199"/>
      <c r="GK36" s="1199"/>
      <c r="GL36" s="1199"/>
      <c r="GM36" s="1199"/>
      <c r="GN36" s="1199"/>
      <c r="GO36" s="1199"/>
      <c r="GP36" s="1199"/>
      <c r="GQ36" s="1199"/>
      <c r="GR36" s="1199"/>
      <c r="GS36" s="1199"/>
      <c r="GT36" s="1199"/>
      <c r="GU36" s="1199"/>
      <c r="GV36" s="1199"/>
      <c r="GW36" s="1199"/>
      <c r="GX36" s="1199"/>
      <c r="GY36" s="1199"/>
      <c r="GZ36" s="1199"/>
      <c r="HA36" s="1199"/>
      <c r="HB36" s="1199"/>
      <c r="HC36" s="1199"/>
      <c r="HD36" s="1199"/>
      <c r="HE36" s="1199"/>
      <c r="HF36" s="1199"/>
      <c r="HG36" s="1199"/>
      <c r="HH36" s="1199"/>
      <c r="HI36" s="1199"/>
      <c r="HJ36" s="1199"/>
      <c r="HK36" s="1199"/>
      <c r="HL36" s="1199"/>
      <c r="HM36" s="1199"/>
      <c r="HN36" s="1199"/>
      <c r="HO36" s="1199"/>
      <c r="HP36" s="1199"/>
      <c r="HQ36" s="1199"/>
      <c r="HR36" s="1199"/>
      <c r="HS36" s="1199"/>
      <c r="HT36" s="1199"/>
      <c r="HU36" s="1199"/>
    </row>
    <row r="37" spans="1:229" ht="14.25" customHeight="1" x14ac:dyDescent="0.25">
      <c r="A37" s="1229" t="s">
        <v>33</v>
      </c>
      <c r="B37" s="1229"/>
      <c r="C37" s="1201"/>
      <c r="D37" s="1201"/>
      <c r="E37" s="1228"/>
      <c r="F37" s="619"/>
      <c r="G37" s="619"/>
      <c r="H37" s="619"/>
      <c r="I37" s="619"/>
      <c r="J37" s="619"/>
      <c r="K37" s="619"/>
      <c r="L37" s="619"/>
      <c r="M37" s="619"/>
      <c r="N37" s="619"/>
      <c r="O37" s="1201"/>
      <c r="P37" s="1201"/>
      <c r="Q37" s="572"/>
      <c r="R37" s="1201"/>
      <c r="S37" s="1201"/>
      <c r="T37" s="1201"/>
      <c r="U37" s="1223"/>
      <c r="V37" s="1220"/>
      <c r="W37" s="1208"/>
      <c r="X37" s="1223"/>
      <c r="Y37" s="1223"/>
      <c r="Z37" s="1223"/>
      <c r="AA37" s="1230"/>
      <c r="AB37" s="1205"/>
      <c r="AC37" s="1205"/>
      <c r="AD37" s="1205"/>
      <c r="AE37" s="1205"/>
      <c r="AF37" s="1205"/>
      <c r="AG37" s="1205"/>
      <c r="AH37" s="1205"/>
      <c r="AI37" s="1205"/>
      <c r="AJ37" s="1205"/>
      <c r="AK37" s="1205"/>
      <c r="AL37" s="1206"/>
      <c r="AM37" s="1222"/>
      <c r="AN37" s="1222"/>
      <c r="AO37" s="1222"/>
      <c r="AP37" s="1222"/>
      <c r="AQ37" s="1222"/>
      <c r="AR37" s="1222"/>
      <c r="AS37" s="1222"/>
      <c r="AT37" s="1222"/>
      <c r="AU37" s="1222"/>
      <c r="AV37" s="1222"/>
      <c r="AW37" s="1222"/>
      <c r="AX37" s="1222"/>
      <c r="AY37" s="1222"/>
      <c r="AZ37" s="1222"/>
      <c r="BA37" s="1222"/>
      <c r="BB37" s="1222"/>
      <c r="BC37" s="1222"/>
      <c r="BD37" s="1222"/>
      <c r="BE37" s="1222"/>
      <c r="BF37" s="1222"/>
      <c r="BG37" s="1222"/>
      <c r="BH37" s="1222"/>
      <c r="BI37" s="1222"/>
      <c r="BJ37" s="1222"/>
      <c r="BK37" s="1222"/>
      <c r="BL37" s="1222"/>
      <c r="BM37" s="1222"/>
      <c r="BN37" s="1222"/>
      <c r="BO37" s="1222"/>
      <c r="BP37" s="1222"/>
      <c r="BQ37" s="1222"/>
      <c r="BR37" s="1222"/>
      <c r="BS37" s="1222"/>
      <c r="BT37" s="1222"/>
      <c r="BU37" s="1222"/>
      <c r="BV37" s="1222"/>
      <c r="BW37" s="1222"/>
      <c r="BX37" s="1222"/>
      <c r="BY37" s="1222"/>
      <c r="BZ37" s="1222"/>
      <c r="CA37" s="1222"/>
      <c r="CB37" s="1222"/>
      <c r="CC37" s="1222"/>
      <c r="CD37" s="1222"/>
      <c r="CE37" s="1222"/>
      <c r="CF37" s="1222"/>
      <c r="CG37" s="1222"/>
      <c r="CH37" s="1222"/>
      <c r="CI37" s="1222"/>
      <c r="CJ37" s="1222"/>
      <c r="CK37" s="1222"/>
      <c r="CL37" s="1222"/>
      <c r="CM37" s="1222"/>
      <c r="CN37" s="1199"/>
      <c r="CO37" s="1199"/>
      <c r="CP37" s="1199"/>
      <c r="CQ37" s="1199"/>
      <c r="CR37" s="1199"/>
      <c r="CS37" s="1199"/>
      <c r="CT37" s="1199"/>
      <c r="CU37" s="1199"/>
      <c r="CV37" s="1199"/>
      <c r="CW37" s="1199"/>
      <c r="CX37" s="1199"/>
      <c r="CY37" s="1199"/>
      <c r="CZ37" s="1199"/>
      <c r="DA37" s="1199"/>
      <c r="DB37" s="1199"/>
      <c r="DC37" s="1199"/>
      <c r="DD37" s="1199"/>
      <c r="DE37" s="1199"/>
      <c r="DF37" s="1199"/>
      <c r="DG37" s="1199"/>
      <c r="DH37" s="1199"/>
      <c r="DI37" s="1199"/>
      <c r="DJ37" s="1199"/>
      <c r="DK37" s="1199"/>
      <c r="DL37" s="1199"/>
      <c r="DM37" s="1199"/>
      <c r="DN37" s="1199"/>
      <c r="DO37" s="1199"/>
      <c r="DP37" s="1199"/>
      <c r="DQ37" s="1199"/>
      <c r="DR37" s="1199"/>
      <c r="DS37" s="1199"/>
      <c r="DT37" s="1199"/>
      <c r="DU37" s="1199"/>
      <c r="DV37" s="1199"/>
      <c r="DW37" s="1199"/>
      <c r="DX37" s="1199"/>
      <c r="DY37" s="1199"/>
      <c r="DZ37" s="1199"/>
      <c r="EA37" s="1199"/>
      <c r="EB37" s="1199"/>
      <c r="EC37" s="1199"/>
      <c r="ED37" s="1199"/>
      <c r="EE37" s="1199"/>
      <c r="EF37" s="1199"/>
      <c r="EG37" s="1199"/>
      <c r="EH37" s="1199"/>
      <c r="EI37" s="1199"/>
      <c r="EJ37" s="1199"/>
      <c r="EK37" s="1199"/>
      <c r="EL37" s="1199"/>
      <c r="EM37" s="1199"/>
      <c r="EN37" s="1199"/>
      <c r="EO37" s="1199"/>
      <c r="EP37" s="1199"/>
      <c r="EQ37" s="1199"/>
      <c r="ER37" s="1199"/>
      <c r="ES37" s="1199"/>
      <c r="ET37" s="1199"/>
      <c r="EU37" s="1199"/>
      <c r="EV37" s="1199"/>
      <c r="EW37" s="1199"/>
      <c r="EX37" s="1199"/>
      <c r="EY37" s="1199"/>
      <c r="EZ37" s="1199"/>
      <c r="FA37" s="1199"/>
      <c r="FB37" s="1199"/>
      <c r="FC37" s="1199"/>
      <c r="FD37" s="1199"/>
      <c r="FE37" s="1199"/>
      <c r="FF37" s="1199"/>
      <c r="FG37" s="1199"/>
      <c r="FH37" s="1199"/>
      <c r="FI37" s="1199"/>
      <c r="FJ37" s="1199"/>
      <c r="FK37" s="1199"/>
      <c r="FL37" s="1199"/>
      <c r="FM37" s="1199"/>
      <c r="FN37" s="1199"/>
      <c r="FO37" s="1199"/>
      <c r="FP37" s="1199"/>
      <c r="FQ37" s="1199"/>
      <c r="FR37" s="1199"/>
      <c r="FS37" s="1199"/>
      <c r="FT37" s="1199"/>
      <c r="FU37" s="1199"/>
      <c r="FV37" s="1199"/>
      <c r="FW37" s="1199"/>
      <c r="FX37" s="1199"/>
      <c r="FY37" s="1199"/>
      <c r="FZ37" s="1199"/>
      <c r="GA37" s="1199"/>
      <c r="GB37" s="1199"/>
      <c r="GC37" s="1199"/>
      <c r="GD37" s="1199"/>
      <c r="GE37" s="1199"/>
      <c r="GF37" s="1199"/>
      <c r="GG37" s="1199"/>
      <c r="GH37" s="1199"/>
      <c r="GI37" s="1199"/>
      <c r="GJ37" s="1199"/>
      <c r="GK37" s="1199"/>
      <c r="GL37" s="1199"/>
      <c r="GM37" s="1199"/>
      <c r="GN37" s="1199"/>
      <c r="GO37" s="1199"/>
      <c r="GP37" s="1199"/>
      <c r="GQ37" s="1199"/>
      <c r="GR37" s="1199"/>
      <c r="GS37" s="1199"/>
      <c r="GT37" s="1199"/>
      <c r="GU37" s="1199"/>
      <c r="GV37" s="1199"/>
      <c r="GW37" s="1199"/>
      <c r="GX37" s="1199"/>
      <c r="GY37" s="1199"/>
      <c r="GZ37" s="1199"/>
      <c r="HA37" s="1199"/>
      <c r="HB37" s="1199"/>
      <c r="HC37" s="1199"/>
      <c r="HD37" s="1199"/>
      <c r="HE37" s="1199"/>
      <c r="HF37" s="1199"/>
      <c r="HG37" s="1199"/>
      <c r="HH37" s="1199"/>
      <c r="HI37" s="1199"/>
      <c r="HJ37" s="1199"/>
      <c r="HK37" s="1199"/>
      <c r="HL37" s="1199"/>
      <c r="HM37" s="1199"/>
      <c r="HN37" s="1199"/>
      <c r="HO37" s="1199"/>
      <c r="HP37" s="1199"/>
      <c r="HQ37" s="1199"/>
      <c r="HR37" s="1199"/>
      <c r="HS37" s="1199"/>
      <c r="HT37" s="1199"/>
      <c r="HU37" s="1199"/>
    </row>
    <row r="38" spans="1:229" s="1231" customFormat="1" ht="12.75" customHeight="1" x14ac:dyDescent="0.25">
      <c r="A38" s="1229" t="s">
        <v>35</v>
      </c>
      <c r="B38" s="1229"/>
      <c r="C38" s="1201"/>
      <c r="D38" s="1201"/>
      <c r="E38" s="1228"/>
      <c r="F38" s="617"/>
      <c r="G38" s="619"/>
      <c r="H38" s="619"/>
      <c r="I38" s="619"/>
      <c r="J38" s="619"/>
      <c r="K38" s="619"/>
      <c r="L38" s="619"/>
      <c r="M38" s="619"/>
      <c r="N38" s="619"/>
      <c r="O38" s="1201"/>
      <c r="P38" s="1201"/>
      <c r="Q38" s="572"/>
      <c r="R38" s="1201"/>
      <c r="S38" s="1201"/>
      <c r="T38" s="1201"/>
      <c r="U38" s="1223"/>
      <c r="V38" s="1220"/>
      <c r="W38" s="572"/>
      <c r="X38" s="1223">
        <v>291474261</v>
      </c>
      <c r="Y38" s="1223"/>
      <c r="Z38" s="1223"/>
      <c r="AA38" s="1230"/>
      <c r="AB38" s="1205"/>
      <c r="AC38" s="1205"/>
      <c r="AD38" s="1205"/>
      <c r="AE38" s="1205"/>
      <c r="AF38" s="1205"/>
      <c r="AG38" s="1205"/>
      <c r="AH38" s="1205"/>
      <c r="AI38" s="1205"/>
      <c r="AJ38" s="1205"/>
      <c r="AK38" s="1205"/>
      <c r="AL38" s="1206">
        <f t="shared" si="4"/>
        <v>291474261</v>
      </c>
      <c r="AM38" s="1189"/>
      <c r="AN38" s="1189"/>
      <c r="AO38" s="1189"/>
      <c r="AP38" s="1189"/>
      <c r="AQ38" s="1189"/>
      <c r="AR38" s="1189"/>
      <c r="AS38" s="1189"/>
      <c r="AT38" s="1189"/>
      <c r="AU38" s="1189"/>
      <c r="AV38" s="1189"/>
      <c r="AW38" s="1189"/>
      <c r="AX38" s="1189"/>
      <c r="AY38" s="1189"/>
      <c r="AZ38" s="1189"/>
      <c r="BA38" s="1189"/>
      <c r="BB38" s="1189"/>
      <c r="BC38" s="1189"/>
      <c r="BD38" s="1189"/>
      <c r="BE38" s="1189"/>
      <c r="BF38" s="1189"/>
      <c r="BG38" s="1189"/>
      <c r="BH38" s="1189"/>
      <c r="BI38" s="1189"/>
      <c r="BJ38" s="1189"/>
      <c r="BK38" s="1189"/>
      <c r="BL38" s="1189"/>
      <c r="BM38" s="1189"/>
      <c r="BN38" s="1189"/>
      <c r="BO38" s="1189"/>
      <c r="BP38" s="1189"/>
      <c r="BQ38" s="1189"/>
      <c r="BR38" s="1189"/>
      <c r="BS38" s="1189"/>
      <c r="BT38" s="1189"/>
      <c r="BU38" s="1189"/>
      <c r="BV38" s="1189"/>
      <c r="BW38" s="1189"/>
      <c r="BX38" s="1189"/>
      <c r="BY38" s="1189"/>
      <c r="BZ38" s="1189"/>
      <c r="CA38" s="1189"/>
      <c r="CB38" s="1189"/>
      <c r="CC38" s="1189"/>
      <c r="CD38" s="1189"/>
      <c r="CE38" s="1189"/>
      <c r="CF38" s="1189"/>
      <c r="CG38" s="1189"/>
      <c r="CH38" s="1189"/>
      <c r="CI38" s="1189"/>
      <c r="CJ38" s="1189"/>
      <c r="CK38" s="1189"/>
      <c r="CL38" s="1189"/>
      <c r="CM38" s="1189"/>
    </row>
    <row r="39" spans="1:229" s="1189" customFormat="1" ht="12.75" customHeight="1" x14ac:dyDescent="0.25">
      <c r="A39" s="1229" t="s">
        <v>37</v>
      </c>
      <c r="B39" s="1229"/>
      <c r="C39" s="1201"/>
      <c r="D39" s="1201"/>
      <c r="E39" s="1228"/>
      <c r="F39" s="617"/>
      <c r="G39" s="619"/>
      <c r="H39" s="619"/>
      <c r="I39" s="619"/>
      <c r="J39" s="619"/>
      <c r="K39" s="619"/>
      <c r="L39" s="619"/>
      <c r="M39" s="619"/>
      <c r="N39" s="619"/>
      <c r="O39" s="1201"/>
      <c r="P39" s="1201"/>
      <c r="Q39" s="572"/>
      <c r="R39" s="1201"/>
      <c r="S39" s="1201"/>
      <c r="T39" s="1201"/>
      <c r="U39" s="1201"/>
      <c r="V39" s="1220"/>
      <c r="W39" s="1201"/>
      <c r="X39" s="1201"/>
      <c r="Y39" s="1201"/>
      <c r="Z39" s="1201"/>
      <c r="AA39" s="982"/>
      <c r="AB39" s="1205"/>
      <c r="AC39" s="1205"/>
      <c r="AD39" s="1205"/>
      <c r="AE39" s="1205"/>
      <c r="AF39" s="1205"/>
      <c r="AG39" s="1205"/>
      <c r="AH39" s="1205"/>
      <c r="AI39" s="1205"/>
      <c r="AJ39" s="1205"/>
      <c r="AK39" s="1205"/>
      <c r="AL39" s="1206">
        <f t="shared" si="4"/>
        <v>0</v>
      </c>
    </row>
    <row r="40" spans="1:229" s="1189" customFormat="1" ht="12.75" customHeight="1" x14ac:dyDescent="0.25">
      <c r="A40" s="1229" t="s">
        <v>40</v>
      </c>
      <c r="B40" s="1229"/>
      <c r="C40" s="1201"/>
      <c r="D40" s="1201"/>
      <c r="E40" s="1228"/>
      <c r="F40" s="617"/>
      <c r="G40" s="619"/>
      <c r="H40" s="619"/>
      <c r="I40" s="619"/>
      <c r="J40" s="619"/>
      <c r="K40" s="619"/>
      <c r="L40" s="619"/>
      <c r="M40" s="619"/>
      <c r="N40" s="619"/>
      <c r="O40" s="1201"/>
      <c r="P40" s="1201"/>
      <c r="Q40" s="572"/>
      <c r="R40" s="1201"/>
      <c r="S40" s="1201"/>
      <c r="T40" s="1201"/>
      <c r="U40" s="1201"/>
      <c r="V40" s="1220"/>
      <c r="W40" s="982"/>
      <c r="X40" s="1201"/>
      <c r="Y40" s="1201"/>
      <c r="Z40" s="1201"/>
      <c r="AA40" s="982"/>
      <c r="AB40" s="1205"/>
      <c r="AC40" s="1205"/>
      <c r="AD40" s="1205"/>
      <c r="AE40" s="1205"/>
      <c r="AF40" s="1205"/>
      <c r="AG40" s="1205"/>
      <c r="AH40" s="1205"/>
      <c r="AI40" s="1205"/>
      <c r="AJ40" s="1205"/>
      <c r="AK40" s="1205"/>
      <c r="AL40" s="1206">
        <f t="shared" si="4"/>
        <v>0</v>
      </c>
    </row>
    <row r="41" spans="1:229" s="1189" customFormat="1" ht="12.75" customHeight="1" x14ac:dyDescent="0.25">
      <c r="A41" s="1229" t="s">
        <v>129</v>
      </c>
      <c r="B41" s="1229"/>
      <c r="C41" s="1201"/>
      <c r="D41" s="1201"/>
      <c r="E41" s="1228"/>
      <c r="F41" s="617"/>
      <c r="G41" s="619"/>
      <c r="H41" s="619"/>
      <c r="I41" s="619"/>
      <c r="J41" s="619"/>
      <c r="K41" s="619"/>
      <c r="L41" s="619"/>
      <c r="M41" s="619"/>
      <c r="N41" s="619"/>
      <c r="O41" s="1201"/>
      <c r="P41" s="1201"/>
      <c r="Q41" s="572"/>
      <c r="R41" s="1201"/>
      <c r="S41" s="1201"/>
      <c r="T41" s="1201"/>
      <c r="U41" s="1223"/>
      <c r="V41" s="1201"/>
      <c r="W41" s="572"/>
      <c r="X41" s="1223"/>
      <c r="Y41" s="1223"/>
      <c r="Z41" s="1201"/>
      <c r="AA41" s="1230"/>
      <c r="AB41" s="1205"/>
      <c r="AC41" s="1204"/>
      <c r="AD41" s="1205"/>
      <c r="AE41" s="1205"/>
      <c r="AF41" s="1205"/>
      <c r="AG41" s="1205"/>
      <c r="AH41" s="1205"/>
      <c r="AI41" s="1205"/>
      <c r="AJ41" s="1205"/>
      <c r="AK41" s="1205"/>
      <c r="AL41" s="1206">
        <f t="shared" si="4"/>
        <v>0</v>
      </c>
    </row>
    <row r="42" spans="1:229" s="1189" customFormat="1" ht="14.25" customHeight="1" x14ac:dyDescent="0.15">
      <c r="A42" s="1229" t="s">
        <v>46</v>
      </c>
      <c r="B42" s="1229"/>
      <c r="C42" s="1201"/>
      <c r="D42" s="1201"/>
      <c r="E42" s="1228"/>
      <c r="F42" s="617"/>
      <c r="G42" s="619"/>
      <c r="H42" s="619"/>
      <c r="I42" s="619"/>
      <c r="J42" s="619"/>
      <c r="K42" s="619"/>
      <c r="L42" s="620"/>
      <c r="M42" s="619"/>
      <c r="N42" s="619"/>
      <c r="O42" s="1201"/>
      <c r="P42" s="1201"/>
      <c r="Q42" s="572"/>
      <c r="R42" s="1201"/>
      <c r="S42" s="1201"/>
      <c r="T42" s="1201"/>
      <c r="U42" s="586"/>
      <c r="V42" s="1201"/>
      <c r="W42" s="1201"/>
      <c r="X42" s="586"/>
      <c r="Y42" s="586"/>
      <c r="Z42" s="586"/>
      <c r="AA42" s="586"/>
      <c r="AB42" s="1205"/>
      <c r="AC42" s="1205"/>
      <c r="AD42" s="1205"/>
      <c r="AE42" s="1205"/>
      <c r="AF42" s="1205"/>
      <c r="AG42" s="1205"/>
      <c r="AH42" s="1205"/>
      <c r="AI42" s="1205"/>
      <c r="AJ42" s="1205"/>
      <c r="AK42" s="1205"/>
      <c r="AL42" s="1206">
        <f t="shared" si="4"/>
        <v>0</v>
      </c>
    </row>
    <row r="43" spans="1:229" s="1189" customFormat="1" ht="12.75" customHeight="1" x14ac:dyDescent="0.15">
      <c r="A43" s="1229" t="s">
        <v>4973</v>
      </c>
      <c r="B43" s="1229"/>
      <c r="C43" s="1201"/>
      <c r="D43" s="1201"/>
      <c r="E43" s="1228"/>
      <c r="F43" s="617"/>
      <c r="G43" s="619"/>
      <c r="H43" s="619"/>
      <c r="I43" s="619"/>
      <c r="J43" s="619"/>
      <c r="K43" s="619"/>
      <c r="L43" s="619"/>
      <c r="M43" s="619"/>
      <c r="N43" s="619"/>
      <c r="O43" s="982"/>
      <c r="P43" s="1201"/>
      <c r="Q43" s="572"/>
      <c r="R43" s="1219"/>
      <c r="S43" s="1201"/>
      <c r="T43" s="1201"/>
      <c r="U43" s="1201"/>
      <c r="V43" s="1201"/>
      <c r="W43" s="1201"/>
      <c r="X43" s="296"/>
      <c r="Y43" s="586"/>
      <c r="Z43" s="1201"/>
      <c r="AA43" s="1230"/>
      <c r="AB43" s="1205">
        <v>5804541</v>
      </c>
      <c r="AC43" s="1204"/>
      <c r="AD43" s="1205"/>
      <c r="AE43" s="1205"/>
      <c r="AF43" s="1205"/>
      <c r="AG43" s="1205"/>
      <c r="AH43" s="1205"/>
      <c r="AI43" s="1205"/>
      <c r="AJ43" s="1205"/>
      <c r="AK43" s="1205"/>
      <c r="AL43" s="1206">
        <f t="shared" si="4"/>
        <v>5804541</v>
      </c>
    </row>
    <row r="44" spans="1:229" s="1189" customFormat="1" ht="12.75" customHeight="1" x14ac:dyDescent="0.15">
      <c r="A44" s="1229" t="s">
        <v>5978</v>
      </c>
      <c r="B44" s="1229"/>
      <c r="C44" s="1201"/>
      <c r="D44" s="1201"/>
      <c r="E44" s="1228"/>
      <c r="F44" s="617"/>
      <c r="G44" s="619"/>
      <c r="H44" s="619"/>
      <c r="I44" s="619"/>
      <c r="J44" s="619"/>
      <c r="K44" s="619"/>
      <c r="L44" s="619"/>
      <c r="M44" s="618"/>
      <c r="N44" s="619"/>
      <c r="O44" s="982"/>
      <c r="P44" s="1201"/>
      <c r="Q44" s="572"/>
      <c r="R44" s="1219"/>
      <c r="S44" s="1201"/>
      <c r="T44" s="1201"/>
      <c r="U44" s="1201"/>
      <c r="V44" s="1201"/>
      <c r="W44" s="1201"/>
      <c r="X44" s="296"/>
      <c r="Y44" s="586"/>
      <c r="Z44" s="1201"/>
      <c r="AA44" s="1230"/>
      <c r="AB44" s="1205"/>
      <c r="AC44" s="1204"/>
      <c r="AD44" s="1205"/>
      <c r="AE44" s="1205"/>
      <c r="AF44" s="1205"/>
      <c r="AG44" s="1205"/>
      <c r="AH44" s="1205"/>
      <c r="AI44" s="1205"/>
      <c r="AJ44" s="1205"/>
      <c r="AK44" s="1205"/>
      <c r="AL44" s="1206">
        <f t="shared" si="4"/>
        <v>0</v>
      </c>
    </row>
    <row r="45" spans="1:229" s="1189" customFormat="1" ht="14.25" customHeight="1" x14ac:dyDescent="0.15">
      <c r="A45" s="1229" t="s">
        <v>6075</v>
      </c>
      <c r="B45" s="1229"/>
      <c r="C45" s="1201"/>
      <c r="D45" s="1201"/>
      <c r="E45" s="618"/>
      <c r="F45" s="1228"/>
      <c r="G45" s="619"/>
      <c r="H45" s="619"/>
      <c r="I45" s="619"/>
      <c r="J45" s="619"/>
      <c r="K45" s="619"/>
      <c r="L45" s="619">
        <f>141531601-29876208</f>
        <v>111655393</v>
      </c>
      <c r="M45" s="619"/>
      <c r="N45" s="619"/>
      <c r="O45" s="1201"/>
      <c r="P45" s="1201"/>
      <c r="Q45" s="572"/>
      <c r="R45" s="1219"/>
      <c r="S45" s="1201"/>
      <c r="T45" s="1201"/>
      <c r="U45" s="586"/>
      <c r="V45" s="1201"/>
      <c r="W45" s="1221"/>
      <c r="X45" s="296"/>
      <c r="Y45" s="586"/>
      <c r="Z45" s="586"/>
      <c r="AA45" s="296"/>
      <c r="AB45" s="1205"/>
      <c r="AC45" s="1204"/>
      <c r="AD45" s="1205"/>
      <c r="AE45" s="1205"/>
      <c r="AF45" s="1205"/>
      <c r="AG45" s="1205"/>
      <c r="AH45" s="1205"/>
      <c r="AI45" s="1205"/>
      <c r="AJ45" s="1205"/>
      <c r="AK45" s="1205"/>
      <c r="AL45" s="1206">
        <f t="shared" si="4"/>
        <v>111655393</v>
      </c>
    </row>
    <row r="46" spans="1:229" s="1189" customFormat="1" ht="14.25" customHeight="1" x14ac:dyDescent="0.15">
      <c r="A46" s="1229" t="s">
        <v>6296</v>
      </c>
      <c r="B46" s="1229"/>
      <c r="C46" s="1201"/>
      <c r="D46" s="1201"/>
      <c r="E46" s="618"/>
      <c r="F46" s="1228"/>
      <c r="G46" s="619"/>
      <c r="H46" s="619"/>
      <c r="I46" s="619"/>
      <c r="J46" s="619"/>
      <c r="K46" s="619"/>
      <c r="L46" s="619">
        <f>46717600-934352</f>
        <v>45783248</v>
      </c>
      <c r="M46" s="619"/>
      <c r="N46" s="619">
        <v>55687323</v>
      </c>
      <c r="O46" s="1201"/>
      <c r="P46" s="1201"/>
      <c r="Q46" s="572"/>
      <c r="R46" s="1219">
        <f>108258243-2165165</f>
        <v>106093078</v>
      </c>
      <c r="S46" s="1201"/>
      <c r="T46" s="1201"/>
      <c r="U46" s="586"/>
      <c r="V46" s="1201"/>
      <c r="W46" s="1221"/>
      <c r="X46" s="296"/>
      <c r="Y46" s="586"/>
      <c r="Z46" s="586"/>
      <c r="AA46" s="296"/>
      <c r="AB46" s="1205"/>
      <c r="AC46" s="1204"/>
      <c r="AD46" s="1205"/>
      <c r="AE46" s="1205"/>
      <c r="AF46" s="1205"/>
      <c r="AG46" s="1205"/>
      <c r="AH46" s="1205"/>
      <c r="AI46" s="1205"/>
      <c r="AJ46" s="1205"/>
      <c r="AK46" s="1205"/>
      <c r="AL46" s="1206"/>
    </row>
    <row r="47" spans="1:229" s="1189" customFormat="1" ht="14.25" customHeight="1" x14ac:dyDescent="0.15">
      <c r="A47" s="1229" t="s">
        <v>6277</v>
      </c>
      <c r="B47" s="1229"/>
      <c r="C47" s="1201"/>
      <c r="D47" s="1201"/>
      <c r="E47" s="618"/>
      <c r="F47" s="1228"/>
      <c r="G47" s="619"/>
      <c r="H47" s="619"/>
      <c r="I47" s="619"/>
      <c r="J47" s="619"/>
      <c r="K47" s="619"/>
      <c r="L47" s="619"/>
      <c r="M47" s="619"/>
      <c r="N47" s="619"/>
      <c r="O47" s="1201"/>
      <c r="P47" s="1201"/>
      <c r="Q47" s="572"/>
      <c r="R47" s="1219">
        <f>274793884-5495878</f>
        <v>269298006</v>
      </c>
      <c r="S47" s="1201">
        <f>130949125-2618983</f>
        <v>128330142</v>
      </c>
      <c r="T47" s="1201">
        <f>128491802-2569836</f>
        <v>125921966</v>
      </c>
      <c r="U47" s="586">
        <v>221259851</v>
      </c>
      <c r="V47" s="1201"/>
      <c r="W47" s="1221"/>
      <c r="X47" s="296"/>
      <c r="Y47" s="586"/>
      <c r="Z47" s="586"/>
      <c r="AA47" s="296"/>
      <c r="AB47" s="1205"/>
      <c r="AC47" s="1204"/>
      <c r="AD47" s="1205"/>
      <c r="AE47" s="1205"/>
      <c r="AF47" s="1205"/>
      <c r="AG47" s="1205"/>
      <c r="AH47" s="1205"/>
      <c r="AI47" s="1205"/>
      <c r="AJ47" s="1205"/>
      <c r="AK47" s="1205"/>
      <c r="AL47" s="1206"/>
    </row>
    <row r="48" spans="1:229" s="1189" customFormat="1" ht="14.25" customHeight="1" x14ac:dyDescent="0.15">
      <c r="A48" s="1229" t="s">
        <v>6252</v>
      </c>
      <c r="B48" s="1229"/>
      <c r="C48" s="1201"/>
      <c r="D48" s="1201"/>
      <c r="E48" s="1228"/>
      <c r="F48" s="618"/>
      <c r="G48" s="619"/>
      <c r="H48" s="619"/>
      <c r="I48" s="619"/>
      <c r="J48" s="619">
        <v>111542766</v>
      </c>
      <c r="K48" s="619"/>
      <c r="L48" s="619"/>
      <c r="M48" s="619"/>
      <c r="N48" s="619"/>
      <c r="O48" s="1201"/>
      <c r="P48" s="1201"/>
      <c r="Q48" s="572"/>
      <c r="R48" s="1219">
        <f>437170796-418107112</f>
        <v>19063684</v>
      </c>
      <c r="S48" s="1201"/>
      <c r="T48" s="1201"/>
      <c r="U48" s="1201"/>
      <c r="V48" s="1201"/>
      <c r="W48" s="1221"/>
      <c r="X48" s="1201"/>
      <c r="Y48" s="1201"/>
      <c r="Z48" s="1201"/>
      <c r="AA48" s="1230"/>
      <c r="AB48" s="1205"/>
      <c r="AC48" s="1204"/>
      <c r="AD48" s="1205"/>
      <c r="AE48" s="1205"/>
      <c r="AF48" s="1205"/>
      <c r="AG48" s="1205"/>
      <c r="AH48" s="1205"/>
      <c r="AI48" s="1205"/>
      <c r="AJ48" s="1205"/>
      <c r="AK48" s="1205"/>
      <c r="AL48" s="1206">
        <f t="shared" si="4"/>
        <v>130606450</v>
      </c>
    </row>
    <row r="49" spans="1:38" s="1189" customFormat="1" ht="14.25" customHeight="1" x14ac:dyDescent="0.15">
      <c r="A49" s="1229" t="s">
        <v>6148</v>
      </c>
      <c r="B49" s="1229"/>
      <c r="C49" s="1201"/>
      <c r="D49" s="1201"/>
      <c r="E49" s="1228"/>
      <c r="F49" s="618"/>
      <c r="G49" s="619"/>
      <c r="H49" s="619"/>
      <c r="I49" s="619"/>
      <c r="J49" s="619"/>
      <c r="K49" s="619"/>
      <c r="L49" s="619"/>
      <c r="M49" s="619">
        <v>707256</v>
      </c>
      <c r="N49" s="619"/>
      <c r="O49" s="1201"/>
      <c r="P49" s="1201"/>
      <c r="Q49" s="572"/>
      <c r="R49" s="1219">
        <v>209038664</v>
      </c>
      <c r="S49" s="1201"/>
      <c r="T49" s="1201"/>
      <c r="U49" s="1201"/>
      <c r="V49" s="1220"/>
      <c r="W49" s="1221"/>
      <c r="X49" s="1201"/>
      <c r="Y49" s="1201"/>
      <c r="Z49" s="1223"/>
      <c r="AA49" s="1230"/>
      <c r="AB49" s="1205"/>
      <c r="AC49" s="1205"/>
      <c r="AD49" s="1205"/>
      <c r="AE49" s="1205"/>
      <c r="AF49" s="1205"/>
      <c r="AG49" s="1205"/>
      <c r="AH49" s="1205"/>
      <c r="AI49" s="1205"/>
      <c r="AJ49" s="1205"/>
      <c r="AK49" s="1205"/>
      <c r="AL49" s="1206">
        <f t="shared" si="4"/>
        <v>209745920</v>
      </c>
    </row>
    <row r="50" spans="1:38" s="1189" customFormat="1" ht="14.25" customHeight="1" x14ac:dyDescent="0.15">
      <c r="A50" s="1229" t="s">
        <v>55</v>
      </c>
      <c r="B50" s="1229"/>
      <c r="C50" s="1201"/>
      <c r="D50" s="1201"/>
      <c r="E50" s="1228"/>
      <c r="F50" s="618"/>
      <c r="G50" s="619"/>
      <c r="H50" s="619"/>
      <c r="I50" s="619"/>
      <c r="J50" s="619"/>
      <c r="K50" s="619"/>
      <c r="L50" s="619"/>
      <c r="M50" s="619"/>
      <c r="N50" s="619"/>
      <c r="O50" s="1201"/>
      <c r="P50" s="1201"/>
      <c r="Q50" s="572"/>
      <c r="R50" s="1219"/>
      <c r="S50" s="1201"/>
      <c r="T50" s="1201"/>
      <c r="U50" s="1201"/>
      <c r="V50" s="1220"/>
      <c r="W50" s="1221"/>
      <c r="X50" s="1201"/>
      <c r="Y50" s="1201"/>
      <c r="Z50" s="1223"/>
      <c r="AA50" s="1230"/>
      <c r="AB50" s="1205"/>
      <c r="AC50" s="1205"/>
      <c r="AD50" s="1205"/>
      <c r="AE50" s="1205"/>
      <c r="AF50" s="1205"/>
      <c r="AG50" s="1205"/>
      <c r="AH50" s="1205"/>
      <c r="AI50" s="1205"/>
      <c r="AJ50" s="1205"/>
      <c r="AK50" s="1205"/>
      <c r="AL50" s="1206">
        <f t="shared" si="4"/>
        <v>0</v>
      </c>
    </row>
    <row r="51" spans="1:38" s="1189" customFormat="1" ht="14.25" customHeight="1" x14ac:dyDescent="0.15">
      <c r="A51" s="1229" t="s">
        <v>6121</v>
      </c>
      <c r="B51" s="1229"/>
      <c r="C51" s="1201"/>
      <c r="D51" s="1201"/>
      <c r="E51" s="1228"/>
      <c r="F51" s="618"/>
      <c r="G51" s="619"/>
      <c r="H51" s="619"/>
      <c r="I51" s="619"/>
      <c r="J51" s="619"/>
      <c r="K51" s="619"/>
      <c r="L51" s="619"/>
      <c r="M51" s="619"/>
      <c r="N51" s="619"/>
      <c r="O51" s="1201"/>
      <c r="P51" s="1201"/>
      <c r="Q51" s="572"/>
      <c r="R51" s="1219"/>
      <c r="S51" s="1201"/>
      <c r="T51" s="1201"/>
      <c r="U51" s="1201"/>
      <c r="V51" s="1220"/>
      <c r="W51" s="1221"/>
      <c r="X51" s="1201"/>
      <c r="Y51" s="1201"/>
      <c r="Z51" s="1223"/>
      <c r="AA51" s="1230"/>
      <c r="AB51" s="1205"/>
      <c r="AC51" s="1205"/>
      <c r="AD51" s="1205"/>
      <c r="AE51" s="1205"/>
      <c r="AF51" s="1205"/>
      <c r="AG51" s="1205"/>
      <c r="AH51" s="1205"/>
      <c r="AI51" s="1205"/>
      <c r="AJ51" s="1205"/>
      <c r="AK51" s="1205"/>
      <c r="AL51" s="1206">
        <f t="shared" si="4"/>
        <v>0</v>
      </c>
    </row>
    <row r="52" spans="1:38" s="1189" customFormat="1" ht="12.75" customHeight="1" x14ac:dyDescent="0.15">
      <c r="A52" s="1229" t="s">
        <v>120</v>
      </c>
      <c r="B52" s="1229"/>
      <c r="C52" s="1201"/>
      <c r="D52" s="1201"/>
      <c r="E52" s="1228"/>
      <c r="F52" s="619"/>
      <c r="G52" s="619"/>
      <c r="H52" s="619"/>
      <c r="I52" s="619"/>
      <c r="J52" s="619">
        <v>270894378</v>
      </c>
      <c r="K52" s="619"/>
      <c r="L52" s="619"/>
      <c r="M52" s="619"/>
      <c r="N52" s="619"/>
      <c r="O52" s="1201"/>
      <c r="P52" s="1232"/>
      <c r="Q52" s="1201"/>
      <c r="R52" s="1201">
        <f>93782533+10316079-14067380</f>
        <v>90031232</v>
      </c>
      <c r="S52" s="1201"/>
      <c r="T52" s="1201"/>
      <c r="U52" s="1201"/>
      <c r="V52" s="1220"/>
      <c r="W52" s="1221"/>
      <c r="X52" s="1201"/>
      <c r="Y52" s="1201"/>
      <c r="Z52" s="586"/>
      <c r="AA52" s="586"/>
      <c r="AB52" s="1205"/>
      <c r="AC52" s="1205"/>
      <c r="AD52" s="1205"/>
      <c r="AE52" s="1205"/>
      <c r="AF52" s="1205"/>
      <c r="AG52" s="1205"/>
      <c r="AH52" s="1205"/>
      <c r="AI52" s="1205"/>
      <c r="AJ52" s="1205"/>
      <c r="AK52" s="1205"/>
      <c r="AL52" s="1206">
        <f t="shared" si="4"/>
        <v>360925610</v>
      </c>
    </row>
    <row r="53" spans="1:38" s="1189" customFormat="1" ht="12.75" customHeight="1" x14ac:dyDescent="0.25">
      <c r="A53" s="1229" t="s">
        <v>5719</v>
      </c>
      <c r="B53" s="1229"/>
      <c r="C53" s="1201"/>
      <c r="D53" s="1201"/>
      <c r="E53" s="1228"/>
      <c r="F53" s="619"/>
      <c r="G53" s="619"/>
      <c r="H53" s="619"/>
      <c r="I53" s="619"/>
      <c r="J53" s="619"/>
      <c r="K53" s="619"/>
      <c r="L53" s="620"/>
      <c r="M53" s="619"/>
      <c r="N53" s="619"/>
      <c r="O53" s="1201"/>
      <c r="P53" s="1201"/>
      <c r="Q53" s="572"/>
      <c r="R53" s="1201"/>
      <c r="S53" s="1201"/>
      <c r="T53" s="1201"/>
      <c r="U53" s="1201"/>
      <c r="V53" s="1233"/>
      <c r="W53" s="1221"/>
      <c r="X53" s="1201"/>
      <c r="Y53" s="1201"/>
      <c r="Z53" s="1223"/>
      <c r="AA53" s="982"/>
      <c r="AB53" s="1205"/>
      <c r="AC53" s="1204"/>
      <c r="AD53" s="1205"/>
      <c r="AE53" s="1205"/>
      <c r="AF53" s="1205"/>
      <c r="AG53" s="1205"/>
      <c r="AH53" s="1205"/>
      <c r="AI53" s="1205"/>
      <c r="AJ53" s="1205"/>
      <c r="AK53" s="1205"/>
      <c r="AL53" s="1206">
        <f t="shared" si="4"/>
        <v>0</v>
      </c>
    </row>
    <row r="54" spans="1:38" s="1189" customFormat="1" ht="12.75" customHeight="1" x14ac:dyDescent="0.15">
      <c r="A54" s="1229" t="s">
        <v>6178</v>
      </c>
      <c r="B54" s="1229"/>
      <c r="C54" s="1201"/>
      <c r="D54" s="1201"/>
      <c r="E54" s="1228"/>
      <c r="F54" s="619"/>
      <c r="G54" s="619"/>
      <c r="H54" s="619"/>
      <c r="I54" s="619"/>
      <c r="J54" s="619"/>
      <c r="K54" s="619"/>
      <c r="L54" s="619"/>
      <c r="M54" s="619"/>
      <c r="N54" s="619"/>
      <c r="O54" s="1201"/>
      <c r="P54" s="1201"/>
      <c r="Q54" s="572"/>
      <c r="R54" s="1219"/>
      <c r="S54" s="1201"/>
      <c r="T54" s="1201"/>
      <c r="U54" s="1201"/>
      <c r="V54" s="1220"/>
      <c r="W54" s="1221"/>
      <c r="X54" s="1201"/>
      <c r="Y54" s="1201"/>
      <c r="Z54" s="1201">
        <v>36976903</v>
      </c>
      <c r="AA54" s="982"/>
      <c r="AB54" s="1205">
        <v>1770090</v>
      </c>
      <c r="AC54" s="1204"/>
      <c r="AD54" s="1205"/>
      <c r="AE54" s="1205"/>
      <c r="AF54" s="1205"/>
      <c r="AG54" s="1205"/>
      <c r="AH54" s="1205"/>
      <c r="AI54" s="1205"/>
      <c r="AJ54" s="1205"/>
      <c r="AK54" s="1205"/>
      <c r="AL54" s="1206">
        <f t="shared" si="4"/>
        <v>38746993</v>
      </c>
    </row>
    <row r="55" spans="1:38" s="1189" customFormat="1" ht="12.75" customHeight="1" x14ac:dyDescent="0.15">
      <c r="A55" s="1229" t="s">
        <v>6179</v>
      </c>
      <c r="B55" s="1229"/>
      <c r="C55" s="1201"/>
      <c r="D55" s="1201"/>
      <c r="E55" s="1228"/>
      <c r="F55" s="619"/>
      <c r="G55" s="619"/>
      <c r="H55" s="619"/>
      <c r="I55" s="619"/>
      <c r="J55" s="619"/>
      <c r="K55" s="619"/>
      <c r="L55" s="619"/>
      <c r="M55" s="619"/>
      <c r="N55" s="619"/>
      <c r="O55" s="1201"/>
      <c r="P55" s="1201"/>
      <c r="Q55" s="572"/>
      <c r="R55" s="1219"/>
      <c r="S55" s="1201"/>
      <c r="T55" s="1201"/>
      <c r="U55" s="1201"/>
      <c r="V55" s="1220"/>
      <c r="W55" s="1221"/>
      <c r="X55" s="1201"/>
      <c r="Y55" s="1201"/>
      <c r="Z55" s="1201"/>
      <c r="AA55" s="982"/>
      <c r="AB55" s="1205"/>
      <c r="AC55" s="1204"/>
      <c r="AD55" s="1205"/>
      <c r="AE55" s="1205"/>
      <c r="AF55" s="1205"/>
      <c r="AG55" s="1205"/>
      <c r="AH55" s="1205"/>
      <c r="AI55" s="1205"/>
      <c r="AJ55" s="1205"/>
      <c r="AK55" s="1205"/>
      <c r="AL55" s="1206"/>
    </row>
    <row r="56" spans="1:38" s="1189" customFormat="1" ht="12.75" customHeight="1" x14ac:dyDescent="0.15">
      <c r="A56" s="1229" t="s">
        <v>5945</v>
      </c>
      <c r="B56" s="1229"/>
      <c r="C56" s="1201"/>
      <c r="D56" s="1201"/>
      <c r="E56" s="1228"/>
      <c r="F56" s="619"/>
      <c r="G56" s="619"/>
      <c r="H56" s="619"/>
      <c r="I56" s="619"/>
      <c r="J56" s="619"/>
      <c r="K56" s="619"/>
      <c r="L56" s="618"/>
      <c r="M56" s="619"/>
      <c r="N56" s="619"/>
      <c r="O56" s="1201"/>
      <c r="P56" s="1201"/>
      <c r="Q56" s="572"/>
      <c r="R56" s="1219"/>
      <c r="S56" s="1201"/>
      <c r="T56" s="1201"/>
      <c r="U56" s="1201"/>
      <c r="V56" s="1220"/>
      <c r="W56" s="1221"/>
      <c r="X56" s="1201"/>
      <c r="Y56" s="1201"/>
      <c r="Z56" s="586"/>
      <c r="AA56" s="982"/>
      <c r="AB56" s="1205"/>
      <c r="AC56" s="1204"/>
      <c r="AD56" s="1205"/>
      <c r="AE56" s="1205"/>
      <c r="AF56" s="1205"/>
      <c r="AG56" s="1205"/>
      <c r="AH56" s="1205"/>
      <c r="AI56" s="1205"/>
      <c r="AJ56" s="1205"/>
      <c r="AK56" s="1205"/>
      <c r="AL56" s="1206">
        <f t="shared" si="4"/>
        <v>0</v>
      </c>
    </row>
    <row r="57" spans="1:38" s="1189" customFormat="1" ht="12" x14ac:dyDescent="0.15">
      <c r="A57" s="1229" t="s">
        <v>6087</v>
      </c>
      <c r="B57" s="1229"/>
      <c r="C57" s="1201"/>
      <c r="D57" s="1201"/>
      <c r="E57" s="1228"/>
      <c r="F57" s="619"/>
      <c r="G57" s="619"/>
      <c r="H57" s="619"/>
      <c r="I57" s="619"/>
      <c r="J57" s="619"/>
      <c r="K57" s="619"/>
      <c r="L57" s="618"/>
      <c r="M57" s="619"/>
      <c r="N57" s="619"/>
      <c r="O57" s="1201"/>
      <c r="P57" s="1201"/>
      <c r="Q57" s="572"/>
      <c r="R57" s="1219"/>
      <c r="S57" s="1201"/>
      <c r="T57" s="1201"/>
      <c r="U57" s="1201"/>
      <c r="V57" s="1220"/>
      <c r="W57" s="1221"/>
      <c r="X57" s="1201"/>
      <c r="Y57" s="1201"/>
      <c r="Z57" s="586"/>
      <c r="AA57" s="982"/>
      <c r="AB57" s="1205"/>
      <c r="AC57" s="1204"/>
      <c r="AD57" s="1205"/>
      <c r="AE57" s="1205"/>
      <c r="AF57" s="1205"/>
      <c r="AG57" s="1205"/>
      <c r="AH57" s="1205"/>
      <c r="AI57" s="1205"/>
      <c r="AJ57" s="1205"/>
      <c r="AK57" s="1205"/>
      <c r="AL57" s="1206">
        <f t="shared" si="4"/>
        <v>0</v>
      </c>
    </row>
    <row r="58" spans="1:38" s="1189" customFormat="1" ht="14.25" customHeight="1" x14ac:dyDescent="0.15">
      <c r="A58" s="1229" t="s">
        <v>6088</v>
      </c>
      <c r="B58" s="1229"/>
      <c r="C58" s="1201"/>
      <c r="D58" s="1201"/>
      <c r="E58" s="1228"/>
      <c r="F58" s="619"/>
      <c r="G58" s="619"/>
      <c r="H58" s="619"/>
      <c r="I58" s="619"/>
      <c r="J58" s="619"/>
      <c r="K58" s="619"/>
      <c r="L58" s="618">
        <v>115947720</v>
      </c>
      <c r="M58" s="619"/>
      <c r="N58" s="619">
        <v>38649240</v>
      </c>
      <c r="O58" s="1201"/>
      <c r="P58" s="1201"/>
      <c r="Q58" s="572"/>
      <c r="R58" s="1201"/>
      <c r="S58" s="1201"/>
      <c r="T58" s="1201"/>
      <c r="U58" s="1201">
        <v>77298480</v>
      </c>
      <c r="V58" s="1220"/>
      <c r="W58" s="1221"/>
      <c r="X58" s="1201">
        <v>38649240</v>
      </c>
      <c r="Y58" s="1201"/>
      <c r="Z58" s="586">
        <v>38649240</v>
      </c>
      <c r="AA58" s="982"/>
      <c r="AB58" s="1205"/>
      <c r="AC58" s="1204"/>
      <c r="AD58" s="1205"/>
      <c r="AE58" s="1205"/>
      <c r="AF58" s="1205"/>
      <c r="AG58" s="1205"/>
      <c r="AH58" s="1205"/>
      <c r="AI58" s="1205"/>
      <c r="AJ58" s="1205"/>
      <c r="AK58" s="1205"/>
      <c r="AL58" s="1206">
        <f t="shared" si="4"/>
        <v>309193920</v>
      </c>
    </row>
    <row r="59" spans="1:38" s="1189" customFormat="1" ht="12.75" customHeight="1" x14ac:dyDescent="0.25">
      <c r="A59" s="1229" t="s">
        <v>64</v>
      </c>
      <c r="B59" s="1229"/>
      <c r="C59" s="1201"/>
      <c r="D59" s="1201"/>
      <c r="E59" s="1228"/>
      <c r="F59" s="619"/>
      <c r="G59" s="619"/>
      <c r="H59" s="619"/>
      <c r="I59" s="619"/>
      <c r="J59" s="619"/>
      <c r="K59" s="619"/>
      <c r="L59" s="619"/>
      <c r="M59" s="619"/>
      <c r="N59" s="619"/>
      <c r="O59" s="1201"/>
      <c r="P59" s="1201"/>
      <c r="Q59" s="572"/>
      <c r="R59" s="1201"/>
      <c r="S59" s="1201"/>
      <c r="T59" s="1201"/>
      <c r="U59" s="1201"/>
      <c r="V59" s="1220"/>
      <c r="W59" s="1221"/>
      <c r="X59" s="1201"/>
      <c r="Y59" s="1201"/>
      <c r="Z59" s="1201">
        <v>102316364</v>
      </c>
      <c r="AA59" s="982"/>
      <c r="AB59" s="1205"/>
      <c r="AC59" s="1204"/>
      <c r="AD59" s="1205"/>
      <c r="AE59" s="1205"/>
      <c r="AF59" s="1205"/>
      <c r="AG59" s="1205"/>
      <c r="AH59" s="1205"/>
      <c r="AI59" s="1205"/>
      <c r="AJ59" s="1205"/>
      <c r="AK59" s="1205"/>
      <c r="AL59" s="1206">
        <f t="shared" si="4"/>
        <v>102316364</v>
      </c>
    </row>
    <row r="60" spans="1:38" s="1189" customFormat="1" ht="14.25" customHeight="1" x14ac:dyDescent="0.25">
      <c r="A60" s="1229" t="s">
        <v>4881</v>
      </c>
      <c r="B60" s="1229"/>
      <c r="C60" s="1201"/>
      <c r="D60" s="1201"/>
      <c r="E60" s="1228"/>
      <c r="F60" s="619"/>
      <c r="G60" s="619"/>
      <c r="H60" s="619"/>
      <c r="I60" s="619"/>
      <c r="J60" s="619"/>
      <c r="K60" s="619"/>
      <c r="L60" s="619"/>
      <c r="M60" s="619"/>
      <c r="N60" s="619"/>
      <c r="O60" s="1201"/>
      <c r="P60" s="1201"/>
      <c r="Q60" s="572"/>
      <c r="R60" s="1201"/>
      <c r="S60" s="1201"/>
      <c r="T60" s="1201"/>
      <c r="U60" s="1201"/>
      <c r="V60" s="1233"/>
      <c r="W60" s="1221"/>
      <c r="X60" s="1201"/>
      <c r="Y60" s="1201"/>
      <c r="Z60" s="1201"/>
      <c r="AA60" s="982"/>
      <c r="AB60" s="1205"/>
      <c r="AC60" s="1204"/>
      <c r="AD60" s="1205"/>
      <c r="AE60" s="1205"/>
      <c r="AF60" s="1205"/>
      <c r="AG60" s="1205"/>
      <c r="AH60" s="1205"/>
      <c r="AI60" s="1205"/>
      <c r="AJ60" s="1205"/>
      <c r="AK60" s="1205"/>
      <c r="AL60" s="1206">
        <f t="shared" si="4"/>
        <v>0</v>
      </c>
    </row>
    <row r="61" spans="1:38" s="1189" customFormat="1" ht="14.25" customHeight="1" x14ac:dyDescent="0.25">
      <c r="A61" s="1229" t="s">
        <v>6073</v>
      </c>
      <c r="B61" s="1229"/>
      <c r="C61" s="1201"/>
      <c r="D61" s="1201"/>
      <c r="E61" s="1228"/>
      <c r="F61" s="619"/>
      <c r="G61" s="619"/>
      <c r="H61" s="619"/>
      <c r="I61" s="619"/>
      <c r="J61" s="619"/>
      <c r="K61" s="619"/>
      <c r="L61" s="619"/>
      <c r="M61" s="619"/>
      <c r="N61" s="619"/>
      <c r="O61" s="1201"/>
      <c r="P61" s="1201"/>
      <c r="Q61" s="572"/>
      <c r="R61" s="1201"/>
      <c r="S61" s="1201"/>
      <c r="T61" s="1201"/>
      <c r="U61" s="1201"/>
      <c r="V61" s="1233"/>
      <c r="W61" s="1221"/>
      <c r="X61" s="1201"/>
      <c r="Y61" s="1201"/>
      <c r="Z61" s="1201"/>
      <c r="AA61" s="982"/>
      <c r="AB61" s="1205"/>
      <c r="AC61" s="1204"/>
      <c r="AD61" s="1205"/>
      <c r="AE61" s="1205"/>
      <c r="AF61" s="1205"/>
      <c r="AG61" s="1205"/>
      <c r="AH61" s="1205"/>
      <c r="AI61" s="1205"/>
      <c r="AJ61" s="1205"/>
      <c r="AK61" s="1205"/>
      <c r="AL61" s="1206">
        <f t="shared" si="4"/>
        <v>0</v>
      </c>
    </row>
    <row r="62" spans="1:38" s="1189" customFormat="1" ht="14.25" customHeight="1" x14ac:dyDescent="0.25">
      <c r="A62" s="1229" t="s">
        <v>6076</v>
      </c>
      <c r="B62" s="1229"/>
      <c r="C62" s="1201"/>
      <c r="D62" s="1201"/>
      <c r="E62" s="1228"/>
      <c r="F62" s="619"/>
      <c r="G62" s="619"/>
      <c r="H62" s="619"/>
      <c r="I62" s="619"/>
      <c r="J62" s="619"/>
      <c r="K62" s="619"/>
      <c r="L62" s="619"/>
      <c r="M62" s="619"/>
      <c r="N62" s="619"/>
      <c r="O62" s="1201"/>
      <c r="P62" s="1201"/>
      <c r="Q62" s="572"/>
      <c r="R62" s="1201"/>
      <c r="S62" s="1201"/>
      <c r="T62" s="1201"/>
      <c r="U62" s="1201"/>
      <c r="V62" s="1233"/>
      <c r="W62" s="1221"/>
      <c r="X62" s="1201"/>
      <c r="Y62" s="1201"/>
      <c r="Z62" s="1201"/>
      <c r="AA62" s="982"/>
      <c r="AB62" s="1205"/>
      <c r="AC62" s="1204"/>
      <c r="AD62" s="1205"/>
      <c r="AE62" s="1205"/>
      <c r="AF62" s="1205"/>
      <c r="AG62" s="1205"/>
      <c r="AH62" s="1205"/>
      <c r="AI62" s="1205"/>
      <c r="AJ62" s="1205"/>
      <c r="AK62" s="1205"/>
      <c r="AL62" s="1206">
        <f t="shared" si="4"/>
        <v>0</v>
      </c>
    </row>
    <row r="63" spans="1:38" s="1189" customFormat="1" ht="14.25" customHeight="1" x14ac:dyDescent="0.25">
      <c r="A63" s="1229" t="s">
        <v>6085</v>
      </c>
      <c r="B63" s="1229"/>
      <c r="C63" s="1201"/>
      <c r="D63" s="1201"/>
      <c r="E63" s="1228"/>
      <c r="F63" s="619"/>
      <c r="G63" s="619"/>
      <c r="H63" s="619"/>
      <c r="I63" s="619"/>
      <c r="J63" s="619"/>
      <c r="K63" s="619"/>
      <c r="L63" s="619"/>
      <c r="M63" s="619"/>
      <c r="N63" s="619"/>
      <c r="O63" s="1201"/>
      <c r="P63" s="1201"/>
      <c r="Q63" s="572"/>
      <c r="R63" s="1201"/>
      <c r="S63" s="1201"/>
      <c r="T63" s="1201"/>
      <c r="U63" s="1201"/>
      <c r="V63" s="1233"/>
      <c r="W63" s="1221"/>
      <c r="X63" s="1201"/>
      <c r="Y63" s="1201"/>
      <c r="Z63" s="1201"/>
      <c r="AA63" s="982"/>
      <c r="AB63" s="1205"/>
      <c r="AC63" s="1204"/>
      <c r="AD63" s="1205"/>
      <c r="AE63" s="1205"/>
      <c r="AF63" s="1205"/>
      <c r="AG63" s="1205"/>
      <c r="AH63" s="1205"/>
      <c r="AI63" s="1205"/>
      <c r="AJ63" s="1205"/>
      <c r="AK63" s="1205"/>
      <c r="AL63" s="1206">
        <f t="shared" si="4"/>
        <v>0</v>
      </c>
    </row>
    <row r="64" spans="1:38" s="1189" customFormat="1" ht="14.25" customHeight="1" x14ac:dyDescent="0.15">
      <c r="A64" s="1229" t="s">
        <v>126</v>
      </c>
      <c r="B64" s="1229"/>
      <c r="C64" s="1201"/>
      <c r="D64" s="1201"/>
      <c r="E64" s="1228"/>
      <c r="F64" s="619"/>
      <c r="G64" s="619"/>
      <c r="H64" s="619"/>
      <c r="I64" s="621"/>
      <c r="J64" s="619"/>
      <c r="K64" s="619"/>
      <c r="L64" s="619"/>
      <c r="M64" s="619"/>
      <c r="N64" s="619"/>
      <c r="O64" s="1201"/>
      <c r="P64" s="1201"/>
      <c r="Q64" s="572"/>
      <c r="R64" s="1201"/>
      <c r="S64" s="1201"/>
      <c r="T64" s="1201"/>
      <c r="U64" s="1201"/>
      <c r="V64" s="1220"/>
      <c r="W64" s="1208"/>
      <c r="X64" s="573"/>
      <c r="Y64" s="1201"/>
      <c r="Z64" s="1201"/>
      <c r="AA64" s="982"/>
      <c r="AB64" s="1205"/>
      <c r="AC64" s="1205"/>
      <c r="AD64" s="1205"/>
      <c r="AE64" s="1205"/>
      <c r="AF64" s="1205"/>
      <c r="AG64" s="1205"/>
      <c r="AH64" s="1205"/>
      <c r="AI64" s="1205"/>
      <c r="AJ64" s="1205"/>
      <c r="AK64" s="1205"/>
      <c r="AL64" s="1206">
        <f t="shared" si="4"/>
        <v>0</v>
      </c>
    </row>
    <row r="65" spans="1:66" s="1189" customFormat="1" ht="14.25" customHeight="1" x14ac:dyDescent="0.15">
      <c r="A65" s="1229" t="s">
        <v>5944</v>
      </c>
      <c r="B65" s="1229"/>
      <c r="C65" s="1201"/>
      <c r="D65" s="1201"/>
      <c r="E65" s="1228"/>
      <c r="F65" s="619"/>
      <c r="G65" s="619"/>
      <c r="H65" s="619"/>
      <c r="I65" s="621"/>
      <c r="J65" s="619"/>
      <c r="K65" s="619"/>
      <c r="L65" s="619"/>
      <c r="M65" s="619"/>
      <c r="N65" s="619"/>
      <c r="O65" s="1201"/>
      <c r="P65" s="1232"/>
      <c r="Q65" s="1201"/>
      <c r="R65" s="1201"/>
      <c r="S65" s="1201"/>
      <c r="T65" s="1201"/>
      <c r="U65" s="1201"/>
      <c r="V65" s="1220"/>
      <c r="W65" s="1208"/>
      <c r="X65" s="573"/>
      <c r="Y65" s="1201"/>
      <c r="Z65" s="1201"/>
      <c r="AA65" s="982"/>
      <c r="AB65" s="1205"/>
      <c r="AC65" s="1205"/>
      <c r="AD65" s="1205"/>
      <c r="AE65" s="1205"/>
      <c r="AF65" s="1205"/>
      <c r="AG65" s="1205"/>
      <c r="AH65" s="1205"/>
      <c r="AI65" s="1205"/>
      <c r="AJ65" s="1205"/>
      <c r="AK65" s="1205"/>
      <c r="AL65" s="1206">
        <f t="shared" si="4"/>
        <v>0</v>
      </c>
    </row>
    <row r="66" spans="1:66" s="1189" customFormat="1" ht="14.25" customHeight="1" x14ac:dyDescent="0.15">
      <c r="A66" s="1229" t="s">
        <v>6259</v>
      </c>
      <c r="B66" s="1229"/>
      <c r="C66" s="1201"/>
      <c r="D66" s="1201"/>
      <c r="E66" s="1228"/>
      <c r="F66" s="619"/>
      <c r="G66" s="619"/>
      <c r="H66" s="619"/>
      <c r="I66" s="621"/>
      <c r="J66" s="619"/>
      <c r="K66" s="619"/>
      <c r="L66" s="619"/>
      <c r="M66" s="619"/>
      <c r="N66" s="619">
        <v>155598458</v>
      </c>
      <c r="O66" s="1201"/>
      <c r="P66" s="1232"/>
      <c r="Q66" s="1201"/>
      <c r="R66" s="1201"/>
      <c r="S66" s="1201"/>
      <c r="T66" s="1201"/>
      <c r="U66" s="1201"/>
      <c r="V66" s="1220"/>
      <c r="W66" s="1208"/>
      <c r="X66" s="573">
        <v>58232586</v>
      </c>
      <c r="Y66" s="1201"/>
      <c r="Z66" s="1201"/>
      <c r="AA66" s="982"/>
      <c r="AB66" s="1205"/>
      <c r="AC66" s="1205"/>
      <c r="AD66" s="1205"/>
      <c r="AE66" s="1205"/>
      <c r="AF66" s="1205"/>
      <c r="AG66" s="1205"/>
      <c r="AH66" s="1205"/>
      <c r="AI66" s="1205"/>
      <c r="AJ66" s="1205"/>
      <c r="AK66" s="1205"/>
      <c r="AL66" s="1206"/>
    </row>
    <row r="67" spans="1:66" s="1189" customFormat="1" ht="14.25" customHeight="1" x14ac:dyDescent="0.15">
      <c r="A67" s="1229" t="s">
        <v>66</v>
      </c>
      <c r="B67" s="1229"/>
      <c r="C67" s="1201"/>
      <c r="D67" s="1201"/>
      <c r="E67" s="1228"/>
      <c r="F67" s="619"/>
      <c r="G67" s="619"/>
      <c r="H67" s="619"/>
      <c r="I67" s="621"/>
      <c r="J67" s="619"/>
      <c r="K67" s="619"/>
      <c r="L67" s="619"/>
      <c r="M67" s="619"/>
      <c r="N67" s="619"/>
      <c r="O67" s="1201"/>
      <c r="P67" s="1201"/>
      <c r="Q67" s="572"/>
      <c r="R67" s="1201"/>
      <c r="S67" s="1201"/>
      <c r="T67" s="1201"/>
      <c r="U67" s="1201"/>
      <c r="V67" s="1220"/>
      <c r="W67" s="1208"/>
      <c r="X67" s="573"/>
      <c r="Y67" s="1201"/>
      <c r="Z67" s="1201"/>
      <c r="AA67" s="982"/>
      <c r="AB67" s="1205"/>
      <c r="AC67" s="1205"/>
      <c r="AD67" s="1205"/>
      <c r="AE67" s="1205"/>
      <c r="AF67" s="1205"/>
      <c r="AG67" s="1205"/>
      <c r="AH67" s="1205"/>
      <c r="AI67" s="1205"/>
      <c r="AJ67" s="1205"/>
      <c r="AK67" s="1205"/>
      <c r="AL67" s="1206">
        <f t="shared" si="4"/>
        <v>0</v>
      </c>
    </row>
    <row r="68" spans="1:66" s="1189" customFormat="1" ht="14.25" customHeight="1" x14ac:dyDescent="0.15">
      <c r="A68" s="1229" t="s">
        <v>127</v>
      </c>
      <c r="B68" s="1229"/>
      <c r="C68" s="1201"/>
      <c r="D68" s="1201"/>
      <c r="E68" s="1228"/>
      <c r="F68" s="619"/>
      <c r="G68" s="619"/>
      <c r="H68" s="619"/>
      <c r="I68" s="621"/>
      <c r="J68" s="619"/>
      <c r="K68" s="619"/>
      <c r="L68" s="619"/>
      <c r="M68" s="619"/>
      <c r="N68" s="619"/>
      <c r="O68" s="1201"/>
      <c r="P68" s="1201"/>
      <c r="Q68" s="572"/>
      <c r="R68" s="1201"/>
      <c r="S68" s="1201"/>
      <c r="T68" s="1201"/>
      <c r="U68" s="1201"/>
      <c r="V68" s="1220"/>
      <c r="W68" s="1208"/>
      <c r="X68" s="573"/>
      <c r="Y68" s="1201"/>
      <c r="Z68" s="1201"/>
      <c r="AA68" s="982"/>
      <c r="AB68" s="1205"/>
      <c r="AC68" s="1205"/>
      <c r="AD68" s="1205"/>
      <c r="AE68" s="1205"/>
      <c r="AF68" s="1205"/>
      <c r="AG68" s="1205"/>
      <c r="AH68" s="1205"/>
      <c r="AI68" s="1205"/>
      <c r="AJ68" s="1205"/>
      <c r="AK68" s="1205"/>
      <c r="AL68" s="1206">
        <f t="shared" si="4"/>
        <v>0</v>
      </c>
    </row>
    <row r="69" spans="1:66" s="1189" customFormat="1" ht="14.25" customHeight="1" x14ac:dyDescent="0.15">
      <c r="A69" s="1229" t="s">
        <v>155</v>
      </c>
      <c r="B69" s="1229"/>
      <c r="C69" s="1201"/>
      <c r="D69" s="1201"/>
      <c r="E69" s="1228"/>
      <c r="F69" s="619"/>
      <c r="G69" s="619"/>
      <c r="H69" s="619"/>
      <c r="I69" s="621"/>
      <c r="J69" s="619"/>
      <c r="K69" s="619"/>
      <c r="L69" s="619"/>
      <c r="M69" s="619"/>
      <c r="N69" s="619"/>
      <c r="O69" s="1201"/>
      <c r="P69" s="1201"/>
      <c r="Q69" s="572"/>
      <c r="R69" s="1201"/>
      <c r="S69" s="1201"/>
      <c r="T69" s="1201"/>
      <c r="U69" s="1201"/>
      <c r="V69" s="1220"/>
      <c r="W69" s="1208"/>
      <c r="X69" s="573"/>
      <c r="Y69" s="1201"/>
      <c r="Z69" s="1201"/>
      <c r="AA69" s="982"/>
      <c r="AB69" s="1205"/>
      <c r="AC69" s="1205"/>
      <c r="AD69" s="1205"/>
      <c r="AE69" s="1205"/>
      <c r="AF69" s="1205"/>
      <c r="AG69" s="1205"/>
      <c r="AH69" s="1205"/>
      <c r="AI69" s="1205"/>
      <c r="AJ69" s="1205"/>
      <c r="AK69" s="1205"/>
      <c r="AL69" s="1206">
        <f t="shared" si="4"/>
        <v>0</v>
      </c>
    </row>
    <row r="70" spans="1:66" s="1189" customFormat="1" ht="14.25" customHeight="1" x14ac:dyDescent="0.15">
      <c r="A70" s="1229" t="s">
        <v>4910</v>
      </c>
      <c r="B70" s="1229"/>
      <c r="C70" s="1201"/>
      <c r="D70" s="1201"/>
      <c r="E70" s="1228"/>
      <c r="F70" s="619"/>
      <c r="G70" s="619"/>
      <c r="H70" s="619"/>
      <c r="I70" s="621"/>
      <c r="J70" s="619"/>
      <c r="K70" s="619"/>
      <c r="L70" s="619"/>
      <c r="M70" s="619"/>
      <c r="N70" s="619"/>
      <c r="O70" s="1201"/>
      <c r="P70" s="1201"/>
      <c r="Q70" s="572"/>
      <c r="R70" s="1201"/>
      <c r="S70" s="1201"/>
      <c r="T70" s="1201"/>
      <c r="U70" s="1201"/>
      <c r="V70" s="1220"/>
      <c r="W70" s="1208"/>
      <c r="X70" s="573"/>
      <c r="Y70" s="1201"/>
      <c r="Z70" s="1201"/>
      <c r="AA70" s="982"/>
      <c r="AB70" s="1205"/>
      <c r="AC70" s="1205"/>
      <c r="AD70" s="1205"/>
      <c r="AE70" s="1205"/>
      <c r="AF70" s="1205"/>
      <c r="AG70" s="1205"/>
      <c r="AH70" s="1205"/>
      <c r="AI70" s="1205"/>
      <c r="AJ70" s="1205"/>
      <c r="AK70" s="1205"/>
      <c r="AL70" s="1206">
        <f t="shared" si="4"/>
        <v>0</v>
      </c>
    </row>
    <row r="71" spans="1:66" s="1189" customFormat="1" ht="15" customHeight="1" x14ac:dyDescent="0.25">
      <c r="A71" s="1229" t="s">
        <v>68</v>
      </c>
      <c r="B71" s="1229"/>
      <c r="C71" s="1201"/>
      <c r="D71" s="1201"/>
      <c r="E71" s="1228"/>
      <c r="F71" s="619"/>
      <c r="G71" s="619"/>
      <c r="H71" s="619"/>
      <c r="I71" s="621"/>
      <c r="J71" s="619"/>
      <c r="K71" s="619"/>
      <c r="L71" s="619"/>
      <c r="M71" s="619"/>
      <c r="N71" s="619"/>
      <c r="O71" s="1201"/>
      <c r="P71" s="1201"/>
      <c r="Q71" s="572"/>
      <c r="R71" s="1201"/>
      <c r="S71" s="1201"/>
      <c r="T71" s="1201"/>
      <c r="U71" s="1201"/>
      <c r="V71" s="1220"/>
      <c r="W71" s="1208"/>
      <c r="X71" s="1201"/>
      <c r="Y71" s="1201"/>
      <c r="Z71" s="1201"/>
      <c r="AA71" s="982"/>
      <c r="AB71" s="1205"/>
      <c r="AC71" s="1205"/>
      <c r="AD71" s="1205"/>
      <c r="AE71" s="1205"/>
      <c r="AF71" s="1205"/>
      <c r="AG71" s="1205"/>
      <c r="AH71" s="1205"/>
      <c r="AI71" s="1205"/>
      <c r="AJ71" s="1205"/>
      <c r="AK71" s="1205"/>
      <c r="AL71" s="1206">
        <f t="shared" si="4"/>
        <v>0</v>
      </c>
    </row>
    <row r="72" spans="1:66" s="1189" customFormat="1" ht="14.25" customHeight="1" x14ac:dyDescent="0.15">
      <c r="A72" s="1229" t="s">
        <v>70</v>
      </c>
      <c r="B72" s="1229"/>
      <c r="C72" s="1201"/>
      <c r="D72" s="1201"/>
      <c r="E72" s="1228"/>
      <c r="F72" s="619"/>
      <c r="G72" s="619"/>
      <c r="H72" s="619"/>
      <c r="I72" s="621"/>
      <c r="J72" s="619"/>
      <c r="K72" s="619"/>
      <c r="L72" s="619"/>
      <c r="M72" s="619"/>
      <c r="N72" s="619"/>
      <c r="O72" s="1201"/>
      <c r="P72" s="1201"/>
      <c r="Q72" s="572"/>
      <c r="R72" s="1201"/>
      <c r="S72" s="1201"/>
      <c r="T72" s="1201"/>
      <c r="U72" s="1201"/>
      <c r="V72" s="1220"/>
      <c r="W72" s="1208"/>
      <c r="X72" s="573"/>
      <c r="Y72" s="1201"/>
      <c r="Z72" s="1201"/>
      <c r="AA72" s="982"/>
      <c r="AB72" s="1205"/>
      <c r="AC72" s="1205"/>
      <c r="AD72" s="1205"/>
      <c r="AE72" s="1205"/>
      <c r="AF72" s="1205"/>
      <c r="AG72" s="1205"/>
      <c r="AH72" s="1205"/>
      <c r="AI72" s="1205"/>
      <c r="AJ72" s="1205"/>
      <c r="AK72" s="1205"/>
      <c r="AL72" s="1206">
        <f t="shared" si="4"/>
        <v>0</v>
      </c>
    </row>
    <row r="73" spans="1:66" s="1189" customFormat="1" ht="10.5" x14ac:dyDescent="0.25">
      <c r="A73" s="1234" t="s">
        <v>203</v>
      </c>
      <c r="B73" s="1234"/>
      <c r="C73" s="1235">
        <f t="shared" ref="C73:AL73" si="5">SUM(C29:C72)</f>
        <v>0</v>
      </c>
      <c r="D73" s="1235">
        <f t="shared" si="5"/>
        <v>0</v>
      </c>
      <c r="E73" s="1235">
        <f t="shared" si="5"/>
        <v>0</v>
      </c>
      <c r="F73" s="1235">
        <f t="shared" si="5"/>
        <v>0</v>
      </c>
      <c r="G73" s="1235">
        <f t="shared" si="5"/>
        <v>0</v>
      </c>
      <c r="H73" s="1235">
        <f t="shared" si="5"/>
        <v>0</v>
      </c>
      <c r="I73" s="1235">
        <f t="shared" si="5"/>
        <v>0</v>
      </c>
      <c r="J73" s="1235">
        <f t="shared" si="5"/>
        <v>382437144</v>
      </c>
      <c r="K73" s="1235">
        <f t="shared" si="5"/>
        <v>0</v>
      </c>
      <c r="L73" s="1235">
        <f t="shared" si="5"/>
        <v>273386361</v>
      </c>
      <c r="M73" s="1235">
        <f t="shared" si="5"/>
        <v>947946512</v>
      </c>
      <c r="N73" s="1235">
        <f t="shared" si="5"/>
        <v>249935021</v>
      </c>
      <c r="O73" s="1235">
        <f t="shared" si="5"/>
        <v>0</v>
      </c>
      <c r="P73" s="1235">
        <f t="shared" si="5"/>
        <v>0</v>
      </c>
      <c r="Q73" s="1235">
        <f t="shared" si="5"/>
        <v>0</v>
      </c>
      <c r="R73" s="1235">
        <f t="shared" si="5"/>
        <v>1059102300</v>
      </c>
      <c r="S73" s="1235">
        <f t="shared" si="5"/>
        <v>128330142</v>
      </c>
      <c r="T73" s="1235">
        <f t="shared" si="5"/>
        <v>125921966</v>
      </c>
      <c r="U73" s="1235">
        <f t="shared" si="5"/>
        <v>298558331</v>
      </c>
      <c r="V73" s="1235">
        <f t="shared" si="5"/>
        <v>0</v>
      </c>
      <c r="W73" s="1235">
        <f t="shared" si="5"/>
        <v>0</v>
      </c>
      <c r="X73" s="1235">
        <f t="shared" si="5"/>
        <v>388356087</v>
      </c>
      <c r="Y73" s="1235">
        <f t="shared" si="5"/>
        <v>0</v>
      </c>
      <c r="Z73" s="1235">
        <f t="shared" si="5"/>
        <v>177942507</v>
      </c>
      <c r="AA73" s="1235">
        <f t="shared" si="5"/>
        <v>0</v>
      </c>
      <c r="AB73" s="1235">
        <f t="shared" si="5"/>
        <v>7574631</v>
      </c>
      <c r="AC73" s="1235">
        <f t="shared" si="5"/>
        <v>0</v>
      </c>
      <c r="AD73" s="1235">
        <f t="shared" si="5"/>
        <v>0</v>
      </c>
      <c r="AE73" s="1235">
        <f t="shared" si="5"/>
        <v>0</v>
      </c>
      <c r="AF73" s="1235">
        <f t="shared" si="5"/>
        <v>0</v>
      </c>
      <c r="AG73" s="1235">
        <f t="shared" si="5"/>
        <v>0</v>
      </c>
      <c r="AH73" s="1235">
        <f t="shared" si="5"/>
        <v>0</v>
      </c>
      <c r="AI73" s="1235">
        <f t="shared" si="5"/>
        <v>0</v>
      </c>
      <c r="AJ73" s="1235">
        <f t="shared" si="5"/>
        <v>0</v>
      </c>
      <c r="AK73" s="1235">
        <f t="shared" si="5"/>
        <v>0</v>
      </c>
      <c r="AL73" s="1235">
        <f t="shared" si="5"/>
        <v>2661416670</v>
      </c>
    </row>
    <row r="74" spans="1:66" s="1189" customFormat="1" ht="12" x14ac:dyDescent="0.25">
      <c r="O74" s="1236"/>
      <c r="AA74" s="1191"/>
      <c r="AB74" s="1192"/>
      <c r="AC74" s="1193"/>
      <c r="AD74" s="1192"/>
      <c r="AE74" s="1192"/>
      <c r="AF74" s="1192"/>
      <c r="AG74" s="1192"/>
      <c r="AH74" s="1192"/>
      <c r="AI74" s="1192"/>
      <c r="AJ74" s="1192"/>
      <c r="AK74" s="1192"/>
    </row>
    <row r="75" spans="1:66" s="1189" customFormat="1" ht="19.5" x14ac:dyDescent="0.25">
      <c r="A75" s="1237" t="s">
        <v>202</v>
      </c>
      <c r="B75" s="1237"/>
      <c r="C75" s="1238"/>
      <c r="D75" s="1239"/>
      <c r="E75" s="1238"/>
      <c r="F75" s="1238"/>
      <c r="G75" s="1238"/>
      <c r="H75" s="1238"/>
      <c r="I75" s="1238"/>
      <c r="J75" s="1238"/>
      <c r="K75" s="1239"/>
      <c r="L75" s="1238"/>
      <c r="M75" s="1238"/>
      <c r="N75" s="1238"/>
      <c r="O75" s="1238"/>
      <c r="P75" s="1238"/>
      <c r="Q75" s="1238"/>
      <c r="R75" s="1238"/>
      <c r="S75" s="1238"/>
      <c r="T75" s="1238"/>
      <c r="U75" s="1198"/>
      <c r="V75" s="1238"/>
      <c r="W75" s="1238"/>
      <c r="X75" s="1198"/>
      <c r="Y75" s="1198"/>
      <c r="Z75" s="1198"/>
      <c r="AA75" s="1240"/>
      <c r="AB75" s="298">
        <v>3591983239</v>
      </c>
      <c r="AC75" s="1241"/>
      <c r="AD75" s="1242"/>
      <c r="AE75" s="1242"/>
      <c r="AF75" s="1242"/>
      <c r="AG75" s="1242"/>
      <c r="AH75" s="1242"/>
      <c r="AI75" s="1242"/>
      <c r="AJ75" s="1242"/>
      <c r="AK75" s="1242"/>
      <c r="AL75" s="1238"/>
    </row>
    <row r="76" spans="1:66" s="1189" customFormat="1" x14ac:dyDescent="0.25">
      <c r="A76" s="1188" t="s">
        <v>228</v>
      </c>
      <c r="B76" s="1188"/>
      <c r="C76" s="1238"/>
      <c r="D76" s="1238"/>
      <c r="E76" s="1243"/>
      <c r="F76" s="1238"/>
      <c r="G76" s="1238"/>
      <c r="H76" s="1238"/>
      <c r="I76" s="1238"/>
      <c r="J76" s="1238"/>
      <c r="K76" s="299"/>
      <c r="L76" s="1244"/>
      <c r="M76" s="299"/>
      <c r="N76" s="1244"/>
      <c r="O76" s="1238"/>
      <c r="P76" s="1238"/>
      <c r="Q76" s="1238"/>
      <c r="R76" s="1238"/>
      <c r="S76" s="1238"/>
      <c r="T76" s="1238"/>
      <c r="U76" s="1198"/>
      <c r="V76" s="1238"/>
      <c r="W76" s="1238"/>
      <c r="X76" s="1198"/>
      <c r="Y76" s="1198"/>
      <c r="Z76" s="1198"/>
      <c r="AA76" s="1240"/>
      <c r="AB76" s="1245">
        <f>AB73-AB75</f>
        <v>-3584408608</v>
      </c>
      <c r="AC76" s="1241"/>
      <c r="AD76" s="1242"/>
      <c r="AE76" s="1242"/>
      <c r="AF76" s="1242"/>
      <c r="AG76" s="1242"/>
      <c r="AH76" s="1242"/>
      <c r="AI76" s="1242"/>
      <c r="AJ76" s="1242"/>
      <c r="AK76" s="1242"/>
      <c r="AL76" s="1238"/>
      <c r="AM76" s="1243"/>
      <c r="AN76" s="1243"/>
      <c r="AO76" s="1243"/>
      <c r="AP76" s="1243"/>
      <c r="AQ76" s="1243"/>
      <c r="AR76" s="1243"/>
      <c r="AS76" s="1243"/>
      <c r="AT76" s="1243"/>
      <c r="AU76" s="1243"/>
      <c r="AV76" s="1243"/>
      <c r="AW76" s="1243"/>
      <c r="AX76" s="1243"/>
      <c r="AY76" s="1243"/>
      <c r="AZ76" s="1243"/>
      <c r="BA76" s="1243"/>
      <c r="BB76" s="1243"/>
      <c r="BC76" s="1243"/>
      <c r="BD76" s="1243"/>
      <c r="BE76" s="1243"/>
      <c r="BF76" s="1243"/>
      <c r="BG76" s="1243"/>
      <c r="BH76" s="1243"/>
      <c r="BI76" s="1243"/>
      <c r="BJ76" s="1243"/>
      <c r="BK76" s="1243"/>
      <c r="BN76" s="1243"/>
    </row>
    <row r="77" spans="1:66" s="1189" customFormat="1" ht="14.25" x14ac:dyDescent="0.25">
      <c r="A77" s="1464" t="s">
        <v>139</v>
      </c>
      <c r="B77" s="1246"/>
      <c r="C77" s="1246"/>
      <c r="D77" s="1246"/>
      <c r="E77" s="1470" t="s">
        <v>24</v>
      </c>
      <c r="F77" s="1471"/>
      <c r="G77" s="1471"/>
      <c r="H77" s="1471"/>
      <c r="I77" s="1471"/>
      <c r="J77" s="1471"/>
      <c r="K77" s="1471"/>
      <c r="L77" s="1471"/>
      <c r="M77" s="1471"/>
      <c r="N77" s="1471"/>
      <c r="O77" s="1471"/>
      <c r="P77" s="1471"/>
      <c r="Q77" s="1471"/>
      <c r="R77" s="1471"/>
      <c r="S77" s="1471"/>
      <c r="T77" s="1471"/>
      <c r="U77" s="1471"/>
      <c r="V77" s="1471"/>
      <c r="W77" s="1471"/>
      <c r="X77" s="1471"/>
      <c r="Y77" s="1471"/>
      <c r="Z77" s="1471"/>
      <c r="AA77" s="1471"/>
      <c r="AB77" s="1471"/>
      <c r="AC77" s="1471"/>
      <c r="AD77" s="1471"/>
      <c r="AE77" s="1471"/>
      <c r="AF77" s="1471"/>
      <c r="AG77" s="1471"/>
      <c r="AH77" s="1471"/>
      <c r="AI77" s="1471"/>
      <c r="AJ77" s="1471"/>
      <c r="AK77" s="1471"/>
      <c r="AL77" s="1472"/>
    </row>
    <row r="78" spans="1:66" s="1248" customFormat="1" ht="11.25" x14ac:dyDescent="0.25">
      <c r="A78" s="1464"/>
      <c r="B78" s="1247"/>
      <c r="C78" s="1196">
        <v>2</v>
      </c>
      <c r="D78" s="1196">
        <v>3</v>
      </c>
      <c r="E78" s="1196">
        <v>4</v>
      </c>
      <c r="F78" s="1196">
        <v>5</v>
      </c>
      <c r="G78" s="1196">
        <v>6</v>
      </c>
      <c r="H78" s="1196">
        <v>7</v>
      </c>
      <c r="I78" s="1196">
        <v>8</v>
      </c>
      <c r="J78" s="1196">
        <v>9</v>
      </c>
      <c r="K78" s="1196">
        <v>10</v>
      </c>
      <c r="L78" s="1196">
        <v>11</v>
      </c>
      <c r="M78" s="1196">
        <v>12</v>
      </c>
      <c r="N78" s="1196">
        <v>13</v>
      </c>
      <c r="O78" s="1196">
        <v>14</v>
      </c>
      <c r="P78" s="1196">
        <v>15</v>
      </c>
      <c r="Q78" s="1196">
        <v>16</v>
      </c>
      <c r="R78" s="1196">
        <v>17</v>
      </c>
      <c r="S78" s="1196">
        <v>18</v>
      </c>
      <c r="T78" s="1196">
        <v>19</v>
      </c>
      <c r="U78" s="1196">
        <v>20</v>
      </c>
      <c r="V78" s="1196">
        <v>21</v>
      </c>
      <c r="W78" s="1196">
        <v>22</v>
      </c>
      <c r="X78" s="1196">
        <v>23</v>
      </c>
      <c r="Y78" s="1196">
        <v>24</v>
      </c>
      <c r="Z78" s="1196">
        <v>25</v>
      </c>
      <c r="AA78" s="1196">
        <v>26</v>
      </c>
      <c r="AB78" s="1196">
        <v>27</v>
      </c>
      <c r="AC78" s="1196">
        <v>28</v>
      </c>
      <c r="AD78" s="1196">
        <v>29</v>
      </c>
      <c r="AE78" s="1196">
        <v>30</v>
      </c>
      <c r="AF78" s="1196">
        <v>31</v>
      </c>
      <c r="AG78" s="1196">
        <v>32</v>
      </c>
      <c r="AH78" s="1196">
        <v>33</v>
      </c>
      <c r="AI78" s="1196">
        <v>34</v>
      </c>
      <c r="AJ78" s="1196">
        <v>35</v>
      </c>
      <c r="AK78" s="1196">
        <v>36</v>
      </c>
      <c r="AL78" s="1460" t="s">
        <v>24</v>
      </c>
    </row>
    <row r="79" spans="1:66" s="1189" customFormat="1" ht="12" x14ac:dyDescent="0.25">
      <c r="A79" s="1464"/>
      <c r="B79" s="1247"/>
      <c r="C79" s="1247" t="s">
        <v>227</v>
      </c>
      <c r="D79" s="1249" t="s">
        <v>227</v>
      </c>
      <c r="E79" s="1247" t="s">
        <v>227</v>
      </c>
      <c r="F79" s="1247" t="s">
        <v>227</v>
      </c>
      <c r="G79" s="1247" t="s">
        <v>227</v>
      </c>
      <c r="H79" s="1247" t="s">
        <v>227</v>
      </c>
      <c r="I79" s="1247" t="s">
        <v>227</v>
      </c>
      <c r="J79" s="1247" t="s">
        <v>227</v>
      </c>
      <c r="K79" s="1247" t="s">
        <v>227</v>
      </c>
      <c r="L79" s="1247" t="s">
        <v>227</v>
      </c>
      <c r="M79" s="1247" t="s">
        <v>227</v>
      </c>
      <c r="N79" s="1247" t="s">
        <v>227</v>
      </c>
      <c r="O79" s="1247" t="s">
        <v>227</v>
      </c>
      <c r="P79" s="1247" t="s">
        <v>227</v>
      </c>
      <c r="Q79" s="1247" t="s">
        <v>227</v>
      </c>
      <c r="R79" s="1247" t="s">
        <v>227</v>
      </c>
      <c r="S79" s="1247" t="s">
        <v>227</v>
      </c>
      <c r="T79" s="1247" t="s">
        <v>227</v>
      </c>
      <c r="U79" s="1196" t="s">
        <v>227</v>
      </c>
      <c r="V79" s="1247" t="s">
        <v>227</v>
      </c>
      <c r="W79" s="1247" t="s">
        <v>227</v>
      </c>
      <c r="X79" s="1196" t="s">
        <v>227</v>
      </c>
      <c r="Y79" s="1196" t="s">
        <v>227</v>
      </c>
      <c r="Z79" s="1196" t="s">
        <v>227</v>
      </c>
      <c r="AA79" s="1250" t="s">
        <v>227</v>
      </c>
      <c r="AB79" s="1251" t="s">
        <v>227</v>
      </c>
      <c r="AC79" s="1252" t="s">
        <v>227</v>
      </c>
      <c r="AD79" s="1251" t="s">
        <v>227</v>
      </c>
      <c r="AE79" s="1253"/>
      <c r="AF79" s="1253"/>
      <c r="AG79" s="1253"/>
      <c r="AH79" s="1253"/>
      <c r="AI79" s="1253"/>
      <c r="AJ79" s="1253"/>
      <c r="AK79" s="1253"/>
      <c r="AL79" s="1461"/>
    </row>
    <row r="80" spans="1:66" s="1189" customFormat="1" ht="12.75" x14ac:dyDescent="0.15">
      <c r="A80" s="1254" t="s">
        <v>86</v>
      </c>
      <c r="B80" s="1254"/>
      <c r="C80" s="1255"/>
      <c r="D80" s="1255"/>
      <c r="E80" s="1256"/>
      <c r="F80" s="1183"/>
      <c r="G80" s="1256"/>
      <c r="H80" s="1256"/>
      <c r="I80" s="1256"/>
      <c r="J80" s="1256">
        <v>9793050</v>
      </c>
      <c r="K80" s="1256"/>
      <c r="L80" s="866"/>
      <c r="M80" s="866"/>
      <c r="N80" s="866"/>
      <c r="O80" s="866"/>
      <c r="P80" s="866"/>
      <c r="Q80" s="866"/>
      <c r="R80" s="1257">
        <v>8821700</v>
      </c>
      <c r="S80" s="866"/>
      <c r="T80" s="1258"/>
      <c r="U80" s="1201"/>
      <c r="V80" s="866"/>
      <c r="W80" s="866"/>
      <c r="X80" s="572">
        <v>9791102</v>
      </c>
      <c r="Y80" s="1201"/>
      <c r="Z80" s="573"/>
      <c r="AA80" s="982"/>
      <c r="AB80" s="1259"/>
      <c r="AC80" s="1260"/>
      <c r="AD80" s="1259"/>
      <c r="AE80" s="1259"/>
      <c r="AF80" s="1259"/>
      <c r="AG80" s="1259"/>
      <c r="AH80" s="1259"/>
      <c r="AI80" s="1259"/>
      <c r="AJ80" s="1259"/>
      <c r="AK80" s="1259"/>
      <c r="AL80" s="1206">
        <f>SUM(C80:AK80)</f>
        <v>28405852</v>
      </c>
    </row>
    <row r="81" spans="1:66" s="1189" customFormat="1" ht="12.75" x14ac:dyDescent="0.15">
      <c r="A81" s="1254" t="s">
        <v>146</v>
      </c>
      <c r="B81" s="1254"/>
      <c r="C81" s="1255"/>
      <c r="D81" s="1255"/>
      <c r="E81" s="1256"/>
      <c r="F81" s="1261"/>
      <c r="G81" s="1256"/>
      <c r="H81" s="1256"/>
      <c r="I81" s="1256"/>
      <c r="J81" s="1256">
        <v>12939885</v>
      </c>
      <c r="K81" s="1256"/>
      <c r="L81" s="866"/>
      <c r="M81" s="866"/>
      <c r="N81" s="866"/>
      <c r="O81" s="1232"/>
      <c r="P81" s="866"/>
      <c r="Q81" s="866"/>
      <c r="R81" s="1257">
        <v>14958712</v>
      </c>
      <c r="S81" s="866"/>
      <c r="T81" s="1258"/>
      <c r="U81" s="1201"/>
      <c r="V81" s="866"/>
      <c r="W81" s="866"/>
      <c r="X81" s="572">
        <v>15158791</v>
      </c>
      <c r="Y81" s="1201"/>
      <c r="Z81" s="1201"/>
      <c r="AA81" s="982"/>
      <c r="AB81" s="1259"/>
      <c r="AC81" s="1260"/>
      <c r="AD81" s="1259"/>
      <c r="AE81" s="1259"/>
      <c r="AF81" s="1259"/>
      <c r="AG81" s="1259"/>
      <c r="AH81" s="1259"/>
      <c r="AI81" s="1259"/>
      <c r="AJ81" s="1259"/>
      <c r="AK81" s="1259"/>
      <c r="AL81" s="1206">
        <f t="shared" ref="AL81:AL92" si="6">SUM(C81:AK81)</f>
        <v>43057388</v>
      </c>
    </row>
    <row r="82" spans="1:66" s="1189" customFormat="1" ht="13.5" customHeight="1" x14ac:dyDescent="0.15">
      <c r="A82" s="1254" t="s">
        <v>142</v>
      </c>
      <c r="B82" s="1254"/>
      <c r="C82" s="1255"/>
      <c r="D82" s="1255"/>
      <c r="E82" s="1256"/>
      <c r="F82" s="1261"/>
      <c r="G82" s="1256"/>
      <c r="H82" s="1256"/>
      <c r="I82" s="1256"/>
      <c r="J82" s="1256">
        <v>10725162</v>
      </c>
      <c r="K82" s="1256"/>
      <c r="L82" s="866"/>
      <c r="M82" s="866"/>
      <c r="N82" s="866"/>
      <c r="O82" s="1232"/>
      <c r="P82" s="866"/>
      <c r="Q82" s="866"/>
      <c r="R82" s="1257">
        <v>12641232</v>
      </c>
      <c r="S82" s="866"/>
      <c r="T82" s="1258"/>
      <c r="U82" s="1201"/>
      <c r="V82" s="866"/>
      <c r="W82" s="866"/>
      <c r="X82" s="572">
        <v>12880283</v>
      </c>
      <c r="Y82" s="1201"/>
      <c r="Z82" s="1201"/>
      <c r="AA82" s="982"/>
      <c r="AB82" s="1259"/>
      <c r="AC82" s="1260"/>
      <c r="AD82" s="1259"/>
      <c r="AE82" s="1259"/>
      <c r="AF82" s="1259"/>
      <c r="AG82" s="1259"/>
      <c r="AH82" s="1259"/>
      <c r="AI82" s="1259"/>
      <c r="AJ82" s="1259"/>
      <c r="AK82" s="1259"/>
      <c r="AL82" s="1206">
        <f t="shared" si="6"/>
        <v>36246677</v>
      </c>
    </row>
    <row r="83" spans="1:66" s="1189" customFormat="1" ht="12.75" x14ac:dyDescent="0.15">
      <c r="A83" s="1254" t="s">
        <v>149</v>
      </c>
      <c r="B83" s="1254"/>
      <c r="C83" s="1255"/>
      <c r="D83" s="1255"/>
      <c r="E83" s="1256"/>
      <c r="F83" s="1261"/>
      <c r="G83" s="1256"/>
      <c r="H83" s="1256"/>
      <c r="I83" s="1256"/>
      <c r="J83" s="1256">
        <v>11791050</v>
      </c>
      <c r="K83" s="1256"/>
      <c r="L83" s="866"/>
      <c r="M83" s="866"/>
      <c r="N83" s="866"/>
      <c r="O83" s="1232"/>
      <c r="P83" s="866"/>
      <c r="Q83" s="866"/>
      <c r="R83" s="1257">
        <v>11388200</v>
      </c>
      <c r="S83" s="866"/>
      <c r="T83" s="1258"/>
      <c r="U83" s="1201"/>
      <c r="V83" s="866"/>
      <c r="W83" s="866"/>
      <c r="X83" s="572">
        <v>10807600</v>
      </c>
      <c r="Y83" s="1201"/>
      <c r="Z83" s="1201"/>
      <c r="AA83" s="982"/>
      <c r="AB83" s="1259"/>
      <c r="AC83" s="1260"/>
      <c r="AD83" s="1259"/>
      <c r="AE83" s="1259"/>
      <c r="AF83" s="1259"/>
      <c r="AG83" s="1259"/>
      <c r="AH83" s="1259"/>
      <c r="AI83" s="1259"/>
      <c r="AJ83" s="1259"/>
      <c r="AK83" s="1259"/>
      <c r="AL83" s="1206">
        <f t="shared" si="6"/>
        <v>33986850</v>
      </c>
    </row>
    <row r="84" spans="1:66" s="1189" customFormat="1" ht="12.75" x14ac:dyDescent="0.15">
      <c r="A84" s="1254" t="s">
        <v>148</v>
      </c>
      <c r="B84" s="1254"/>
      <c r="C84" s="1255"/>
      <c r="D84" s="1255"/>
      <c r="E84" s="1256"/>
      <c r="F84" s="1261"/>
      <c r="G84" s="1256"/>
      <c r="H84" s="1256"/>
      <c r="I84" s="1256"/>
      <c r="J84" s="1256">
        <v>36118320</v>
      </c>
      <c r="K84" s="1256"/>
      <c r="L84" s="866"/>
      <c r="M84" s="866"/>
      <c r="N84" s="866"/>
      <c r="O84" s="1232"/>
      <c r="P84" s="866"/>
      <c r="Q84" s="866"/>
      <c r="R84" s="1257">
        <v>35241140</v>
      </c>
      <c r="S84" s="866"/>
      <c r="T84" s="1258"/>
      <c r="U84" s="1201"/>
      <c r="V84" s="866"/>
      <c r="W84" s="866"/>
      <c r="X84" s="572">
        <v>35052248</v>
      </c>
      <c r="Y84" s="1201"/>
      <c r="Z84" s="1201"/>
      <c r="AA84" s="982"/>
      <c r="AB84" s="1259"/>
      <c r="AC84" s="1260"/>
      <c r="AD84" s="1259"/>
      <c r="AE84" s="1259"/>
      <c r="AF84" s="1259"/>
      <c r="AG84" s="1259"/>
      <c r="AH84" s="1259"/>
      <c r="AI84" s="1259"/>
      <c r="AJ84" s="1259"/>
      <c r="AK84" s="1259"/>
      <c r="AL84" s="1206">
        <f t="shared" si="6"/>
        <v>106411708</v>
      </c>
    </row>
    <row r="85" spans="1:66" s="1189" customFormat="1" ht="12.75" x14ac:dyDescent="0.25">
      <c r="A85" s="1254" t="s">
        <v>140</v>
      </c>
      <c r="B85" s="1254"/>
      <c r="C85" s="1255"/>
      <c r="D85" s="1255"/>
      <c r="E85" s="1256"/>
      <c r="F85" s="1261"/>
      <c r="G85" s="1256"/>
      <c r="H85" s="1256"/>
      <c r="I85" s="1256"/>
      <c r="J85" s="1256">
        <v>13960205</v>
      </c>
      <c r="K85" s="1256"/>
      <c r="L85" s="866"/>
      <c r="M85" s="866"/>
      <c r="N85" s="866"/>
      <c r="O85" s="1232"/>
      <c r="P85" s="866"/>
      <c r="Q85" s="866"/>
      <c r="R85" s="1261">
        <v>17527374</v>
      </c>
      <c r="S85" s="866"/>
      <c r="T85" s="866"/>
      <c r="U85" s="1201"/>
      <c r="V85" s="866"/>
      <c r="W85" s="866"/>
      <c r="X85" s="572">
        <v>15996205</v>
      </c>
      <c r="Y85" s="1201"/>
      <c r="Z85" s="1201"/>
      <c r="AA85" s="982"/>
      <c r="AB85" s="1259"/>
      <c r="AC85" s="1260"/>
      <c r="AD85" s="1259"/>
      <c r="AE85" s="1259"/>
      <c r="AF85" s="1259"/>
      <c r="AG85" s="1259"/>
      <c r="AH85" s="1259"/>
      <c r="AI85" s="1259"/>
      <c r="AJ85" s="1259"/>
      <c r="AK85" s="1259"/>
      <c r="AL85" s="1206">
        <f t="shared" si="6"/>
        <v>47483784</v>
      </c>
    </row>
    <row r="86" spans="1:66" s="1189" customFormat="1" x14ac:dyDescent="0.25">
      <c r="A86" s="1254" t="s">
        <v>145</v>
      </c>
      <c r="B86" s="1254"/>
      <c r="C86" s="1255"/>
      <c r="D86" s="1255"/>
      <c r="E86" s="1256"/>
      <c r="F86" s="1261"/>
      <c r="G86" s="1256"/>
      <c r="H86" s="1256"/>
      <c r="I86" s="1256"/>
      <c r="J86" s="1256">
        <v>12009413</v>
      </c>
      <c r="K86" s="1256"/>
      <c r="L86" s="866"/>
      <c r="M86" s="866"/>
      <c r="N86" s="866"/>
      <c r="O86" s="1232"/>
      <c r="P86" s="866"/>
      <c r="Q86" s="866"/>
      <c r="R86" s="1257">
        <v>11927439</v>
      </c>
      <c r="S86" s="866"/>
      <c r="T86" s="866"/>
      <c r="U86" s="1201"/>
      <c r="V86" s="866"/>
      <c r="X86" s="572">
        <v>11810331</v>
      </c>
      <c r="Y86" s="866"/>
      <c r="Z86" s="1201"/>
      <c r="AA86" s="982"/>
      <c r="AB86" s="1262"/>
      <c r="AC86" s="1263"/>
      <c r="AD86" s="1264"/>
      <c r="AE86" s="1264"/>
      <c r="AF86" s="1264"/>
      <c r="AG86" s="1264"/>
      <c r="AH86" s="1264"/>
      <c r="AI86" s="1264"/>
      <c r="AJ86" s="1264"/>
      <c r="AK86" s="1264"/>
      <c r="AL86" s="1206">
        <f t="shared" si="6"/>
        <v>35747183</v>
      </c>
    </row>
    <row r="87" spans="1:66" s="1189" customFormat="1" x14ac:dyDescent="0.25">
      <c r="A87" s="1254" t="s">
        <v>141</v>
      </c>
      <c r="B87" s="1254"/>
      <c r="C87" s="1255"/>
      <c r="D87" s="1255"/>
      <c r="E87" s="1256"/>
      <c r="F87" s="1261"/>
      <c r="G87" s="1256"/>
      <c r="H87" s="1256"/>
      <c r="I87" s="1256"/>
      <c r="J87" s="1256">
        <v>6651619</v>
      </c>
      <c r="K87" s="1256"/>
      <c r="L87" s="866"/>
      <c r="M87" s="866"/>
      <c r="N87" s="866"/>
      <c r="O87" s="866"/>
      <c r="P87" s="866"/>
      <c r="Q87" s="866"/>
      <c r="R87" s="1257">
        <v>7284286</v>
      </c>
      <c r="S87" s="866"/>
      <c r="T87" s="866"/>
      <c r="U87" s="1201"/>
      <c r="V87" s="866"/>
      <c r="W87" s="866"/>
      <c r="X87" s="572">
        <v>7329901</v>
      </c>
      <c r="Y87" s="1201"/>
      <c r="Z87" s="1201"/>
      <c r="AA87" s="982"/>
      <c r="AB87" s="1262"/>
      <c r="AC87" s="1263"/>
      <c r="AD87" s="1264"/>
      <c r="AE87" s="1264"/>
      <c r="AF87" s="1264"/>
      <c r="AG87" s="1264"/>
      <c r="AH87" s="1264"/>
      <c r="AI87" s="1264"/>
      <c r="AJ87" s="1264"/>
      <c r="AK87" s="1264"/>
      <c r="AL87" s="1206">
        <f t="shared" si="6"/>
        <v>21265806</v>
      </c>
    </row>
    <row r="88" spans="1:66" s="1189" customFormat="1" x14ac:dyDescent="0.25">
      <c r="A88" s="1254" t="s">
        <v>144</v>
      </c>
      <c r="B88" s="1254"/>
      <c r="C88" s="866"/>
      <c r="D88" s="1255"/>
      <c r="E88" s="1256"/>
      <c r="F88" s="1261"/>
      <c r="G88" s="1256"/>
      <c r="H88" s="1256"/>
      <c r="I88" s="1256"/>
      <c r="J88" s="1256">
        <v>10585047</v>
      </c>
      <c r="K88" s="1256"/>
      <c r="L88" s="866"/>
      <c r="M88" s="866"/>
      <c r="N88" s="866"/>
      <c r="O88" s="866"/>
      <c r="P88" s="866"/>
      <c r="Q88" s="866"/>
      <c r="R88" s="1257">
        <v>13766653</v>
      </c>
      <c r="S88" s="866"/>
      <c r="T88" s="866"/>
      <c r="U88" s="1201"/>
      <c r="V88" s="866"/>
      <c r="W88" s="866"/>
      <c r="X88" s="572">
        <v>12383234</v>
      </c>
      <c r="Y88" s="1201"/>
      <c r="Z88" s="1201"/>
      <c r="AA88" s="982"/>
      <c r="AB88" s="1262"/>
      <c r="AC88" s="1263"/>
      <c r="AD88" s="1264"/>
      <c r="AE88" s="1264"/>
      <c r="AF88" s="1264"/>
      <c r="AG88" s="1264"/>
      <c r="AH88" s="1264"/>
      <c r="AI88" s="1264"/>
      <c r="AJ88" s="1264"/>
      <c r="AK88" s="1264"/>
      <c r="AL88" s="1206">
        <f t="shared" si="6"/>
        <v>36734934</v>
      </c>
    </row>
    <row r="89" spans="1:66" s="1189" customFormat="1" x14ac:dyDescent="0.25">
      <c r="A89" s="1254" t="s">
        <v>226</v>
      </c>
      <c r="B89" s="1254"/>
      <c r="C89" s="1255"/>
      <c r="D89" s="1255"/>
      <c r="E89" s="1256"/>
      <c r="F89" s="1261"/>
      <c r="G89" s="1256"/>
      <c r="H89" s="1256"/>
      <c r="I89" s="1256"/>
      <c r="J89" s="1256">
        <v>15393109</v>
      </c>
      <c r="K89" s="1256"/>
      <c r="M89" s="866"/>
      <c r="N89" s="866"/>
      <c r="O89" s="866"/>
      <c r="P89" s="866"/>
      <c r="Q89" s="866"/>
      <c r="R89" s="1257">
        <v>17096609</v>
      </c>
      <c r="S89" s="866"/>
      <c r="T89" s="866"/>
      <c r="U89" s="1201"/>
      <c r="V89" s="866"/>
      <c r="W89" s="866"/>
      <c r="X89" s="572">
        <v>15778225</v>
      </c>
      <c r="Y89" s="1201"/>
      <c r="Z89" s="1201"/>
      <c r="AA89" s="982"/>
      <c r="AB89" s="1262"/>
      <c r="AC89" s="1263"/>
      <c r="AD89" s="1264"/>
      <c r="AE89" s="1264"/>
      <c r="AF89" s="1264"/>
      <c r="AG89" s="1264"/>
      <c r="AH89" s="1264"/>
      <c r="AI89" s="1264"/>
      <c r="AJ89" s="1264"/>
      <c r="AK89" s="1264"/>
      <c r="AL89" s="1206">
        <f t="shared" si="6"/>
        <v>48267943</v>
      </c>
    </row>
    <row r="90" spans="1:66" s="1189" customFormat="1" x14ac:dyDescent="0.25">
      <c r="A90" s="1254" t="s">
        <v>143</v>
      </c>
      <c r="B90" s="1254"/>
      <c r="C90" s="1255"/>
      <c r="D90" s="1255"/>
      <c r="E90" s="1256"/>
      <c r="F90" s="1261"/>
      <c r="G90" s="1256"/>
      <c r="H90" s="1256"/>
      <c r="I90" s="1256"/>
      <c r="J90" s="1256">
        <v>28566797</v>
      </c>
      <c r="K90" s="1256"/>
      <c r="L90" s="866"/>
      <c r="M90" s="866"/>
      <c r="N90" s="866"/>
      <c r="O90" s="866"/>
      <c r="P90" s="866"/>
      <c r="Q90" s="866"/>
      <c r="R90" s="1257">
        <v>28982751</v>
      </c>
      <c r="S90" s="866"/>
      <c r="T90" s="866"/>
      <c r="U90" s="1201"/>
      <c r="V90" s="866"/>
      <c r="W90" s="866"/>
      <c r="X90" s="572">
        <v>28424292</v>
      </c>
      <c r="Y90" s="1201"/>
      <c r="Z90" s="1201"/>
      <c r="AA90" s="982"/>
      <c r="AB90" s="1262"/>
      <c r="AC90" s="1263"/>
      <c r="AD90" s="1259"/>
      <c r="AE90" s="1259"/>
      <c r="AF90" s="1259"/>
      <c r="AG90" s="1259"/>
      <c r="AH90" s="1259"/>
      <c r="AI90" s="1259"/>
      <c r="AJ90" s="1259"/>
      <c r="AK90" s="1259"/>
      <c r="AL90" s="1206">
        <f t="shared" si="6"/>
        <v>85973840</v>
      </c>
    </row>
    <row r="91" spans="1:66" s="1189" customFormat="1" x14ac:dyDescent="0.25">
      <c r="A91" s="1254" t="s">
        <v>4751</v>
      </c>
      <c r="B91" s="1254"/>
      <c r="C91" s="1255"/>
      <c r="D91" s="1255"/>
      <c r="E91" s="1256"/>
      <c r="F91" s="1261"/>
      <c r="G91" s="1256"/>
      <c r="H91" s="1256"/>
      <c r="I91" s="1256"/>
      <c r="J91" s="1256">
        <v>16837797</v>
      </c>
      <c r="K91" s="1256"/>
      <c r="L91" s="866"/>
      <c r="M91" s="866"/>
      <c r="N91" s="866"/>
      <c r="O91" s="1232"/>
      <c r="P91" s="866"/>
      <c r="Q91" s="866"/>
      <c r="R91" s="1261">
        <v>15502132</v>
      </c>
      <c r="S91" s="866"/>
      <c r="T91" s="866"/>
      <c r="U91" s="1201"/>
      <c r="V91" s="866"/>
      <c r="W91" s="866"/>
      <c r="X91" s="572">
        <v>15249784</v>
      </c>
      <c r="Y91" s="1201"/>
      <c r="AA91" s="982"/>
      <c r="AB91" s="1262"/>
      <c r="AC91" s="1263"/>
      <c r="AD91" s="1264"/>
      <c r="AE91" s="1264"/>
      <c r="AF91" s="1264"/>
      <c r="AG91" s="1264"/>
      <c r="AH91" s="1264"/>
      <c r="AI91" s="1264"/>
      <c r="AJ91" s="1264"/>
      <c r="AK91" s="1264"/>
      <c r="AL91" s="1206">
        <f t="shared" si="6"/>
        <v>47589713</v>
      </c>
    </row>
    <row r="92" spans="1:66" s="1189" customFormat="1" ht="12.75" x14ac:dyDescent="0.25">
      <c r="A92" s="1254" t="s">
        <v>225</v>
      </c>
      <c r="B92" s="1254"/>
      <c r="C92" s="1255"/>
      <c r="D92" s="1265"/>
      <c r="E92" s="1256"/>
      <c r="F92" s="1256"/>
      <c r="G92" s="1256"/>
      <c r="H92" s="1256"/>
      <c r="I92" s="1256"/>
      <c r="J92" s="1256"/>
      <c r="K92" s="1256">
        <v>15000000</v>
      </c>
      <c r="L92" s="866"/>
      <c r="M92" s="866"/>
      <c r="N92" s="866"/>
      <c r="O92" s="866"/>
      <c r="P92" s="866"/>
      <c r="Q92" s="866"/>
      <c r="R92" s="1261">
        <f>996000+580000</f>
        <v>1576000</v>
      </c>
      <c r="S92" s="866"/>
      <c r="T92" s="866"/>
      <c r="U92" s="1201"/>
      <c r="V92" s="866"/>
      <c r="W92" s="866"/>
      <c r="X92" s="572"/>
      <c r="Y92" s="1201"/>
      <c r="Z92" s="1201"/>
      <c r="AA92" s="982"/>
      <c r="AB92" s="1259"/>
      <c r="AC92" s="1266"/>
      <c r="AD92" s="1259"/>
      <c r="AE92" s="1259"/>
      <c r="AF92" s="1259"/>
      <c r="AG92" s="1259"/>
      <c r="AH92" s="1259"/>
      <c r="AI92" s="1259"/>
      <c r="AJ92" s="1259"/>
      <c r="AK92" s="1259"/>
      <c r="AL92" s="1206">
        <f t="shared" si="6"/>
        <v>16576000</v>
      </c>
    </row>
    <row r="93" spans="1:66" s="1189" customFormat="1" ht="12.75" x14ac:dyDescent="0.25">
      <c r="A93" s="1267" t="s">
        <v>203</v>
      </c>
      <c r="B93" s="1267"/>
      <c r="C93" s="1268">
        <f>SUM(C80:C92)</f>
        <v>0</v>
      </c>
      <c r="D93" s="1268">
        <f t="shared" ref="D93:AK93" si="7">SUM(D80:D92)</f>
        <v>0</v>
      </c>
      <c r="E93" s="1268">
        <f t="shared" si="7"/>
        <v>0</v>
      </c>
      <c r="F93" s="1268">
        <f t="shared" si="7"/>
        <v>0</v>
      </c>
      <c r="G93" s="1268">
        <f t="shared" si="7"/>
        <v>0</v>
      </c>
      <c r="H93" s="1268">
        <f t="shared" si="7"/>
        <v>0</v>
      </c>
      <c r="I93" s="1268">
        <f t="shared" si="7"/>
        <v>0</v>
      </c>
      <c r="J93" s="1268">
        <f t="shared" si="7"/>
        <v>185371454</v>
      </c>
      <c r="K93" s="1268">
        <f t="shared" si="7"/>
        <v>15000000</v>
      </c>
      <c r="L93" s="1268">
        <f t="shared" si="7"/>
        <v>0</v>
      </c>
      <c r="M93" s="1268">
        <f t="shared" si="7"/>
        <v>0</v>
      </c>
      <c r="N93" s="1268">
        <f t="shared" si="7"/>
        <v>0</v>
      </c>
      <c r="O93" s="1268">
        <f t="shared" si="7"/>
        <v>0</v>
      </c>
      <c r="P93" s="1268">
        <f t="shared" si="7"/>
        <v>0</v>
      </c>
      <c r="Q93" s="1268">
        <f t="shared" si="7"/>
        <v>0</v>
      </c>
      <c r="R93" s="1268">
        <f t="shared" si="7"/>
        <v>196714228</v>
      </c>
      <c r="S93" s="1268">
        <f t="shared" si="7"/>
        <v>0</v>
      </c>
      <c r="T93" s="1268">
        <f t="shared" si="7"/>
        <v>0</v>
      </c>
      <c r="U93" s="1268">
        <f t="shared" si="7"/>
        <v>0</v>
      </c>
      <c r="V93" s="1268">
        <f t="shared" si="7"/>
        <v>0</v>
      </c>
      <c r="W93" s="1268">
        <f t="shared" si="7"/>
        <v>0</v>
      </c>
      <c r="X93" s="1268">
        <f t="shared" si="7"/>
        <v>190661996</v>
      </c>
      <c r="Y93" s="1268">
        <f t="shared" si="7"/>
        <v>0</v>
      </c>
      <c r="Z93" s="1268">
        <f t="shared" si="7"/>
        <v>0</v>
      </c>
      <c r="AA93" s="1268">
        <f t="shared" si="7"/>
        <v>0</v>
      </c>
      <c r="AB93" s="1268">
        <f t="shared" si="7"/>
        <v>0</v>
      </c>
      <c r="AC93" s="1268">
        <f t="shared" si="7"/>
        <v>0</v>
      </c>
      <c r="AD93" s="1268">
        <f t="shared" si="7"/>
        <v>0</v>
      </c>
      <c r="AE93" s="1268">
        <f t="shared" si="7"/>
        <v>0</v>
      </c>
      <c r="AF93" s="1268">
        <f t="shared" si="7"/>
        <v>0</v>
      </c>
      <c r="AG93" s="1268">
        <f t="shared" si="7"/>
        <v>0</v>
      </c>
      <c r="AH93" s="1268">
        <f t="shared" si="7"/>
        <v>0</v>
      </c>
      <c r="AI93" s="1268">
        <f t="shared" si="7"/>
        <v>0</v>
      </c>
      <c r="AJ93" s="1268">
        <f t="shared" si="7"/>
        <v>0</v>
      </c>
      <c r="AK93" s="1268">
        <f t="shared" si="7"/>
        <v>0</v>
      </c>
      <c r="AL93" s="1268">
        <f>SUM(AL80:AL92)</f>
        <v>587747678</v>
      </c>
    </row>
    <row r="94" spans="1:66" s="1189" customFormat="1" ht="19.5" x14ac:dyDescent="0.25">
      <c r="A94" s="1237"/>
      <c r="B94" s="1237"/>
      <c r="C94" s="1238"/>
      <c r="D94" s="1238"/>
      <c r="E94" s="1238"/>
      <c r="F94" s="1238"/>
      <c r="G94" s="1238"/>
      <c r="H94" s="1238"/>
      <c r="I94" s="1238"/>
      <c r="J94" s="1238"/>
      <c r="K94" s="1238"/>
      <c r="L94" s="1238"/>
      <c r="M94" s="1238"/>
      <c r="N94" s="1238"/>
      <c r="O94" s="1238"/>
      <c r="P94" s="1238"/>
      <c r="Q94" s="1238"/>
      <c r="R94" s="1238"/>
      <c r="S94" s="1238"/>
      <c r="T94" s="1238"/>
      <c r="U94" s="1198"/>
      <c r="V94" s="1238"/>
      <c r="W94" s="1238"/>
      <c r="X94" s="1198"/>
      <c r="Y94" s="1198"/>
      <c r="Z94" s="1198"/>
      <c r="AA94" s="1240"/>
      <c r="AB94" s="1269"/>
      <c r="AC94" s="1241"/>
      <c r="AD94" s="1242"/>
      <c r="AE94" s="1242"/>
      <c r="AF94" s="1242"/>
      <c r="AG94" s="1242"/>
      <c r="AH94" s="1242"/>
      <c r="AI94" s="1242"/>
      <c r="AJ94" s="1242"/>
      <c r="AK94" s="1242"/>
      <c r="AL94" s="1238"/>
    </row>
    <row r="95" spans="1:66" s="1189" customFormat="1" ht="19.5" x14ac:dyDescent="0.25">
      <c r="A95" s="1237" t="s">
        <v>202</v>
      </c>
      <c r="B95" s="1237"/>
      <c r="C95" s="1238"/>
      <c r="D95" s="1238"/>
      <c r="E95" s="1238"/>
      <c r="F95" s="1238"/>
      <c r="G95" s="1238"/>
      <c r="H95" s="1238"/>
      <c r="I95" s="1238"/>
      <c r="J95" s="1238"/>
      <c r="K95" s="1238"/>
      <c r="L95" s="1238"/>
      <c r="M95" s="1238"/>
      <c r="N95" s="1238"/>
      <c r="O95" s="1238"/>
      <c r="P95" s="1238"/>
      <c r="Q95" s="1238"/>
      <c r="R95" s="1238"/>
      <c r="S95" s="1238"/>
      <c r="T95" s="1238"/>
      <c r="U95" s="1198"/>
      <c r="V95" s="1238"/>
      <c r="W95" s="1238"/>
      <c r="X95" s="1198"/>
      <c r="Y95" s="1198"/>
      <c r="Z95" s="1198"/>
      <c r="AA95" s="1240"/>
      <c r="AB95" s="1242"/>
      <c r="AC95" s="1241"/>
      <c r="AD95" s="1242"/>
      <c r="AE95" s="1242"/>
      <c r="AF95" s="1242"/>
      <c r="AG95" s="1242"/>
      <c r="AH95" s="1242"/>
      <c r="AI95" s="1242"/>
      <c r="AJ95" s="1242"/>
      <c r="AK95" s="1242"/>
      <c r="AL95" s="1270"/>
    </row>
    <row r="96" spans="1:66" s="1189" customFormat="1" x14ac:dyDescent="0.25">
      <c r="A96" s="1188" t="s">
        <v>224</v>
      </c>
      <c r="B96" s="1188"/>
      <c r="C96" s="1238"/>
      <c r="D96" s="1238"/>
      <c r="E96" s="1243"/>
      <c r="F96" s="1238"/>
      <c r="G96" s="1238"/>
      <c r="H96" s="1238"/>
      <c r="I96" s="1238"/>
      <c r="J96" s="1238"/>
      <c r="K96" s="1238"/>
      <c r="L96" s="1238"/>
      <c r="M96" s="1238"/>
      <c r="N96" s="1238"/>
      <c r="O96" s="1238"/>
      <c r="P96" s="1238"/>
      <c r="Q96" s="1238"/>
      <c r="R96" s="1238"/>
      <c r="S96" s="1238"/>
      <c r="T96" s="1238"/>
      <c r="U96" s="1198"/>
      <c r="V96" s="1238"/>
      <c r="W96" s="1238"/>
      <c r="X96" s="1198"/>
      <c r="Y96" s="1198"/>
      <c r="Z96" s="1198"/>
      <c r="AA96" s="1240"/>
      <c r="AB96" s="1242"/>
      <c r="AC96" s="1241"/>
      <c r="AD96" s="1242"/>
      <c r="AE96" s="1242"/>
      <c r="AF96" s="1242"/>
      <c r="AG96" s="1242"/>
      <c r="AH96" s="1242"/>
      <c r="AI96" s="1242"/>
      <c r="AJ96" s="1242"/>
      <c r="AK96" s="1242"/>
      <c r="AL96" s="1238"/>
      <c r="AM96" s="1243"/>
      <c r="AN96" s="1243"/>
      <c r="AO96" s="1243"/>
      <c r="AP96" s="1243"/>
      <c r="AQ96" s="1243"/>
      <c r="AR96" s="1243"/>
      <c r="AS96" s="1243"/>
      <c r="AT96" s="1243"/>
      <c r="AU96" s="1243"/>
      <c r="AV96" s="1243"/>
      <c r="AW96" s="1243"/>
      <c r="AX96" s="1243"/>
      <c r="AY96" s="1243"/>
      <c r="AZ96" s="1243"/>
      <c r="BA96" s="1243"/>
      <c r="BB96" s="1243"/>
      <c r="BC96" s="1243"/>
      <c r="BD96" s="1243"/>
      <c r="BE96" s="1243"/>
      <c r="BF96" s="1243"/>
      <c r="BG96" s="1243"/>
      <c r="BH96" s="1243"/>
      <c r="BI96" s="1243"/>
      <c r="BJ96" s="1243"/>
      <c r="BK96" s="1243"/>
      <c r="BN96" s="1243"/>
    </row>
    <row r="97" spans="1:38" s="1248" customFormat="1" ht="14.25" x14ac:dyDescent="0.25">
      <c r="A97" s="1464" t="s">
        <v>139</v>
      </c>
      <c r="B97" s="1246"/>
      <c r="C97" s="1246"/>
      <c r="D97" s="1246"/>
      <c r="E97" s="1470" t="s">
        <v>114</v>
      </c>
      <c r="F97" s="1471"/>
      <c r="G97" s="1471"/>
      <c r="H97" s="1471"/>
      <c r="I97" s="1471"/>
      <c r="J97" s="1471"/>
      <c r="K97" s="1471"/>
      <c r="L97" s="1471"/>
      <c r="M97" s="1471"/>
      <c r="N97" s="1471"/>
      <c r="O97" s="1471"/>
      <c r="P97" s="1471"/>
      <c r="Q97" s="1471"/>
      <c r="R97" s="1471"/>
      <c r="S97" s="1471"/>
      <c r="T97" s="1471"/>
      <c r="U97" s="1471"/>
      <c r="V97" s="1471"/>
      <c r="W97" s="1471"/>
      <c r="X97" s="1471"/>
      <c r="Y97" s="1471"/>
      <c r="Z97" s="1471"/>
      <c r="AA97" s="1471"/>
      <c r="AB97" s="1471"/>
      <c r="AC97" s="1471"/>
      <c r="AD97" s="1471"/>
      <c r="AE97" s="1471"/>
      <c r="AF97" s="1471"/>
      <c r="AG97" s="1471"/>
      <c r="AH97" s="1471"/>
      <c r="AI97" s="1471"/>
      <c r="AJ97" s="1471"/>
      <c r="AK97" s="1471"/>
      <c r="AL97" s="1472"/>
    </row>
    <row r="98" spans="1:38" s="1248" customFormat="1" ht="11.25" x14ac:dyDescent="0.25">
      <c r="A98" s="1464"/>
      <c r="B98" s="1247"/>
      <c r="C98" s="1196">
        <v>2</v>
      </c>
      <c r="D98" s="1196">
        <v>3</v>
      </c>
      <c r="E98" s="1196">
        <v>4</v>
      </c>
      <c r="F98" s="1196">
        <v>5</v>
      </c>
      <c r="G98" s="1196">
        <v>6</v>
      </c>
      <c r="H98" s="1196">
        <v>7</v>
      </c>
      <c r="I98" s="1196">
        <v>8</v>
      </c>
      <c r="J98" s="1196">
        <v>9</v>
      </c>
      <c r="K98" s="1196">
        <v>10</v>
      </c>
      <c r="L98" s="1196">
        <v>11</v>
      </c>
      <c r="M98" s="1196">
        <v>12</v>
      </c>
      <c r="N98" s="1196">
        <v>13</v>
      </c>
      <c r="O98" s="1196">
        <v>14</v>
      </c>
      <c r="P98" s="1196">
        <v>15</v>
      </c>
      <c r="Q98" s="1196">
        <v>16</v>
      </c>
      <c r="R98" s="1196">
        <v>17</v>
      </c>
      <c r="S98" s="1196">
        <v>18</v>
      </c>
      <c r="T98" s="1196">
        <v>19</v>
      </c>
      <c r="U98" s="1196">
        <v>20</v>
      </c>
      <c r="V98" s="1196">
        <v>21</v>
      </c>
      <c r="W98" s="1196">
        <v>22</v>
      </c>
      <c r="X98" s="1196">
        <v>23</v>
      </c>
      <c r="Y98" s="1196">
        <v>24</v>
      </c>
      <c r="Z98" s="1196">
        <v>25</v>
      </c>
      <c r="AA98" s="1196">
        <v>26</v>
      </c>
      <c r="AB98" s="1196">
        <v>27</v>
      </c>
      <c r="AC98" s="1196">
        <v>28</v>
      </c>
      <c r="AD98" s="1196">
        <v>29</v>
      </c>
      <c r="AE98" s="1196">
        <v>30</v>
      </c>
      <c r="AF98" s="1196">
        <v>31</v>
      </c>
      <c r="AG98" s="1196">
        <v>32</v>
      </c>
      <c r="AH98" s="1196">
        <v>33</v>
      </c>
      <c r="AI98" s="1196">
        <v>34</v>
      </c>
      <c r="AJ98" s="1196">
        <v>35</v>
      </c>
      <c r="AK98" s="1196">
        <v>36</v>
      </c>
      <c r="AL98" s="1460" t="s">
        <v>24</v>
      </c>
    </row>
    <row r="99" spans="1:38" s="1189" customFormat="1" ht="12" x14ac:dyDescent="0.25">
      <c r="A99" s="1464"/>
      <c r="B99" s="1247"/>
      <c r="C99" s="1247" t="s">
        <v>91</v>
      </c>
      <c r="D99" s="1247" t="s">
        <v>91</v>
      </c>
      <c r="E99" s="1247" t="s">
        <v>91</v>
      </c>
      <c r="F99" s="1247" t="s">
        <v>91</v>
      </c>
      <c r="G99" s="1247" t="s">
        <v>91</v>
      </c>
      <c r="H99" s="1247" t="s">
        <v>91</v>
      </c>
      <c r="I99" s="1247" t="s">
        <v>91</v>
      </c>
      <c r="J99" s="1247" t="s">
        <v>91</v>
      </c>
      <c r="K99" s="1247" t="s">
        <v>91</v>
      </c>
      <c r="L99" s="1247" t="s">
        <v>91</v>
      </c>
      <c r="M99" s="1247" t="s">
        <v>91</v>
      </c>
      <c r="N99" s="1247" t="s">
        <v>91</v>
      </c>
      <c r="O99" s="1247" t="s">
        <v>91</v>
      </c>
      <c r="P99" s="1247" t="s">
        <v>91</v>
      </c>
      <c r="Q99" s="1247" t="s">
        <v>91</v>
      </c>
      <c r="R99" s="1247" t="s">
        <v>91</v>
      </c>
      <c r="S99" s="1247" t="s">
        <v>91</v>
      </c>
      <c r="T99" s="1247" t="s">
        <v>91</v>
      </c>
      <c r="U99" s="1196" t="s">
        <v>91</v>
      </c>
      <c r="V99" s="1247" t="s">
        <v>91</v>
      </c>
      <c r="W99" s="1247" t="s">
        <v>91</v>
      </c>
      <c r="X99" s="1196" t="s">
        <v>91</v>
      </c>
      <c r="Y99" s="1196" t="s">
        <v>91</v>
      </c>
      <c r="Z99" s="1196" t="s">
        <v>91</v>
      </c>
      <c r="AA99" s="1250" t="s">
        <v>91</v>
      </c>
      <c r="AB99" s="1251" t="s">
        <v>91</v>
      </c>
      <c r="AC99" s="1252" t="s">
        <v>91</v>
      </c>
      <c r="AD99" s="1251" t="s">
        <v>91</v>
      </c>
      <c r="AE99" s="1253"/>
      <c r="AF99" s="1253"/>
      <c r="AG99" s="1253"/>
      <c r="AH99" s="1253"/>
      <c r="AI99" s="1253"/>
      <c r="AJ99" s="1253"/>
      <c r="AK99" s="1253"/>
      <c r="AL99" s="1461"/>
    </row>
    <row r="100" spans="1:38" s="1189" customFormat="1" ht="11.25" x14ac:dyDescent="0.15">
      <c r="A100" s="1254" t="s">
        <v>86</v>
      </c>
      <c r="B100" s="1254"/>
      <c r="C100" s="866"/>
      <c r="D100" s="866"/>
      <c r="E100" s="1256"/>
      <c r="F100" s="1256"/>
      <c r="G100" s="1256"/>
      <c r="H100" s="1256"/>
      <c r="I100" s="1256"/>
      <c r="J100" s="1256">
        <f>2600000+7700000</f>
        <v>10300000</v>
      </c>
      <c r="K100" s="1256"/>
      <c r="L100" s="866"/>
      <c r="M100" s="866"/>
      <c r="N100" s="866"/>
      <c r="O100" s="866"/>
      <c r="P100" s="866"/>
      <c r="Q100" s="866"/>
      <c r="R100" s="1257">
        <f>1500000</f>
        <v>1500000</v>
      </c>
      <c r="S100" s="866"/>
      <c r="T100" s="1258"/>
      <c r="U100" s="1201"/>
      <c r="V100" s="1221"/>
      <c r="W100" s="866"/>
      <c r="X100" s="1201"/>
      <c r="Y100" s="1201"/>
      <c r="Z100" s="982"/>
      <c r="AA100" s="982"/>
      <c r="AB100" s="982">
        <v>1611219</v>
      </c>
      <c r="AC100" s="1261"/>
      <c r="AD100" s="866"/>
      <c r="AE100" s="866"/>
      <c r="AF100" s="866"/>
      <c r="AG100" s="866"/>
      <c r="AH100" s="866"/>
      <c r="AI100" s="866"/>
      <c r="AJ100" s="866"/>
      <c r="AK100" s="866"/>
      <c r="AL100" s="1255">
        <f>SUM(C100:AK100)</f>
        <v>13411219</v>
      </c>
    </row>
    <row r="101" spans="1:38" s="1189" customFormat="1" ht="11.25" x14ac:dyDescent="0.15">
      <c r="A101" s="1254" t="s">
        <v>146</v>
      </c>
      <c r="B101" s="1254"/>
      <c r="C101" s="866"/>
      <c r="D101" s="866"/>
      <c r="E101" s="1256"/>
      <c r="F101" s="1256"/>
      <c r="G101" s="1256"/>
      <c r="H101" s="1256"/>
      <c r="I101" s="1256"/>
      <c r="J101" s="1256">
        <f>2150000+10400000+7735250+590000</f>
        <v>20875250</v>
      </c>
      <c r="K101" s="1256"/>
      <c r="L101" s="866"/>
      <c r="M101" s="866"/>
      <c r="N101" s="866"/>
      <c r="O101" s="1232"/>
      <c r="P101" s="866"/>
      <c r="Q101" s="866"/>
      <c r="R101" s="1257"/>
      <c r="S101" s="866"/>
      <c r="T101" s="1271"/>
      <c r="U101" s="1201"/>
      <c r="V101" s="1208"/>
      <c r="W101" s="866"/>
      <c r="X101" s="1201"/>
      <c r="Y101" s="1201"/>
      <c r="Z101" s="619"/>
      <c r="AA101" s="982"/>
      <c r="AB101" s="982">
        <f>3602925+1665000</f>
        <v>5267925</v>
      </c>
      <c r="AC101" s="1261"/>
      <c r="AD101" s="866"/>
      <c r="AE101" s="866"/>
      <c r="AF101" s="866"/>
      <c r="AG101" s="866"/>
      <c r="AH101" s="866"/>
      <c r="AI101" s="866"/>
      <c r="AJ101" s="866"/>
      <c r="AK101" s="866"/>
      <c r="AL101" s="1255">
        <f t="shared" ref="AL101:AL111" si="8">SUM(C101:AK101)</f>
        <v>26143175</v>
      </c>
    </row>
    <row r="102" spans="1:38" s="1189" customFormat="1" ht="11.25" x14ac:dyDescent="0.15">
      <c r="A102" s="1254" t="s">
        <v>142</v>
      </c>
      <c r="B102" s="1254"/>
      <c r="C102" s="866"/>
      <c r="D102" s="866"/>
      <c r="E102" s="1256"/>
      <c r="F102" s="1256"/>
      <c r="G102" s="1256"/>
      <c r="H102" s="1256"/>
      <c r="I102" s="1256"/>
      <c r="J102" s="1256">
        <f>3791500+250000+1325000+7300000</f>
        <v>12666500</v>
      </c>
      <c r="K102" s="1256"/>
      <c r="L102" s="1256"/>
      <c r="M102" s="1256"/>
      <c r="N102" s="866"/>
      <c r="O102" s="1232"/>
      <c r="P102" s="866"/>
      <c r="Q102" s="866"/>
      <c r="R102" s="1257">
        <f>450000+450000+995000+1000000</f>
        <v>2895000</v>
      </c>
      <c r="S102" s="866"/>
      <c r="T102" s="1258"/>
      <c r="U102" s="1201"/>
      <c r="V102" s="1221"/>
      <c r="W102" s="866"/>
      <c r="X102" s="1201"/>
      <c r="Y102" s="1201"/>
      <c r="Z102" s="1201"/>
      <c r="AA102" s="982"/>
      <c r="AB102" s="866">
        <v>1968000</v>
      </c>
      <c r="AC102" s="1261"/>
      <c r="AD102" s="866"/>
      <c r="AE102" s="866"/>
      <c r="AF102" s="866"/>
      <c r="AG102" s="866"/>
      <c r="AH102" s="866"/>
      <c r="AI102" s="866"/>
      <c r="AJ102" s="866"/>
      <c r="AK102" s="866"/>
      <c r="AL102" s="1255">
        <f t="shared" si="8"/>
        <v>17529500</v>
      </c>
    </row>
    <row r="103" spans="1:38" s="1189" customFormat="1" ht="13.5" customHeight="1" x14ac:dyDescent="0.15">
      <c r="A103" s="1254" t="s">
        <v>149</v>
      </c>
      <c r="B103" s="1254"/>
      <c r="C103" s="866"/>
      <c r="D103" s="866"/>
      <c r="E103" s="1256"/>
      <c r="F103" s="1256"/>
      <c r="G103" s="1256"/>
      <c r="H103" s="1256"/>
      <c r="I103" s="1256"/>
      <c r="J103" s="1256">
        <f>1550000+3200000</f>
        <v>4750000</v>
      </c>
      <c r="K103" s="1256"/>
      <c r="L103" s="866"/>
      <c r="N103" s="866"/>
      <c r="P103" s="866"/>
      <c r="Q103" s="866"/>
      <c r="R103" s="1257">
        <f>700000+1240000</f>
        <v>1940000</v>
      </c>
      <c r="S103" s="866"/>
      <c r="T103" s="1258"/>
      <c r="U103" s="1201"/>
      <c r="V103" s="1221"/>
      <c r="W103" s="866"/>
      <c r="X103" s="1201"/>
      <c r="Y103" s="1201"/>
      <c r="Z103" s="982"/>
      <c r="AA103" s="982"/>
      <c r="AB103" s="982">
        <f>1459792+1016952+20000000+885000</f>
        <v>23361744</v>
      </c>
      <c r="AC103" s="1261"/>
      <c r="AD103" s="866"/>
      <c r="AE103" s="866"/>
      <c r="AF103" s="866"/>
      <c r="AG103" s="866"/>
      <c r="AH103" s="866"/>
      <c r="AI103" s="866"/>
      <c r="AJ103" s="866"/>
      <c r="AK103" s="866"/>
      <c r="AL103" s="1255">
        <f t="shared" si="8"/>
        <v>30051744</v>
      </c>
    </row>
    <row r="104" spans="1:38" s="1189" customFormat="1" ht="11.25" x14ac:dyDescent="0.15">
      <c r="A104" s="1254" t="s">
        <v>148</v>
      </c>
      <c r="B104" s="1254"/>
      <c r="C104" s="866"/>
      <c r="D104" s="866"/>
      <c r="E104" s="1256"/>
      <c r="F104" s="1256"/>
      <c r="G104" s="1256"/>
      <c r="H104" s="1256"/>
      <c r="I104" s="1256"/>
      <c r="J104" s="1256">
        <f>11960500+5325000+1975000+8800000</f>
        <v>28060500</v>
      </c>
      <c r="K104" s="945"/>
      <c r="L104" s="866"/>
      <c r="M104" s="866"/>
      <c r="N104" s="866"/>
      <c r="O104" s="1232"/>
      <c r="P104" s="866"/>
      <c r="Q104" s="866"/>
      <c r="R104" s="1257">
        <f>10000000</f>
        <v>10000000</v>
      </c>
      <c r="S104" s="866"/>
      <c r="T104" s="1271"/>
      <c r="U104" s="1201"/>
      <c r="V104" s="1221"/>
      <c r="W104" s="866"/>
      <c r="X104" s="1201">
        <v>880000</v>
      </c>
      <c r="Y104" s="1201"/>
      <c r="Z104" s="982"/>
      <c r="AA104" s="982"/>
      <c r="AB104" s="982">
        <v>4983834</v>
      </c>
      <c r="AC104" s="1261"/>
      <c r="AD104" s="866"/>
      <c r="AE104" s="866"/>
      <c r="AF104" s="866"/>
      <c r="AG104" s="866"/>
      <c r="AH104" s="866"/>
      <c r="AI104" s="866"/>
      <c r="AJ104" s="866"/>
      <c r="AK104" s="866"/>
      <c r="AL104" s="1255">
        <f t="shared" si="8"/>
        <v>43924334</v>
      </c>
    </row>
    <row r="105" spans="1:38" s="1189" customFormat="1" ht="12.75" customHeight="1" x14ac:dyDescent="0.25">
      <c r="A105" s="1254" t="s">
        <v>140</v>
      </c>
      <c r="B105" s="1254"/>
      <c r="C105" s="866"/>
      <c r="D105" s="866"/>
      <c r="E105" s="1256"/>
      <c r="F105" s="572"/>
      <c r="G105" s="1256"/>
      <c r="H105" s="1256"/>
      <c r="I105" s="1256"/>
      <c r="J105" s="1256">
        <f>2687500+2585000+2275000+7100000</f>
        <v>14647500</v>
      </c>
      <c r="K105" s="1256"/>
      <c r="L105" s="866"/>
      <c r="M105" s="866">
        <v>1108000</v>
      </c>
      <c r="N105" s="866"/>
      <c r="O105" s="1232"/>
      <c r="P105" s="866"/>
      <c r="Q105" s="866"/>
      <c r="R105" s="1261">
        <v>2000000</v>
      </c>
      <c r="S105" s="866"/>
      <c r="T105" s="866">
        <v>1000000</v>
      </c>
      <c r="U105" s="1201"/>
      <c r="V105" s="1221"/>
      <c r="W105" s="866"/>
      <c r="X105" s="1201">
        <f>5771500</f>
        <v>5771500</v>
      </c>
      <c r="Y105" s="1201"/>
      <c r="Z105" s="982"/>
      <c r="AA105" s="982"/>
      <c r="AB105" s="982">
        <f>3219000+5145000+12375000</f>
        <v>20739000</v>
      </c>
      <c r="AC105" s="1261"/>
      <c r="AD105" s="866"/>
      <c r="AE105" s="866"/>
      <c r="AF105" s="866"/>
      <c r="AG105" s="866"/>
      <c r="AH105" s="866"/>
      <c r="AI105" s="866"/>
      <c r="AJ105" s="866"/>
      <c r="AK105" s="866"/>
      <c r="AL105" s="1255">
        <f t="shared" si="8"/>
        <v>45266000</v>
      </c>
    </row>
    <row r="106" spans="1:38" s="1189" customFormat="1" ht="11.25" x14ac:dyDescent="0.15">
      <c r="A106" s="1254" t="s">
        <v>145</v>
      </c>
      <c r="B106" s="1254"/>
      <c r="C106" s="866"/>
      <c r="D106" s="866"/>
      <c r="E106" s="1256"/>
      <c r="F106" s="1256"/>
      <c r="G106" s="1256"/>
      <c r="H106" s="1256"/>
      <c r="I106" s="1256"/>
      <c r="J106" s="1256">
        <f>5805250+1565000+1225000+6500000</f>
        <v>15095250</v>
      </c>
      <c r="K106" s="1256"/>
      <c r="L106" s="866"/>
      <c r="M106" s="866"/>
      <c r="N106" s="866"/>
      <c r="O106" s="866"/>
      <c r="P106" s="866"/>
      <c r="Q106" s="866"/>
      <c r="R106" s="1257"/>
      <c r="S106" s="866"/>
      <c r="T106" s="866">
        <v>2000000</v>
      </c>
      <c r="U106" s="1201"/>
      <c r="V106" s="866"/>
      <c r="X106" s="1201"/>
      <c r="Y106" s="866"/>
      <c r="Z106" s="982"/>
      <c r="AA106" s="982"/>
      <c r="AB106" s="982">
        <v>2346000</v>
      </c>
      <c r="AC106" s="1261"/>
      <c r="AD106" s="866"/>
      <c r="AE106" s="866"/>
      <c r="AF106" s="866"/>
      <c r="AG106" s="866"/>
      <c r="AH106" s="866"/>
      <c r="AI106" s="866"/>
      <c r="AJ106" s="866"/>
      <c r="AK106" s="866"/>
      <c r="AL106" s="1255">
        <f t="shared" si="8"/>
        <v>19441250</v>
      </c>
    </row>
    <row r="107" spans="1:38" s="1189" customFormat="1" ht="11.25" x14ac:dyDescent="0.15">
      <c r="A107" s="1254" t="s">
        <v>141</v>
      </c>
      <c r="B107" s="1254"/>
      <c r="C107" s="866"/>
      <c r="D107" s="866"/>
      <c r="E107" s="1256"/>
      <c r="F107" s="1256"/>
      <c r="G107" s="1256"/>
      <c r="H107" s="1256"/>
      <c r="I107" s="1256"/>
      <c r="J107" s="1256">
        <f>2323500+220000+1550000+3200000</f>
        <v>7293500</v>
      </c>
      <c r="K107" s="1256"/>
      <c r="L107" s="866"/>
      <c r="M107" s="866"/>
      <c r="N107" s="866"/>
      <c r="O107" s="866"/>
      <c r="P107" s="866"/>
      <c r="Q107" s="866"/>
      <c r="R107" s="1257"/>
      <c r="S107" s="866"/>
      <c r="T107" s="866"/>
      <c r="U107" s="1201"/>
      <c r="V107" s="866"/>
      <c r="W107" s="866"/>
      <c r="X107" s="1201"/>
      <c r="Y107" s="1201"/>
      <c r="Z107" s="982"/>
      <c r="AA107" s="982"/>
      <c r="AB107" s="1261">
        <v>912656</v>
      </c>
      <c r="AC107" s="1261"/>
      <c r="AD107" s="866"/>
      <c r="AE107" s="866"/>
      <c r="AF107" s="866"/>
      <c r="AG107" s="866"/>
      <c r="AH107" s="866"/>
      <c r="AI107" s="866"/>
      <c r="AJ107" s="866"/>
      <c r="AK107" s="866"/>
      <c r="AL107" s="1255">
        <f t="shared" si="8"/>
        <v>8206156</v>
      </c>
    </row>
    <row r="108" spans="1:38" s="1189" customFormat="1" ht="11.25" x14ac:dyDescent="0.15">
      <c r="A108" s="1254" t="s">
        <v>144</v>
      </c>
      <c r="B108" s="1254"/>
      <c r="C108" s="866"/>
      <c r="D108" s="866"/>
      <c r="E108" s="1256"/>
      <c r="F108" s="1256"/>
      <c r="G108" s="1256"/>
      <c r="H108" s="1256"/>
      <c r="I108" s="1256"/>
      <c r="J108" s="1256">
        <f>3644500+2450000+9600000</f>
        <v>15694500</v>
      </c>
      <c r="K108" s="1256"/>
      <c r="L108" s="866"/>
      <c r="M108" s="866"/>
      <c r="N108" s="866"/>
      <c r="O108" s="866"/>
      <c r="P108" s="866"/>
      <c r="Q108" s="866"/>
      <c r="R108" s="1257"/>
      <c r="S108" s="866"/>
      <c r="T108" s="866"/>
      <c r="U108" s="1201"/>
      <c r="V108" s="866"/>
      <c r="W108" s="866"/>
      <c r="X108" s="1201"/>
      <c r="Y108" s="1201"/>
      <c r="Z108" s="982"/>
      <c r="AA108" s="982"/>
      <c r="AB108" s="1261">
        <f>2260044+5145000</f>
        <v>7405044</v>
      </c>
      <c r="AC108" s="1261"/>
      <c r="AD108" s="866"/>
      <c r="AE108" s="866"/>
      <c r="AF108" s="866"/>
      <c r="AG108" s="866"/>
      <c r="AH108" s="866"/>
      <c r="AI108" s="866"/>
      <c r="AJ108" s="866"/>
      <c r="AK108" s="866"/>
      <c r="AL108" s="1255">
        <f t="shared" si="8"/>
        <v>23099544</v>
      </c>
    </row>
    <row r="109" spans="1:38" s="1189" customFormat="1" ht="12.75" customHeight="1" x14ac:dyDescent="0.15">
      <c r="A109" s="1254" t="s">
        <v>147</v>
      </c>
      <c r="B109" s="1254"/>
      <c r="C109" s="866"/>
      <c r="D109" s="866"/>
      <c r="E109" s="1256"/>
      <c r="F109" s="1256"/>
      <c r="G109" s="1256"/>
      <c r="H109" s="1256"/>
      <c r="I109" s="1256"/>
      <c r="J109" s="1256">
        <f>2972500+2110000+1675000+9200000</f>
        <v>15957500</v>
      </c>
      <c r="K109" s="1256"/>
      <c r="L109" s="866"/>
      <c r="M109" s="866"/>
      <c r="N109" s="866">
        <v>1600000</v>
      </c>
      <c r="O109" s="866"/>
      <c r="P109" s="866"/>
      <c r="Q109" s="866"/>
      <c r="R109" s="1257"/>
      <c r="S109" s="866"/>
      <c r="T109" s="866">
        <v>2000000</v>
      </c>
      <c r="U109" s="1201"/>
      <c r="V109" s="866"/>
      <c r="W109" s="866"/>
      <c r="X109" s="1201"/>
      <c r="Y109" s="1201"/>
      <c r="Z109" s="982"/>
      <c r="AA109" s="982"/>
      <c r="AB109" s="1261">
        <f>2182050+6465000</f>
        <v>8647050</v>
      </c>
      <c r="AC109" s="1261"/>
      <c r="AD109" s="866"/>
      <c r="AE109" s="866"/>
      <c r="AF109" s="866"/>
      <c r="AG109" s="866"/>
      <c r="AH109" s="866"/>
      <c r="AI109" s="1264"/>
      <c r="AJ109" s="866"/>
      <c r="AK109" s="866"/>
      <c r="AL109" s="1255">
        <f t="shared" si="8"/>
        <v>28204550</v>
      </c>
    </row>
    <row r="110" spans="1:38" s="1189" customFormat="1" ht="11.25" x14ac:dyDescent="0.15">
      <c r="A110" s="1254" t="s">
        <v>143</v>
      </c>
      <c r="B110" s="1254"/>
      <c r="C110" s="866"/>
      <c r="D110" s="866"/>
      <c r="E110" s="1256"/>
      <c r="F110" s="1256"/>
      <c r="G110" s="1256"/>
      <c r="H110" s="1256"/>
      <c r="I110" s="1256"/>
      <c r="J110" s="1256">
        <f>5176500+1540000+4525000+11600000</f>
        <v>22841500</v>
      </c>
      <c r="K110" s="1256"/>
      <c r="L110" s="866"/>
      <c r="M110" s="866"/>
      <c r="N110" s="866"/>
      <c r="O110" s="866"/>
      <c r="P110" s="866"/>
      <c r="Q110" s="866"/>
      <c r="R110" s="1257">
        <f>500000+8065349</f>
        <v>8565349</v>
      </c>
      <c r="S110" s="866"/>
      <c r="T110" s="866">
        <f>2500000+1924000</f>
        <v>4424000</v>
      </c>
      <c r="U110" s="1201"/>
      <c r="V110" s="866"/>
      <c r="W110" s="866"/>
      <c r="X110" s="1201"/>
      <c r="Y110" s="1201"/>
      <c r="Z110" s="982"/>
      <c r="AA110" s="982"/>
      <c r="AB110" s="1261">
        <f>5447344+4815000</f>
        <v>10262344</v>
      </c>
      <c r="AC110" s="1261"/>
      <c r="AD110" s="866"/>
      <c r="AE110" s="866"/>
      <c r="AF110" s="866"/>
      <c r="AG110" s="866"/>
      <c r="AH110" s="866"/>
      <c r="AI110" s="866"/>
      <c r="AJ110" s="866"/>
      <c r="AK110" s="866"/>
      <c r="AL110" s="1255">
        <f t="shared" si="8"/>
        <v>46093193</v>
      </c>
    </row>
    <row r="111" spans="1:38" s="1189" customFormat="1" ht="14.25" customHeight="1" x14ac:dyDescent="0.25">
      <c r="A111" s="1254" t="s">
        <v>4751</v>
      </c>
      <c r="B111" s="1254"/>
      <c r="C111" s="866"/>
      <c r="D111" s="866"/>
      <c r="E111" s="1256"/>
      <c r="F111" s="1256"/>
      <c r="G111" s="1256"/>
      <c r="H111" s="1256"/>
      <c r="I111" s="1256"/>
      <c r="J111" s="1256">
        <f>9474000+8186750+4730000+5075000+14200000</f>
        <v>41665750</v>
      </c>
      <c r="K111" s="1256"/>
      <c r="L111" s="1272"/>
      <c r="M111" s="866"/>
      <c r="N111" s="866"/>
      <c r="O111" s="866"/>
      <c r="P111" s="866"/>
      <c r="Q111" s="866"/>
      <c r="R111" s="1261">
        <f>1500000+840000+600000+832250</f>
        <v>3772250</v>
      </c>
      <c r="S111" s="866"/>
      <c r="T111" s="866"/>
      <c r="U111" s="1201"/>
      <c r="V111" s="866"/>
      <c r="W111" s="866"/>
      <c r="X111" s="1201"/>
      <c r="Y111" s="1201"/>
      <c r="Z111" s="561"/>
      <c r="AA111" s="982"/>
      <c r="AB111" s="1261">
        <f>4110000+4195000+9589000</f>
        <v>17894000</v>
      </c>
      <c r="AC111" s="1261"/>
      <c r="AD111" s="866"/>
      <c r="AE111" s="866"/>
      <c r="AF111" s="866"/>
      <c r="AG111" s="866"/>
      <c r="AH111" s="866"/>
      <c r="AI111" s="866"/>
      <c r="AJ111" s="866"/>
      <c r="AK111" s="866"/>
      <c r="AL111" s="1255">
        <f t="shared" si="8"/>
        <v>63332000</v>
      </c>
    </row>
    <row r="112" spans="1:38" s="1189" customFormat="1" ht="12.75" x14ac:dyDescent="0.25">
      <c r="A112" s="1273" t="s">
        <v>203</v>
      </c>
      <c r="B112" s="1273"/>
      <c r="C112" s="1274">
        <f t="shared" ref="C112:AK112" si="9">SUM(C100:C111)</f>
        <v>0</v>
      </c>
      <c r="D112" s="1274">
        <f t="shared" si="9"/>
        <v>0</v>
      </c>
      <c r="E112" s="1274">
        <f t="shared" si="9"/>
        <v>0</v>
      </c>
      <c r="F112" s="1274">
        <f t="shared" si="9"/>
        <v>0</v>
      </c>
      <c r="G112" s="1274">
        <f t="shared" si="9"/>
        <v>0</v>
      </c>
      <c r="H112" s="1274">
        <f t="shared" si="9"/>
        <v>0</v>
      </c>
      <c r="I112" s="1274">
        <f t="shared" si="9"/>
        <v>0</v>
      </c>
      <c r="J112" s="1274">
        <f>SUM(J100:J111)</f>
        <v>209847750</v>
      </c>
      <c r="K112" s="1274">
        <f t="shared" si="9"/>
        <v>0</v>
      </c>
      <c r="L112" s="1274">
        <f t="shared" si="9"/>
        <v>0</v>
      </c>
      <c r="M112" s="1274">
        <f t="shared" si="9"/>
        <v>1108000</v>
      </c>
      <c r="N112" s="1274">
        <f t="shared" si="9"/>
        <v>1600000</v>
      </c>
      <c r="O112" s="1274">
        <f t="shared" si="9"/>
        <v>0</v>
      </c>
      <c r="P112" s="1274">
        <f t="shared" si="9"/>
        <v>0</v>
      </c>
      <c r="Q112" s="1274">
        <f t="shared" si="9"/>
        <v>0</v>
      </c>
      <c r="R112" s="1274">
        <f t="shared" si="9"/>
        <v>30672599</v>
      </c>
      <c r="S112" s="1274">
        <f t="shared" si="9"/>
        <v>0</v>
      </c>
      <c r="T112" s="1274">
        <f t="shared" si="9"/>
        <v>9424000</v>
      </c>
      <c r="U112" s="1274">
        <f t="shared" si="9"/>
        <v>0</v>
      </c>
      <c r="V112" s="1274">
        <f t="shared" si="9"/>
        <v>0</v>
      </c>
      <c r="W112" s="1274">
        <f t="shared" si="9"/>
        <v>0</v>
      </c>
      <c r="X112" s="1274">
        <f t="shared" si="9"/>
        <v>6651500</v>
      </c>
      <c r="Y112" s="1274">
        <f>SUM(Y100:Y111)</f>
        <v>0</v>
      </c>
      <c r="Z112" s="1274">
        <f>SUM(Z100:Z111)</f>
        <v>0</v>
      </c>
      <c r="AA112" s="1274">
        <f t="shared" si="9"/>
        <v>0</v>
      </c>
      <c r="AB112" s="1274">
        <f t="shared" si="9"/>
        <v>105398816</v>
      </c>
      <c r="AC112" s="1274">
        <f t="shared" si="9"/>
        <v>0</v>
      </c>
      <c r="AD112" s="1274">
        <f t="shared" si="9"/>
        <v>0</v>
      </c>
      <c r="AE112" s="1274">
        <f t="shared" si="9"/>
        <v>0</v>
      </c>
      <c r="AF112" s="1274">
        <f t="shared" si="9"/>
        <v>0</v>
      </c>
      <c r="AG112" s="1274">
        <f t="shared" si="9"/>
        <v>0</v>
      </c>
      <c r="AH112" s="1274">
        <f t="shared" si="9"/>
        <v>0</v>
      </c>
      <c r="AI112" s="1274">
        <f t="shared" si="9"/>
        <v>0</v>
      </c>
      <c r="AJ112" s="1274">
        <f t="shared" si="9"/>
        <v>0</v>
      </c>
      <c r="AK112" s="1274">
        <f t="shared" si="9"/>
        <v>0</v>
      </c>
      <c r="AL112" s="1274">
        <f>SUM(AL100:AL111)</f>
        <v>364702665</v>
      </c>
    </row>
    <row r="113" spans="1:38" s="1189" customFormat="1" ht="12.75" x14ac:dyDescent="0.25">
      <c r="A113" s="1275"/>
      <c r="B113" s="1275"/>
      <c r="C113" s="1276"/>
      <c r="D113" s="1276"/>
      <c r="E113" s="1276"/>
      <c r="F113" s="1276"/>
      <c r="G113" s="1276"/>
      <c r="H113" s="1276"/>
      <c r="I113" s="1276"/>
      <c r="J113" s="1276"/>
      <c r="K113" s="1276"/>
      <c r="L113" s="1276"/>
      <c r="M113" s="1277"/>
      <c r="N113" s="1276"/>
      <c r="O113" s="1276"/>
      <c r="P113" s="1276"/>
      <c r="Q113" s="1276"/>
      <c r="R113" s="1276"/>
      <c r="S113" s="1276"/>
      <c r="T113" s="1276"/>
      <c r="U113" s="1278"/>
      <c r="V113" s="1276"/>
      <c r="W113" s="1276"/>
      <c r="X113" s="1278"/>
      <c r="Y113" s="1278"/>
      <c r="Z113" s="1278"/>
      <c r="AA113" s="1279"/>
      <c r="AB113" s="1280"/>
      <c r="AC113" s="1281"/>
      <c r="AD113" s="1280"/>
      <c r="AE113" s="1280"/>
      <c r="AF113" s="1280"/>
      <c r="AG113" s="1280"/>
      <c r="AH113" s="1280"/>
      <c r="AI113" s="1280"/>
      <c r="AJ113" s="1280"/>
      <c r="AK113" s="1280"/>
      <c r="AL113" s="1276"/>
    </row>
    <row r="114" spans="1:38" s="1189" customFormat="1" ht="18" x14ac:dyDescent="0.25">
      <c r="A114" s="1282" t="s">
        <v>92</v>
      </c>
      <c r="B114" s="1282"/>
      <c r="C114" s="1276"/>
      <c r="D114" s="1276"/>
      <c r="E114" s="1276"/>
      <c r="F114" s="1276"/>
      <c r="G114" s="1276"/>
      <c r="H114" s="1276"/>
      <c r="I114" s="1276"/>
      <c r="J114" s="1276"/>
      <c r="K114" s="1276"/>
      <c r="L114" s="1276"/>
      <c r="M114" s="1277"/>
      <c r="N114" s="1276"/>
      <c r="O114" s="1276"/>
      <c r="P114" s="1276"/>
      <c r="Q114" s="1276"/>
      <c r="R114" s="1276"/>
      <c r="S114" s="1276"/>
      <c r="T114" s="1276"/>
      <c r="U114" s="1278"/>
      <c r="V114" s="1276"/>
      <c r="W114" s="1276"/>
      <c r="X114" s="1278"/>
      <c r="Y114" s="1278"/>
      <c r="Z114" s="1278"/>
      <c r="AA114" s="1279"/>
      <c r="AB114" s="1280"/>
      <c r="AC114" s="1281"/>
      <c r="AD114" s="1280"/>
      <c r="AE114" s="1280"/>
      <c r="AF114" s="1280"/>
      <c r="AG114" s="1280"/>
      <c r="AH114" s="1280"/>
      <c r="AI114" s="1280"/>
      <c r="AJ114" s="1280"/>
      <c r="AK114" s="1280"/>
      <c r="AL114" s="1276"/>
    </row>
    <row r="115" spans="1:38" s="1189" customFormat="1" x14ac:dyDescent="0.25">
      <c r="A115" s="1283" t="s">
        <v>6260</v>
      </c>
      <c r="B115" s="1283"/>
      <c r="C115" s="1238"/>
      <c r="D115" s="1238"/>
      <c r="E115" s="1284"/>
      <c r="F115" s="1238"/>
      <c r="G115" s="1238"/>
      <c r="H115" s="1238"/>
      <c r="I115" s="1238"/>
      <c r="J115" s="1238"/>
      <c r="K115" s="1238"/>
      <c r="L115" s="1238"/>
      <c r="M115" s="1238"/>
      <c r="N115" s="1238"/>
      <c r="O115" s="1238"/>
      <c r="P115" s="1238"/>
      <c r="Q115" s="1238"/>
      <c r="R115" s="1238"/>
      <c r="S115" s="1238"/>
      <c r="T115" s="1238"/>
      <c r="U115" s="1198"/>
      <c r="V115" s="1238"/>
      <c r="W115" s="1238"/>
      <c r="X115" s="1198"/>
      <c r="Y115" s="1198"/>
      <c r="Z115" s="1198"/>
      <c r="AA115" s="1240"/>
      <c r="AB115" s="1242"/>
      <c r="AC115" s="1241"/>
      <c r="AD115" s="1242"/>
      <c r="AE115" s="1242"/>
      <c r="AF115" s="1242"/>
      <c r="AG115" s="1242"/>
      <c r="AH115" s="1242"/>
      <c r="AI115" s="1242"/>
      <c r="AJ115" s="1242"/>
      <c r="AK115" s="1242"/>
      <c r="AL115" s="1238"/>
    </row>
    <row r="116" spans="1:38" s="1189" customFormat="1" ht="14.25" x14ac:dyDescent="0.25">
      <c r="A116" s="1465" t="s">
        <v>132</v>
      </c>
      <c r="B116" s="1285"/>
      <c r="C116" s="1285"/>
      <c r="D116" s="1285"/>
      <c r="E116" s="1458" t="s">
        <v>109</v>
      </c>
      <c r="F116" s="1459"/>
      <c r="G116" s="1459"/>
      <c r="H116" s="1459"/>
      <c r="I116" s="1459"/>
      <c r="J116" s="1459"/>
      <c r="K116" s="1459"/>
      <c r="L116" s="1459"/>
      <c r="M116" s="1459"/>
      <c r="N116" s="1459"/>
      <c r="O116" s="1459"/>
      <c r="P116" s="1459"/>
      <c r="Q116" s="1459"/>
      <c r="R116" s="1459"/>
      <c r="S116" s="1459"/>
      <c r="T116" s="1459"/>
      <c r="U116" s="1459"/>
      <c r="V116" s="1459"/>
      <c r="W116" s="1459"/>
      <c r="X116" s="1459"/>
      <c r="Y116" s="1459"/>
      <c r="Z116" s="1459"/>
      <c r="AA116" s="1459"/>
      <c r="AB116" s="1459"/>
      <c r="AC116" s="1459"/>
      <c r="AD116" s="1459"/>
      <c r="AE116" s="1286"/>
      <c r="AF116" s="1286"/>
      <c r="AG116" s="1286"/>
      <c r="AH116" s="1286"/>
      <c r="AI116" s="1286"/>
      <c r="AJ116" s="1286"/>
      <c r="AK116" s="1286"/>
      <c r="AL116" s="1466" t="s">
        <v>24</v>
      </c>
    </row>
    <row r="117" spans="1:38" s="1189" customFormat="1" ht="14.25" x14ac:dyDescent="0.25">
      <c r="A117" s="1465"/>
      <c r="B117" s="1287"/>
      <c r="C117" s="1196">
        <v>2</v>
      </c>
      <c r="D117" s="1196">
        <v>3</v>
      </c>
      <c r="E117" s="1196">
        <v>4</v>
      </c>
      <c r="F117" s="1196">
        <v>5</v>
      </c>
      <c r="G117" s="1196">
        <v>6</v>
      </c>
      <c r="H117" s="1196">
        <v>7</v>
      </c>
      <c r="I117" s="1196">
        <v>8</v>
      </c>
      <c r="J117" s="1196">
        <v>9</v>
      </c>
      <c r="K117" s="1196">
        <v>10</v>
      </c>
      <c r="L117" s="1196">
        <v>11</v>
      </c>
      <c r="M117" s="1196">
        <v>12</v>
      </c>
      <c r="N117" s="1196">
        <v>13</v>
      </c>
      <c r="O117" s="1196">
        <v>14</v>
      </c>
      <c r="P117" s="1196">
        <v>15</v>
      </c>
      <c r="Q117" s="1196">
        <v>16</v>
      </c>
      <c r="R117" s="1196">
        <v>17</v>
      </c>
      <c r="S117" s="1196">
        <v>18</v>
      </c>
      <c r="T117" s="1196">
        <v>19</v>
      </c>
      <c r="U117" s="1196">
        <v>20</v>
      </c>
      <c r="V117" s="1196">
        <v>21</v>
      </c>
      <c r="W117" s="1196">
        <v>22</v>
      </c>
      <c r="X117" s="1196">
        <v>23</v>
      </c>
      <c r="Y117" s="1196">
        <v>24</v>
      </c>
      <c r="Z117" s="1196">
        <v>25</v>
      </c>
      <c r="AA117" s="1196">
        <v>26</v>
      </c>
      <c r="AB117" s="1196">
        <v>27</v>
      </c>
      <c r="AC117" s="1196">
        <v>28</v>
      </c>
      <c r="AD117" s="1196">
        <v>29</v>
      </c>
      <c r="AE117" s="1196">
        <v>30</v>
      </c>
      <c r="AF117" s="1196">
        <v>31</v>
      </c>
      <c r="AG117" s="1196">
        <v>32</v>
      </c>
      <c r="AH117" s="1196">
        <v>33</v>
      </c>
      <c r="AI117" s="1196">
        <v>34</v>
      </c>
      <c r="AJ117" s="1196">
        <v>35</v>
      </c>
      <c r="AK117" s="1196">
        <v>36</v>
      </c>
      <c r="AL117" s="1466"/>
    </row>
    <row r="118" spans="1:38" s="1189" customFormat="1" ht="12.75" x14ac:dyDescent="0.25">
      <c r="A118" s="1288" t="s">
        <v>223</v>
      </c>
      <c r="B118" s="1288"/>
      <c r="C118" s="866"/>
      <c r="D118" s="866"/>
      <c r="E118" s="866"/>
      <c r="F118" s="866"/>
      <c r="G118" s="866"/>
      <c r="H118" s="866"/>
      <c r="I118" s="866"/>
      <c r="J118" s="866">
        <v>17972965</v>
      </c>
      <c r="K118" s="866"/>
      <c r="L118" s="866"/>
      <c r="M118" s="866"/>
      <c r="N118" s="1289"/>
      <c r="O118" s="866"/>
      <c r="P118" s="866"/>
      <c r="Q118" s="866"/>
      <c r="R118" s="866">
        <v>3977825</v>
      </c>
      <c r="S118" s="866"/>
      <c r="T118" s="866"/>
      <c r="U118" s="1201"/>
      <c r="V118" s="866"/>
      <c r="W118" s="866"/>
      <c r="X118" s="1201">
        <v>15669517</v>
      </c>
      <c r="Y118" s="1201"/>
      <c r="Z118" s="1201"/>
      <c r="AA118" s="982"/>
      <c r="AB118" s="1259"/>
      <c r="AC118" s="1290"/>
      <c r="AD118" s="1259"/>
      <c r="AE118" s="1259"/>
      <c r="AF118" s="1259"/>
      <c r="AG118" s="1259"/>
      <c r="AH118" s="1259"/>
      <c r="AI118" s="1259"/>
      <c r="AJ118" s="1259"/>
      <c r="AK118" s="1259"/>
      <c r="AL118" s="1255">
        <f>SUM(C118:AK118)</f>
        <v>37620307</v>
      </c>
    </row>
    <row r="119" spans="1:38" s="1189" customFormat="1" ht="12.75" x14ac:dyDescent="0.25">
      <c r="A119" s="1288" t="s">
        <v>222</v>
      </c>
      <c r="B119" s="1288"/>
      <c r="C119" s="866"/>
      <c r="D119" s="866"/>
      <c r="E119" s="866"/>
      <c r="F119" s="866"/>
      <c r="G119" s="866"/>
      <c r="H119" s="866"/>
      <c r="I119" s="866"/>
      <c r="J119" s="866"/>
      <c r="K119" s="866"/>
      <c r="L119" s="866"/>
      <c r="M119" s="866"/>
      <c r="N119" s="866"/>
      <c r="O119" s="866"/>
      <c r="P119" s="866"/>
      <c r="Q119" s="866"/>
      <c r="R119" s="866"/>
      <c r="S119" s="866"/>
      <c r="T119" s="866"/>
      <c r="U119" s="1201"/>
      <c r="V119" s="866"/>
      <c r="W119" s="866"/>
      <c r="X119" s="1201"/>
      <c r="Y119" s="1201"/>
      <c r="Z119" s="1201">
        <v>1444898479</v>
      </c>
      <c r="AA119" s="982"/>
      <c r="AB119" s="1259"/>
      <c r="AC119" s="1290"/>
      <c r="AD119" s="1259"/>
      <c r="AE119" s="1259"/>
      <c r="AF119" s="1259"/>
      <c r="AG119" s="1259"/>
      <c r="AH119" s="1259"/>
      <c r="AI119" s="1259"/>
      <c r="AJ119" s="1259"/>
      <c r="AK119" s="1259"/>
      <c r="AL119" s="1255">
        <f t="shared" ref="AL119:AL167" si="10">SUM(C119:AK119)</f>
        <v>1444898479</v>
      </c>
    </row>
    <row r="120" spans="1:38" s="1189" customFormat="1" ht="12.75" x14ac:dyDescent="0.2">
      <c r="A120" s="1288" t="s">
        <v>221</v>
      </c>
      <c r="B120" s="1288"/>
      <c r="C120" s="866"/>
      <c r="D120" s="1102"/>
      <c r="E120" s="866"/>
      <c r="F120" s="866"/>
      <c r="G120" s="1102"/>
      <c r="H120" s="1291"/>
      <c r="I120" s="866"/>
      <c r="J120" s="866"/>
      <c r="K120" s="866"/>
      <c r="L120" s="866"/>
      <c r="M120" s="866"/>
      <c r="N120" s="866"/>
      <c r="O120" s="866"/>
      <c r="P120" s="866"/>
      <c r="Q120" s="982"/>
      <c r="R120" s="866">
        <f>4003600+4003600+4442200+5017500</f>
        <v>17466900</v>
      </c>
      <c r="S120" s="866"/>
      <c r="T120" s="866"/>
      <c r="U120" s="866"/>
      <c r="V120" s="982"/>
      <c r="W120" s="866"/>
      <c r="X120" s="1201"/>
      <c r="Y120" s="1201"/>
      <c r="Z120" s="1201"/>
      <c r="AA120" s="982"/>
      <c r="AB120" s="1259">
        <f>17070000+70661200+58786100+12601000</f>
        <v>159118300</v>
      </c>
      <c r="AC120" s="1290"/>
      <c r="AD120" s="1259"/>
      <c r="AE120" s="1259"/>
      <c r="AF120" s="1259"/>
      <c r="AG120" s="1259"/>
      <c r="AH120" s="1259"/>
      <c r="AI120" s="1259"/>
      <c r="AJ120" s="1259"/>
      <c r="AK120" s="1259"/>
      <c r="AL120" s="1255">
        <f t="shared" si="10"/>
        <v>176585200</v>
      </c>
    </row>
    <row r="121" spans="1:38" s="1189" customFormat="1" ht="12.75" x14ac:dyDescent="0.2">
      <c r="A121" s="1288" t="s">
        <v>220</v>
      </c>
      <c r="B121" s="1288"/>
      <c r="C121" s="866"/>
      <c r="D121" s="866"/>
      <c r="E121" s="866"/>
      <c r="F121" s="866"/>
      <c r="G121" s="1102"/>
      <c r="H121" s="1291"/>
      <c r="I121" s="866"/>
      <c r="J121" s="866"/>
      <c r="K121" s="866"/>
      <c r="L121" s="866"/>
      <c r="M121" s="866"/>
      <c r="N121" s="866"/>
      <c r="O121" s="866"/>
      <c r="P121" s="866"/>
      <c r="Q121" s="866"/>
      <c r="R121" s="866"/>
      <c r="S121" s="866"/>
      <c r="T121" s="866"/>
      <c r="U121" s="1201"/>
      <c r="V121" s="982"/>
      <c r="W121" s="866"/>
      <c r="X121" s="1201"/>
      <c r="Y121" s="1201"/>
      <c r="Z121" s="1201"/>
      <c r="AA121" s="982"/>
      <c r="AB121" s="1259"/>
      <c r="AC121" s="1290"/>
      <c r="AD121" s="1259"/>
      <c r="AE121" s="1259"/>
      <c r="AF121" s="1259"/>
      <c r="AG121" s="1259"/>
      <c r="AH121" s="1259"/>
      <c r="AI121" s="1259"/>
      <c r="AJ121" s="1259"/>
      <c r="AK121" s="1259"/>
      <c r="AL121" s="1255">
        <f t="shared" si="10"/>
        <v>0</v>
      </c>
    </row>
    <row r="122" spans="1:38" s="1189" customFormat="1" ht="12.75" x14ac:dyDescent="0.25">
      <c r="A122" s="1288" t="s">
        <v>219</v>
      </c>
      <c r="B122" s="1288" t="s">
        <v>218</v>
      </c>
      <c r="C122" s="866"/>
      <c r="E122" s="866"/>
      <c r="F122" s="866"/>
      <c r="G122" s="866"/>
      <c r="H122" s="866"/>
      <c r="I122" s="866"/>
      <c r="J122" s="866"/>
      <c r="K122" s="866"/>
      <c r="L122" s="866"/>
      <c r="M122" s="866"/>
      <c r="N122" s="866"/>
      <c r="O122" s="866"/>
      <c r="P122" s="866"/>
      <c r="Q122" s="866"/>
      <c r="R122" s="866"/>
      <c r="S122" s="866"/>
      <c r="T122" s="866"/>
      <c r="U122" s="1201"/>
      <c r="V122" s="866"/>
      <c r="W122" s="866"/>
      <c r="X122" s="1201"/>
      <c r="Y122" s="1201"/>
      <c r="Z122" s="1201"/>
      <c r="AA122" s="982"/>
      <c r="AB122" s="1259">
        <v>128164265</v>
      </c>
      <c r="AC122" s="1290"/>
      <c r="AD122" s="1259"/>
      <c r="AE122" s="1259"/>
      <c r="AF122" s="1259"/>
      <c r="AG122" s="1259"/>
      <c r="AH122" s="1259"/>
      <c r="AI122" s="1259"/>
      <c r="AJ122" s="1259"/>
      <c r="AK122" s="1259"/>
      <c r="AL122" s="1255">
        <f t="shared" si="10"/>
        <v>128164265</v>
      </c>
    </row>
    <row r="123" spans="1:38" s="1189" customFormat="1" ht="12.75" x14ac:dyDescent="0.25">
      <c r="A123" s="1288"/>
      <c r="B123" s="1288" t="s">
        <v>217</v>
      </c>
      <c r="C123" s="866"/>
      <c r="D123" s="866"/>
      <c r="E123" s="866"/>
      <c r="F123" s="866"/>
      <c r="G123" s="866"/>
      <c r="H123" s="866"/>
      <c r="I123" s="866"/>
      <c r="J123" s="866"/>
      <c r="K123" s="866">
        <f>11313296+57087200</f>
        <v>68400496</v>
      </c>
      <c r="L123" s="866"/>
      <c r="M123" s="866"/>
      <c r="N123" s="866"/>
      <c r="O123" s="866"/>
      <c r="P123" s="866"/>
      <c r="Q123" s="866"/>
      <c r="R123" s="866"/>
      <c r="S123" s="866"/>
      <c r="T123" s="866"/>
      <c r="U123" s="1201"/>
      <c r="V123" s="866"/>
      <c r="W123" s="866"/>
      <c r="X123" s="1201"/>
      <c r="Y123" s="1201"/>
      <c r="Z123" s="1201"/>
      <c r="AA123" s="982"/>
      <c r="AB123" s="1259"/>
      <c r="AC123" s="1290"/>
      <c r="AD123" s="1259"/>
      <c r="AE123" s="1259"/>
      <c r="AF123" s="1259"/>
      <c r="AG123" s="1259"/>
      <c r="AH123" s="1259"/>
      <c r="AI123" s="1259"/>
      <c r="AJ123" s="1259"/>
      <c r="AK123" s="1259"/>
      <c r="AL123" s="1255">
        <f t="shared" si="10"/>
        <v>68400496</v>
      </c>
    </row>
    <row r="124" spans="1:38" s="1189" customFormat="1" ht="12.75" x14ac:dyDescent="0.15">
      <c r="A124" s="1288" t="s">
        <v>216</v>
      </c>
      <c r="B124" s="1288" t="s">
        <v>215</v>
      </c>
      <c r="C124" s="866"/>
      <c r="D124" s="866"/>
      <c r="E124" s="866"/>
      <c r="F124" s="866"/>
      <c r="G124" s="866"/>
      <c r="H124" s="866"/>
      <c r="I124" s="866"/>
      <c r="J124" s="866"/>
      <c r="K124" s="866"/>
      <c r="L124" s="866"/>
      <c r="M124" s="866"/>
      <c r="N124" s="866"/>
      <c r="O124" s="866"/>
      <c r="P124" s="866"/>
      <c r="Q124" s="866"/>
      <c r="R124" s="866"/>
      <c r="S124" s="866"/>
      <c r="T124" s="866"/>
      <c r="U124" s="1201"/>
      <c r="V124" s="866"/>
      <c r="W124" s="866"/>
      <c r="X124" s="1292"/>
      <c r="Y124" s="1201">
        <v>877014107</v>
      </c>
      <c r="Z124" s="1201"/>
      <c r="AA124" s="982"/>
      <c r="AB124" s="1259"/>
      <c r="AC124" s="1290"/>
      <c r="AD124" s="1259"/>
      <c r="AE124" s="1259"/>
      <c r="AF124" s="1259"/>
      <c r="AG124" s="1259"/>
      <c r="AH124" s="1259"/>
      <c r="AI124" s="1259"/>
      <c r="AJ124" s="1259"/>
      <c r="AK124" s="1259"/>
      <c r="AL124" s="1255">
        <f t="shared" si="10"/>
        <v>877014107</v>
      </c>
    </row>
    <row r="125" spans="1:38" s="1189" customFormat="1" ht="12.75" x14ac:dyDescent="0.25">
      <c r="A125" s="1288"/>
      <c r="B125" s="1288" t="s">
        <v>214</v>
      </c>
      <c r="C125" s="866"/>
      <c r="D125" s="866"/>
      <c r="E125" s="866"/>
      <c r="F125" s="866"/>
      <c r="G125" s="866"/>
      <c r="H125" s="866"/>
      <c r="I125" s="866"/>
      <c r="J125" s="866">
        <f>9786724+11175014</f>
        <v>20961738</v>
      </c>
      <c r="K125" s="866"/>
      <c r="L125" s="866"/>
      <c r="M125" s="866"/>
      <c r="N125" s="866"/>
      <c r="O125" s="866"/>
      <c r="P125" s="866"/>
      <c r="Q125" s="866"/>
      <c r="R125" s="866"/>
      <c r="S125" s="866"/>
      <c r="T125" s="866"/>
      <c r="U125" s="1201"/>
      <c r="V125" s="866"/>
      <c r="W125" s="866"/>
      <c r="X125" s="1201"/>
      <c r="Y125" s="1201"/>
      <c r="Z125" s="1201"/>
      <c r="AA125" s="982"/>
      <c r="AB125" s="1259"/>
      <c r="AC125" s="1290"/>
      <c r="AD125" s="1259"/>
      <c r="AE125" s="1259"/>
      <c r="AF125" s="1259"/>
      <c r="AG125" s="1259"/>
      <c r="AH125" s="1259"/>
      <c r="AI125" s="1259"/>
      <c r="AJ125" s="1259"/>
      <c r="AK125" s="1259"/>
      <c r="AL125" s="1255">
        <f t="shared" si="10"/>
        <v>20961738</v>
      </c>
    </row>
    <row r="126" spans="1:38" s="1189" customFormat="1" ht="12.75" x14ac:dyDescent="0.15">
      <c r="A126" s="1288"/>
      <c r="B126" s="1288" t="s">
        <v>213</v>
      </c>
      <c r="C126" s="866"/>
      <c r="D126" s="866"/>
      <c r="E126" s="866"/>
      <c r="F126" s="866"/>
      <c r="G126" s="866"/>
      <c r="H126" s="866"/>
      <c r="I126" s="866"/>
      <c r="J126" s="866"/>
      <c r="K126" s="866">
        <v>4919319</v>
      </c>
      <c r="L126" s="866"/>
      <c r="M126" s="866"/>
      <c r="N126" s="866"/>
      <c r="O126" s="866"/>
      <c r="P126" s="866"/>
      <c r="Q126" s="866"/>
      <c r="R126" s="866"/>
      <c r="S126" s="866"/>
      <c r="T126" s="866"/>
      <c r="U126" s="1201"/>
      <c r="V126" s="866"/>
      <c r="W126" s="866"/>
      <c r="X126" s="1292"/>
      <c r="Y126" s="1201"/>
      <c r="Z126" s="1201"/>
      <c r="AA126" s="982"/>
      <c r="AB126" s="1259"/>
      <c r="AC126" s="1290"/>
      <c r="AD126" s="1259"/>
      <c r="AE126" s="1259"/>
      <c r="AF126" s="1259"/>
      <c r="AG126" s="1259"/>
      <c r="AH126" s="1259"/>
      <c r="AI126" s="1259"/>
      <c r="AJ126" s="1259"/>
      <c r="AK126" s="1259"/>
      <c r="AL126" s="1255">
        <f t="shared" si="10"/>
        <v>4919319</v>
      </c>
    </row>
    <row r="127" spans="1:38" s="1189" customFormat="1" ht="12.75" x14ac:dyDescent="0.25">
      <c r="A127" s="1288"/>
      <c r="B127" s="1288" t="s">
        <v>212</v>
      </c>
      <c r="C127" s="866"/>
      <c r="D127" s="866"/>
      <c r="E127" s="866"/>
      <c r="F127" s="866"/>
      <c r="G127" s="866"/>
      <c r="H127" s="866"/>
      <c r="I127" s="866"/>
      <c r="J127" s="866">
        <v>196049318</v>
      </c>
      <c r="K127" s="866"/>
      <c r="L127" s="866"/>
      <c r="M127" s="866"/>
      <c r="N127" s="866"/>
      <c r="O127" s="866"/>
      <c r="P127" s="866"/>
      <c r="Q127" s="866"/>
      <c r="R127" s="866"/>
      <c r="S127" s="866"/>
      <c r="T127" s="866"/>
      <c r="U127" s="1201"/>
      <c r="V127" s="866"/>
      <c r="W127" s="866"/>
      <c r="X127" s="1201"/>
      <c r="Y127" s="1201"/>
      <c r="Z127" s="1201"/>
      <c r="AA127" s="982"/>
      <c r="AB127" s="1259"/>
      <c r="AC127" s="1290"/>
      <c r="AD127" s="1259"/>
      <c r="AE127" s="1259"/>
      <c r="AF127" s="1259"/>
      <c r="AG127" s="1259"/>
      <c r="AH127" s="1259"/>
      <c r="AI127" s="1259"/>
      <c r="AJ127" s="1259"/>
      <c r="AK127" s="1259"/>
      <c r="AL127" s="1255">
        <f t="shared" si="10"/>
        <v>196049318</v>
      </c>
    </row>
    <row r="128" spans="1:38" s="1189" customFormat="1" ht="12.75" x14ac:dyDescent="0.25">
      <c r="A128" s="1288"/>
      <c r="B128" s="1288" t="s">
        <v>6101</v>
      </c>
      <c r="C128" s="866"/>
      <c r="D128" s="866"/>
      <c r="E128" s="866"/>
      <c r="F128" s="866"/>
      <c r="G128" s="866"/>
      <c r="H128" s="866"/>
      <c r="I128" s="866"/>
      <c r="J128" s="866"/>
      <c r="K128" s="866"/>
      <c r="L128" s="866"/>
      <c r="M128" s="866"/>
      <c r="N128" s="866"/>
      <c r="O128" s="866"/>
      <c r="P128" s="866"/>
      <c r="Q128" s="866"/>
      <c r="R128" s="866"/>
      <c r="S128" s="866"/>
      <c r="T128" s="866"/>
      <c r="U128" s="1201"/>
      <c r="V128" s="866"/>
      <c r="W128" s="866"/>
      <c r="X128" s="1201"/>
      <c r="Y128" s="1201"/>
      <c r="Z128" s="1201"/>
      <c r="AA128" s="982"/>
      <c r="AB128" s="1259"/>
      <c r="AC128" s="1290"/>
      <c r="AD128" s="1259"/>
      <c r="AE128" s="1259"/>
      <c r="AF128" s="1259"/>
      <c r="AG128" s="1259"/>
      <c r="AH128" s="1259"/>
      <c r="AI128" s="1259"/>
      <c r="AJ128" s="1259"/>
      <c r="AK128" s="1259"/>
      <c r="AL128" s="1255">
        <f t="shared" si="10"/>
        <v>0</v>
      </c>
    </row>
    <row r="129" spans="1:38" s="1189" customFormat="1" ht="12.75" x14ac:dyDescent="0.25">
      <c r="A129" s="1288"/>
      <c r="B129" s="1288" t="s">
        <v>5989</v>
      </c>
      <c r="C129" s="866"/>
      <c r="D129" s="866"/>
      <c r="E129" s="866"/>
      <c r="F129" s="866"/>
      <c r="G129" s="866"/>
      <c r="H129" s="866"/>
      <c r="I129" s="866"/>
      <c r="J129" s="866"/>
      <c r="K129" s="866"/>
      <c r="L129" s="866"/>
      <c r="M129" s="866"/>
      <c r="N129" s="866"/>
      <c r="O129" s="866"/>
      <c r="P129" s="866"/>
      <c r="Q129" s="866"/>
      <c r="R129" s="866"/>
      <c r="S129" s="866"/>
      <c r="T129" s="866"/>
      <c r="U129" s="1201"/>
      <c r="V129" s="866"/>
      <c r="W129" s="866"/>
      <c r="X129" s="1201"/>
      <c r="Y129" s="1201"/>
      <c r="Z129" s="1201"/>
      <c r="AA129" s="982"/>
      <c r="AB129" s="1259"/>
      <c r="AC129" s="1290"/>
      <c r="AD129" s="1259"/>
      <c r="AE129" s="1259"/>
      <c r="AF129" s="1259"/>
      <c r="AG129" s="1259"/>
      <c r="AH129" s="1259"/>
      <c r="AI129" s="1259"/>
      <c r="AJ129" s="1259"/>
      <c r="AK129" s="1259"/>
      <c r="AL129" s="1255">
        <f t="shared" si="10"/>
        <v>0</v>
      </c>
    </row>
    <row r="130" spans="1:38" s="1189" customFormat="1" ht="12.75" x14ac:dyDescent="0.25">
      <c r="A130" s="1288" t="s">
        <v>25</v>
      </c>
      <c r="B130" s="1288" t="s">
        <v>22</v>
      </c>
      <c r="C130" s="866"/>
      <c r="D130" s="901"/>
      <c r="E130" s="866"/>
      <c r="F130" s="618"/>
      <c r="G130" s="866"/>
      <c r="H130" s="866"/>
      <c r="I130" s="866"/>
      <c r="J130" s="866"/>
      <c r="K130" s="618">
        <v>17191747</v>
      </c>
      <c r="L130" s="866">
        <v>23725401</v>
      </c>
      <c r="M130" s="866"/>
      <c r="N130" s="866">
        <v>13809067</v>
      </c>
      <c r="O130" s="866"/>
      <c r="P130" s="866"/>
      <c r="Q130" s="866"/>
      <c r="R130" s="866">
        <v>29746195</v>
      </c>
      <c r="S130" s="866">
        <v>3685445</v>
      </c>
      <c r="T130" s="866"/>
      <c r="U130" s="1201">
        <v>22399959</v>
      </c>
      <c r="V130" s="866"/>
      <c r="W130" s="982"/>
      <c r="X130" s="1201">
        <v>34043292</v>
      </c>
      <c r="Y130" s="572"/>
      <c r="Z130" s="1201"/>
      <c r="AA130" s="1259"/>
      <c r="AB130" s="618">
        <v>10303546</v>
      </c>
      <c r="AC130" s="1259"/>
      <c r="AD130" s="1259"/>
      <c r="AE130" s="1259"/>
      <c r="AF130" s="1259"/>
      <c r="AG130" s="1259"/>
      <c r="AH130" s="1259"/>
      <c r="AI130" s="1259"/>
      <c r="AJ130" s="1259"/>
      <c r="AK130" s="1259"/>
      <c r="AL130" s="1255">
        <f t="shared" si="10"/>
        <v>154904652</v>
      </c>
    </row>
    <row r="131" spans="1:38" s="1189" customFormat="1" ht="12.75" x14ac:dyDescent="0.25">
      <c r="A131" s="1288"/>
      <c r="B131" s="1288" t="s">
        <v>153</v>
      </c>
      <c r="C131" s="866"/>
      <c r="D131" s="866"/>
      <c r="E131" s="866"/>
      <c r="F131" s="866"/>
      <c r="G131" s="866"/>
      <c r="H131" s="866"/>
      <c r="I131" s="866"/>
      <c r="J131" s="866"/>
      <c r="K131" s="866"/>
      <c r="L131" s="866"/>
      <c r="M131" s="866"/>
      <c r="N131" s="866">
        <v>21708043</v>
      </c>
      <c r="O131" s="866"/>
      <c r="P131" s="866"/>
      <c r="Q131" s="866"/>
      <c r="R131" s="866">
        <v>10713994</v>
      </c>
      <c r="S131" s="866">
        <v>10653510</v>
      </c>
      <c r="T131" s="866"/>
      <c r="U131" s="1201">
        <v>6462033</v>
      </c>
      <c r="V131" s="866"/>
      <c r="W131" s="982"/>
      <c r="X131" s="1201">
        <v>1887627</v>
      </c>
      <c r="Y131" s="572"/>
      <c r="Z131" s="1201"/>
      <c r="AA131" s="1259"/>
      <c r="AB131" s="618"/>
      <c r="AC131" s="1259"/>
      <c r="AD131" s="1259"/>
      <c r="AE131" s="1259"/>
      <c r="AF131" s="1259"/>
      <c r="AG131" s="1259"/>
      <c r="AH131" s="1259"/>
      <c r="AI131" s="1259"/>
      <c r="AJ131" s="1259"/>
      <c r="AK131" s="1259"/>
      <c r="AL131" s="1255">
        <f t="shared" si="10"/>
        <v>51425207</v>
      </c>
    </row>
    <row r="132" spans="1:38" s="1189" customFormat="1" ht="12.75" x14ac:dyDescent="0.25">
      <c r="A132" s="1288"/>
      <c r="B132" s="1288" t="s">
        <v>6091</v>
      </c>
      <c r="C132" s="866"/>
      <c r="D132" s="866"/>
      <c r="E132" s="866"/>
      <c r="F132" s="866"/>
      <c r="G132" s="866"/>
      <c r="H132" s="866"/>
      <c r="I132" s="866"/>
      <c r="J132" s="866"/>
      <c r="K132" s="866"/>
      <c r="L132" s="866"/>
      <c r="M132" s="866"/>
      <c r="N132" s="866"/>
      <c r="O132" s="866"/>
      <c r="P132" s="866"/>
      <c r="Q132" s="1201"/>
      <c r="R132" s="866"/>
      <c r="S132" s="866"/>
      <c r="T132" s="866"/>
      <c r="U132" s="1201"/>
      <c r="V132" s="866"/>
      <c r="W132" s="982"/>
      <c r="X132" s="1201"/>
      <c r="Y132" s="619"/>
      <c r="Z132" s="1201"/>
      <c r="AA132" s="982"/>
      <c r="AB132" s="1259"/>
      <c r="AC132" s="1259"/>
      <c r="AD132" s="1259"/>
      <c r="AE132" s="1259"/>
      <c r="AF132" s="1259"/>
      <c r="AG132" s="1259"/>
      <c r="AH132" s="1259"/>
      <c r="AI132" s="1259"/>
      <c r="AJ132" s="1259"/>
      <c r="AK132" s="1259"/>
      <c r="AL132" s="1255">
        <f t="shared" si="10"/>
        <v>0</v>
      </c>
    </row>
    <row r="133" spans="1:38" s="1189" customFormat="1" ht="12.75" x14ac:dyDescent="0.25">
      <c r="A133" s="1288"/>
      <c r="B133" s="1288" t="s">
        <v>23</v>
      </c>
      <c r="C133" s="866"/>
      <c r="D133" s="866"/>
      <c r="E133" s="866"/>
      <c r="F133" s="866"/>
      <c r="G133" s="866"/>
      <c r="H133" s="866"/>
      <c r="I133" s="866"/>
      <c r="J133" s="866"/>
      <c r="K133" s="866"/>
      <c r="L133" s="866"/>
      <c r="M133" s="866"/>
      <c r="N133" s="866">
        <v>6074945</v>
      </c>
      <c r="O133" s="866"/>
      <c r="P133" s="866"/>
      <c r="Q133" s="1201"/>
      <c r="R133" s="866">
        <v>15815207</v>
      </c>
      <c r="S133" s="866">
        <v>3239172</v>
      </c>
      <c r="T133" s="866"/>
      <c r="U133" s="1201">
        <v>11038600</v>
      </c>
      <c r="V133" s="866"/>
      <c r="W133" s="982"/>
      <c r="X133" s="1201">
        <v>32580340</v>
      </c>
      <c r="Y133" s="619"/>
      <c r="Z133" s="1201"/>
      <c r="AA133" s="982"/>
      <c r="AB133" s="1259">
        <v>8833898</v>
      </c>
      <c r="AC133" s="1259"/>
      <c r="AD133" s="1259"/>
      <c r="AE133" s="1259"/>
      <c r="AF133" s="1259"/>
      <c r="AG133" s="1259"/>
      <c r="AH133" s="1259"/>
      <c r="AI133" s="1259"/>
      <c r="AJ133" s="1259"/>
      <c r="AK133" s="1259"/>
      <c r="AL133" s="1255">
        <f t="shared" si="10"/>
        <v>77582162</v>
      </c>
    </row>
    <row r="134" spans="1:38" s="1189" customFormat="1" ht="12" customHeight="1" x14ac:dyDescent="0.25">
      <c r="A134" s="1288" t="s">
        <v>211</v>
      </c>
      <c r="B134" s="1288" t="s">
        <v>210</v>
      </c>
      <c r="C134" s="866"/>
      <c r="D134" s="866"/>
      <c r="E134" s="866"/>
      <c r="F134" s="866"/>
      <c r="G134" s="866"/>
      <c r="H134" s="866"/>
      <c r="I134" s="866"/>
      <c r="J134" s="866"/>
      <c r="K134" s="866"/>
      <c r="L134" s="866"/>
      <c r="M134" s="866"/>
      <c r="N134" s="866"/>
      <c r="O134" s="866"/>
      <c r="P134" s="866"/>
      <c r="Q134" s="866"/>
      <c r="R134" s="866"/>
      <c r="S134" s="866"/>
      <c r="T134" s="866"/>
      <c r="U134" s="1201"/>
      <c r="V134" s="866"/>
      <c r="W134" s="982"/>
      <c r="X134" s="1201"/>
      <c r="Y134" s="1293"/>
      <c r="Z134" s="1201"/>
      <c r="AA134" s="982"/>
      <c r="AB134" s="1259"/>
      <c r="AC134" s="1259"/>
      <c r="AD134" s="1259"/>
      <c r="AE134" s="1259"/>
      <c r="AF134" s="1259"/>
      <c r="AG134" s="1259"/>
      <c r="AH134" s="1259"/>
      <c r="AI134" s="1259"/>
      <c r="AJ134" s="1259"/>
      <c r="AK134" s="1259"/>
      <c r="AL134" s="1255">
        <f t="shared" si="10"/>
        <v>0</v>
      </c>
    </row>
    <row r="135" spans="1:38" s="1189" customFormat="1" ht="12.75" x14ac:dyDescent="0.25">
      <c r="A135" s="1288"/>
      <c r="B135" s="1288" t="s">
        <v>62</v>
      </c>
      <c r="C135" s="866"/>
      <c r="D135" s="866"/>
      <c r="E135" s="866"/>
      <c r="F135" s="866"/>
      <c r="G135" s="866"/>
      <c r="H135" s="866"/>
      <c r="I135" s="866"/>
      <c r="J135" s="866"/>
      <c r="K135" s="866"/>
      <c r="L135" s="866"/>
      <c r="M135" s="866"/>
      <c r="N135" s="866"/>
      <c r="O135" s="866"/>
      <c r="P135" s="866"/>
      <c r="Q135" s="866"/>
      <c r="R135" s="866"/>
      <c r="S135" s="866"/>
      <c r="T135" s="866"/>
      <c r="U135" s="1201"/>
      <c r="V135" s="866"/>
      <c r="W135" s="982"/>
      <c r="X135" s="1201"/>
      <c r="Y135" s="1208"/>
      <c r="Z135" s="1201"/>
      <c r="AA135" s="982"/>
      <c r="AB135" s="1259"/>
      <c r="AC135" s="1259"/>
      <c r="AD135" s="1259"/>
      <c r="AE135" s="1259"/>
      <c r="AF135" s="1259"/>
      <c r="AG135" s="1259"/>
      <c r="AH135" s="1259"/>
      <c r="AI135" s="1259"/>
      <c r="AJ135" s="1259"/>
      <c r="AK135" s="1259"/>
      <c r="AL135" s="1255">
        <f t="shared" si="10"/>
        <v>0</v>
      </c>
    </row>
    <row r="136" spans="1:38" s="1189" customFormat="1" ht="12.75" x14ac:dyDescent="0.25">
      <c r="A136" s="1288"/>
      <c r="B136" s="1288" t="s">
        <v>61</v>
      </c>
      <c r="C136" s="866"/>
      <c r="D136" s="866"/>
      <c r="E136" s="866"/>
      <c r="F136" s="866"/>
      <c r="G136" s="866"/>
      <c r="H136" s="866"/>
      <c r="I136" s="866"/>
      <c r="J136" s="866"/>
      <c r="K136" s="866"/>
      <c r="L136" s="866"/>
      <c r="M136" s="866"/>
      <c r="N136" s="866"/>
      <c r="O136" s="866"/>
      <c r="P136" s="866"/>
      <c r="Q136" s="866"/>
      <c r="R136" s="866"/>
      <c r="S136" s="866"/>
      <c r="T136" s="866"/>
      <c r="U136" s="1201"/>
      <c r="V136" s="866"/>
      <c r="W136" s="982"/>
      <c r="X136" s="1201"/>
      <c r="Y136" s="1208"/>
      <c r="Z136" s="1201"/>
      <c r="AA136" s="982"/>
      <c r="AB136" s="1259"/>
      <c r="AC136" s="1259"/>
      <c r="AD136" s="1259"/>
      <c r="AE136" s="1259"/>
      <c r="AF136" s="1259"/>
      <c r="AG136" s="1259"/>
      <c r="AH136" s="1259"/>
      <c r="AI136" s="1259"/>
      <c r="AJ136" s="1259"/>
      <c r="AK136" s="1259"/>
      <c r="AL136" s="1255">
        <f t="shared" si="10"/>
        <v>0</v>
      </c>
    </row>
    <row r="137" spans="1:38" s="1189" customFormat="1" ht="12.75" x14ac:dyDescent="0.25">
      <c r="A137" s="1288"/>
      <c r="B137" s="1288" t="s">
        <v>44</v>
      </c>
      <c r="C137" s="866"/>
      <c r="D137" s="866"/>
      <c r="E137" s="866"/>
      <c r="F137" s="866"/>
      <c r="G137" s="866"/>
      <c r="H137" s="866"/>
      <c r="I137" s="866"/>
      <c r="J137" s="866"/>
      <c r="K137" s="866"/>
      <c r="L137" s="866"/>
      <c r="M137" s="866"/>
      <c r="N137" s="866"/>
      <c r="O137" s="866"/>
      <c r="P137" s="866"/>
      <c r="Q137" s="1201"/>
      <c r="R137" s="866"/>
      <c r="S137" s="866"/>
      <c r="T137" s="866"/>
      <c r="U137" s="1201"/>
      <c r="V137" s="866"/>
      <c r="W137" s="982"/>
      <c r="X137" s="1201"/>
      <c r="Y137" s="1208"/>
      <c r="Z137" s="1201"/>
      <c r="AA137" s="982"/>
      <c r="AB137" s="1259"/>
      <c r="AC137" s="1259"/>
      <c r="AD137" s="1259"/>
      <c r="AE137" s="1259"/>
      <c r="AF137" s="1259"/>
      <c r="AG137" s="1259"/>
      <c r="AH137" s="1259"/>
      <c r="AI137" s="1259"/>
      <c r="AJ137" s="1259"/>
      <c r="AK137" s="1259"/>
      <c r="AL137" s="1255">
        <f t="shared" si="10"/>
        <v>0</v>
      </c>
    </row>
    <row r="138" spans="1:38" s="1189" customFormat="1" ht="12.75" x14ac:dyDescent="0.25">
      <c r="A138" s="1288"/>
      <c r="B138" s="1288" t="s">
        <v>57</v>
      </c>
      <c r="C138" s="866"/>
      <c r="D138" s="866"/>
      <c r="E138" s="866"/>
      <c r="F138" s="866"/>
      <c r="G138" s="866"/>
      <c r="H138" s="866"/>
      <c r="I138" s="866"/>
      <c r="J138" s="866">
        <v>43259902</v>
      </c>
      <c r="K138" s="866"/>
      <c r="L138" s="866"/>
      <c r="M138" s="866"/>
      <c r="N138" s="866"/>
      <c r="O138" s="866"/>
      <c r="P138" s="866"/>
      <c r="Q138" s="866"/>
      <c r="R138" s="866"/>
      <c r="S138" s="866"/>
      <c r="T138" s="866"/>
      <c r="U138" s="1201"/>
      <c r="V138" s="866"/>
      <c r="W138" s="982"/>
      <c r="X138" s="1201"/>
      <c r="Y138" s="619"/>
      <c r="Z138" s="1201"/>
      <c r="AA138" s="982"/>
      <c r="AB138" s="1259"/>
      <c r="AC138" s="1259"/>
      <c r="AD138" s="1259"/>
      <c r="AE138" s="1259"/>
      <c r="AF138" s="1259"/>
      <c r="AG138" s="1259"/>
      <c r="AH138" s="1259"/>
      <c r="AI138" s="1259"/>
      <c r="AJ138" s="1259"/>
      <c r="AK138" s="1259"/>
      <c r="AL138" s="1255">
        <f t="shared" si="10"/>
        <v>43259902</v>
      </c>
    </row>
    <row r="139" spans="1:38" s="1189" customFormat="1" ht="12.75" x14ac:dyDescent="0.25">
      <c r="A139" s="1288"/>
      <c r="B139" s="1288" t="s">
        <v>68</v>
      </c>
      <c r="C139" s="866"/>
      <c r="D139" s="866"/>
      <c r="E139" s="866"/>
      <c r="F139" s="866"/>
      <c r="G139" s="866"/>
      <c r="H139" s="866"/>
      <c r="I139" s="866"/>
      <c r="J139" s="866">
        <v>64440032</v>
      </c>
      <c r="K139" s="866"/>
      <c r="L139" s="866"/>
      <c r="M139" s="866"/>
      <c r="N139" s="866"/>
      <c r="O139" s="866"/>
      <c r="P139" s="866"/>
      <c r="Q139" s="866"/>
      <c r="R139" s="866"/>
      <c r="S139" s="866"/>
      <c r="T139" s="866"/>
      <c r="U139" s="1201"/>
      <c r="V139" s="866"/>
      <c r="W139" s="982"/>
      <c r="X139" s="1201"/>
      <c r="Y139" s="1208"/>
      <c r="Z139" s="1201"/>
      <c r="AA139" s="1230"/>
      <c r="AB139" s="1259"/>
      <c r="AC139" s="1259"/>
      <c r="AD139" s="1259"/>
      <c r="AE139" s="1259"/>
      <c r="AF139" s="1259"/>
      <c r="AG139" s="1259"/>
      <c r="AH139" s="1259"/>
      <c r="AI139" s="1259"/>
      <c r="AJ139" s="1259"/>
      <c r="AK139" s="1259"/>
      <c r="AL139" s="1255">
        <f t="shared" si="10"/>
        <v>64440032</v>
      </c>
    </row>
    <row r="140" spans="1:38" s="1189" customFormat="1" ht="12.75" x14ac:dyDescent="0.25">
      <c r="A140" s="1288" t="s">
        <v>1574</v>
      </c>
      <c r="B140" s="1288"/>
      <c r="C140" s="866"/>
      <c r="D140" s="866"/>
      <c r="E140" s="866"/>
      <c r="F140" s="866"/>
      <c r="G140" s="866"/>
      <c r="H140" s="866"/>
      <c r="I140" s="866"/>
      <c r="J140" s="866"/>
      <c r="K140" s="866"/>
      <c r="L140" s="866"/>
      <c r="M140" s="866"/>
      <c r="N140" s="866"/>
      <c r="O140" s="866"/>
      <c r="P140" s="866"/>
      <c r="Q140" s="866"/>
      <c r="R140" s="866"/>
      <c r="S140" s="866"/>
      <c r="T140" s="866"/>
      <c r="U140" s="1201"/>
      <c r="V140" s="866"/>
      <c r="W140" s="982"/>
      <c r="X140" s="1201"/>
      <c r="Y140" s="1208"/>
      <c r="Z140" s="1201">
        <v>10000000</v>
      </c>
      <c r="AA140" s="1230"/>
      <c r="AB140" s="1259">
        <v>5000000</v>
      </c>
      <c r="AC140" s="1259"/>
      <c r="AD140" s="1259"/>
      <c r="AE140" s="1259"/>
      <c r="AF140" s="1259"/>
      <c r="AG140" s="1259"/>
      <c r="AH140" s="1259"/>
      <c r="AI140" s="1259"/>
      <c r="AJ140" s="1259"/>
      <c r="AK140" s="1259"/>
      <c r="AL140" s="1255">
        <f t="shared" si="10"/>
        <v>15000000</v>
      </c>
    </row>
    <row r="141" spans="1:38" s="1189" customFormat="1" ht="12.75" x14ac:dyDescent="0.25">
      <c r="A141" s="1288" t="s">
        <v>6119</v>
      </c>
      <c r="B141" s="1288"/>
      <c r="C141" s="866"/>
      <c r="D141" s="866"/>
      <c r="E141" s="1232"/>
      <c r="F141" s="621"/>
      <c r="G141" s="866"/>
      <c r="H141" s="866"/>
      <c r="I141" s="866"/>
      <c r="J141" s="866"/>
      <c r="K141" s="866"/>
      <c r="L141" s="866"/>
      <c r="M141" s="866"/>
      <c r="N141" s="866"/>
      <c r="O141" s="866"/>
      <c r="P141" s="866"/>
      <c r="Q141" s="866"/>
      <c r="R141" s="866"/>
      <c r="S141" s="866">
        <f>2386100+3385450</f>
        <v>5771550</v>
      </c>
      <c r="T141" s="866"/>
      <c r="U141" s="1201"/>
      <c r="V141" s="866"/>
      <c r="W141" s="982"/>
      <c r="X141" s="1201"/>
      <c r="Y141" s="1208"/>
      <c r="Z141" s="1201"/>
      <c r="AA141" s="1230"/>
      <c r="AB141" s="1259">
        <f>4704200</f>
        <v>4704200</v>
      </c>
      <c r="AC141" s="1259"/>
      <c r="AD141" s="1259"/>
      <c r="AE141" s="1259"/>
      <c r="AF141" s="1259"/>
      <c r="AG141" s="1259"/>
      <c r="AH141" s="1259"/>
      <c r="AI141" s="1259"/>
      <c r="AJ141" s="1259"/>
      <c r="AK141" s="1259"/>
      <c r="AL141" s="1255">
        <f t="shared" si="10"/>
        <v>10475750</v>
      </c>
    </row>
    <row r="142" spans="1:38" s="1189" customFormat="1" ht="12.75" x14ac:dyDescent="0.25">
      <c r="A142" s="1288" t="s">
        <v>5988</v>
      </c>
      <c r="B142" s="1288"/>
      <c r="C142" s="866"/>
      <c r="D142" s="866"/>
      <c r="E142" s="866"/>
      <c r="F142" s="618"/>
      <c r="G142" s="866"/>
      <c r="H142" s="866"/>
      <c r="I142" s="866"/>
      <c r="J142" s="866"/>
      <c r="K142" s="866"/>
      <c r="L142" s="866"/>
      <c r="M142" s="866"/>
      <c r="N142" s="866"/>
      <c r="O142" s="866"/>
      <c r="P142" s="866"/>
      <c r="Q142" s="866"/>
      <c r="R142" s="866"/>
      <c r="S142" s="866"/>
      <c r="T142" s="866"/>
      <c r="U142" s="1201"/>
      <c r="V142" s="866"/>
      <c r="W142" s="982"/>
      <c r="X142" s="1201"/>
      <c r="Y142" s="1208"/>
      <c r="Z142" s="1201"/>
      <c r="AA142" s="1230"/>
      <c r="AB142" s="1259"/>
      <c r="AC142" s="1259"/>
      <c r="AD142" s="1259"/>
      <c r="AE142" s="1259"/>
      <c r="AF142" s="1259"/>
      <c r="AG142" s="1259"/>
      <c r="AH142" s="1259"/>
      <c r="AI142" s="1259"/>
      <c r="AJ142" s="1259"/>
      <c r="AK142" s="1259"/>
      <c r="AL142" s="1255">
        <f t="shared" si="10"/>
        <v>0</v>
      </c>
    </row>
    <row r="143" spans="1:38" s="1189" customFormat="1" ht="12.75" x14ac:dyDescent="0.25">
      <c r="A143" s="1288" t="s">
        <v>5992</v>
      </c>
      <c r="B143" s="1288"/>
      <c r="C143" s="866"/>
      <c r="D143" s="866"/>
      <c r="E143" s="866"/>
      <c r="F143" s="621"/>
      <c r="G143" s="866"/>
      <c r="H143" s="866"/>
      <c r="I143" s="866"/>
      <c r="J143" s="866"/>
      <c r="K143" s="866">
        <f>3215000+11385000+8859000</f>
        <v>23459000</v>
      </c>
      <c r="L143" s="866"/>
      <c r="M143" s="866"/>
      <c r="N143" s="866"/>
      <c r="O143" s="866"/>
      <c r="P143" s="866"/>
      <c r="Q143" s="866"/>
      <c r="R143" s="1261"/>
      <c r="S143" s="866"/>
      <c r="T143" s="866"/>
      <c r="U143" s="1201"/>
      <c r="V143" s="866"/>
      <c r="W143" s="982"/>
      <c r="X143" s="1201"/>
      <c r="Y143" s="1208"/>
      <c r="Z143" s="1201"/>
      <c r="AA143" s="1230"/>
      <c r="AB143" s="1259"/>
      <c r="AC143" s="1259"/>
      <c r="AD143" s="1259"/>
      <c r="AE143" s="1259"/>
      <c r="AF143" s="1259"/>
      <c r="AG143" s="1259"/>
      <c r="AH143" s="1259"/>
      <c r="AI143" s="1259"/>
      <c r="AJ143" s="1259"/>
      <c r="AK143" s="1259"/>
      <c r="AL143" s="1255">
        <f t="shared" si="10"/>
        <v>23459000</v>
      </c>
    </row>
    <row r="144" spans="1:38" s="1189" customFormat="1" ht="12.75" x14ac:dyDescent="0.25">
      <c r="A144" s="1288" t="s">
        <v>6111</v>
      </c>
      <c r="B144" s="1288"/>
      <c r="C144" s="866"/>
      <c r="D144" s="866"/>
      <c r="E144" s="866"/>
      <c r="F144" s="621"/>
      <c r="G144" s="866"/>
      <c r="H144" s="866"/>
      <c r="I144" s="866"/>
      <c r="J144" s="866"/>
      <c r="K144" s="866"/>
      <c r="L144" s="866"/>
      <c r="M144" s="866">
        <v>918000</v>
      </c>
      <c r="N144" s="866"/>
      <c r="O144" s="866"/>
      <c r="P144" s="866"/>
      <c r="Q144" s="866"/>
      <c r="R144" s="866"/>
      <c r="S144" s="866"/>
      <c r="T144" s="866"/>
      <c r="U144" s="1201"/>
      <c r="V144" s="866"/>
      <c r="W144" s="982"/>
      <c r="X144" s="1201">
        <v>4290000</v>
      </c>
      <c r="Y144" s="619"/>
      <c r="Z144" s="1201"/>
      <c r="AA144" s="1230"/>
      <c r="AB144" s="1259"/>
      <c r="AC144" s="1259"/>
      <c r="AD144" s="1259"/>
      <c r="AE144" s="1259"/>
      <c r="AF144" s="1259"/>
      <c r="AG144" s="1259"/>
      <c r="AH144" s="1259"/>
      <c r="AI144" s="1259"/>
      <c r="AJ144" s="1259"/>
      <c r="AK144" s="1259"/>
      <c r="AL144" s="1255">
        <f t="shared" si="10"/>
        <v>5208000</v>
      </c>
    </row>
    <row r="145" spans="1:38" s="1189" customFormat="1" ht="12.75" x14ac:dyDescent="0.25">
      <c r="A145" s="1288" t="s">
        <v>677</v>
      </c>
      <c r="B145" s="1288"/>
      <c r="C145" s="866"/>
      <c r="D145" s="866"/>
      <c r="E145" s="866"/>
      <c r="F145" s="621"/>
      <c r="G145" s="866"/>
      <c r="H145" s="866"/>
      <c r="I145" s="866"/>
      <c r="J145" s="866"/>
      <c r="K145" s="866"/>
      <c r="L145" s="866"/>
      <c r="M145" s="866"/>
      <c r="N145" s="866"/>
      <c r="O145" s="866"/>
      <c r="P145" s="866"/>
      <c r="Q145" s="866"/>
      <c r="R145" s="866"/>
      <c r="S145" s="866"/>
      <c r="T145" s="866"/>
      <c r="U145" s="1201"/>
      <c r="V145" s="866"/>
      <c r="W145" s="982"/>
      <c r="X145" s="1201"/>
      <c r="Y145" s="619"/>
      <c r="Z145" s="1201"/>
      <c r="AA145" s="1230"/>
      <c r="AB145" s="1259"/>
      <c r="AC145" s="1259"/>
      <c r="AD145" s="1259"/>
      <c r="AE145" s="1259"/>
      <c r="AF145" s="1259"/>
      <c r="AG145" s="1259"/>
      <c r="AH145" s="1259"/>
      <c r="AI145" s="1259"/>
      <c r="AJ145" s="1259"/>
      <c r="AK145" s="1259"/>
      <c r="AL145" s="1255">
        <f t="shared" si="10"/>
        <v>0</v>
      </c>
    </row>
    <row r="146" spans="1:38" s="1189" customFormat="1" ht="12.75" x14ac:dyDescent="0.25">
      <c r="A146" s="1288" t="s">
        <v>5933</v>
      </c>
      <c r="B146" s="1288"/>
      <c r="C146" s="866"/>
      <c r="D146" s="866"/>
      <c r="E146" s="866"/>
      <c r="F146" s="866"/>
      <c r="G146" s="866"/>
      <c r="H146" s="866"/>
      <c r="I146" s="866"/>
      <c r="J146" s="866"/>
      <c r="K146" s="866"/>
      <c r="L146" s="866"/>
      <c r="M146" s="866"/>
      <c r="N146" s="866"/>
      <c r="O146" s="866"/>
      <c r="P146" s="866"/>
      <c r="Q146" s="866"/>
      <c r="R146" s="866"/>
      <c r="S146" s="866"/>
      <c r="T146" s="866"/>
      <c r="U146" s="1201"/>
      <c r="V146" s="866"/>
      <c r="W146" s="982"/>
      <c r="X146" s="1201"/>
      <c r="Y146" s="619"/>
      <c r="Z146" s="1201"/>
      <c r="AA146" s="1230"/>
      <c r="AB146" s="1259">
        <v>9734600</v>
      </c>
      <c r="AC146" s="1259"/>
      <c r="AD146" s="1259"/>
      <c r="AE146" s="1259"/>
      <c r="AF146" s="1259"/>
      <c r="AG146" s="1259"/>
      <c r="AH146" s="1259"/>
      <c r="AI146" s="1259"/>
      <c r="AJ146" s="1259"/>
      <c r="AK146" s="1259"/>
      <c r="AL146" s="1255">
        <f t="shared" si="10"/>
        <v>9734600</v>
      </c>
    </row>
    <row r="147" spans="1:38" s="1189" customFormat="1" ht="12.75" x14ac:dyDescent="0.25">
      <c r="A147" s="1288" t="s">
        <v>4291</v>
      </c>
      <c r="B147" s="1288"/>
      <c r="C147" s="866"/>
      <c r="D147" s="866"/>
      <c r="E147" s="866"/>
      <c r="F147" s="866"/>
      <c r="G147" s="866"/>
      <c r="H147" s="866"/>
      <c r="I147" s="866"/>
      <c r="J147" s="866"/>
      <c r="K147" s="866"/>
      <c r="L147" s="866"/>
      <c r="M147" s="866"/>
      <c r="N147" s="866"/>
      <c r="O147" s="866"/>
      <c r="P147" s="866"/>
      <c r="Q147" s="866"/>
      <c r="R147" s="866">
        <f>3221100</f>
        <v>3221100</v>
      </c>
      <c r="S147" s="866"/>
      <c r="T147" s="866"/>
      <c r="U147" s="1201"/>
      <c r="V147" s="866"/>
      <c r="W147" s="982"/>
      <c r="X147" s="1201"/>
      <c r="Y147" s="1208"/>
      <c r="Z147" s="1201"/>
      <c r="AA147" s="1230"/>
      <c r="AB147" s="1259"/>
      <c r="AC147" s="1259"/>
      <c r="AD147" s="1259"/>
      <c r="AE147" s="1259"/>
      <c r="AF147" s="1259"/>
      <c r="AG147" s="1259"/>
      <c r="AH147" s="1259"/>
      <c r="AI147" s="1259"/>
      <c r="AJ147" s="1259"/>
      <c r="AK147" s="1259"/>
      <c r="AL147" s="1255">
        <f t="shared" si="10"/>
        <v>3221100</v>
      </c>
    </row>
    <row r="148" spans="1:38" s="1189" customFormat="1" ht="12.75" x14ac:dyDescent="0.25">
      <c r="A148" s="1288" t="s">
        <v>5934</v>
      </c>
      <c r="B148" s="1288"/>
      <c r="C148" s="866"/>
      <c r="D148" s="866"/>
      <c r="E148" s="866"/>
      <c r="F148" s="866"/>
      <c r="G148" s="866"/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>
        <v>3500000</v>
      </c>
      <c r="S148" s="866"/>
      <c r="T148" s="866">
        <f>7464156+7386985</f>
        <v>14851141</v>
      </c>
      <c r="U148" s="1201"/>
      <c r="V148" s="866"/>
      <c r="W148" s="982"/>
      <c r="X148" s="1201"/>
      <c r="Y148" s="1208"/>
      <c r="Z148" s="1201"/>
      <c r="AA148" s="1230"/>
      <c r="AB148" s="1259"/>
      <c r="AC148" s="1259"/>
      <c r="AD148" s="1259"/>
      <c r="AE148" s="1259"/>
      <c r="AF148" s="1259"/>
      <c r="AG148" s="1259"/>
      <c r="AH148" s="1259"/>
      <c r="AI148" s="1259"/>
      <c r="AJ148" s="1259"/>
      <c r="AK148" s="1259"/>
      <c r="AL148" s="1255">
        <f t="shared" si="10"/>
        <v>18351141</v>
      </c>
    </row>
    <row r="149" spans="1:38" s="1189" customFormat="1" ht="12.75" x14ac:dyDescent="0.25">
      <c r="A149" s="1288" t="s">
        <v>3947</v>
      </c>
      <c r="B149" s="1288"/>
      <c r="C149" s="866"/>
      <c r="D149" s="866"/>
      <c r="E149" s="866"/>
      <c r="F149" s="866"/>
      <c r="G149" s="866"/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>
        <f>1042792+291600</f>
        <v>1334392</v>
      </c>
      <c r="U149" s="1201">
        <v>509069</v>
      </c>
      <c r="V149" s="866"/>
      <c r="W149" s="982"/>
      <c r="X149" s="1201"/>
      <c r="Y149" s="619"/>
      <c r="Z149" s="1201">
        <f>1013543+356740+1042324</f>
        <v>2412607</v>
      </c>
      <c r="AA149" s="1230"/>
      <c r="AB149" s="1259"/>
      <c r="AC149" s="1259"/>
      <c r="AD149" s="1259"/>
      <c r="AE149" s="1259"/>
      <c r="AF149" s="1259"/>
      <c r="AG149" s="1259"/>
      <c r="AH149" s="1259"/>
      <c r="AI149" s="1259"/>
      <c r="AJ149" s="1259"/>
      <c r="AK149" s="1259"/>
      <c r="AL149" s="1255">
        <f t="shared" si="10"/>
        <v>4256068</v>
      </c>
    </row>
    <row r="150" spans="1:38" s="1189" customFormat="1" ht="12.75" x14ac:dyDescent="0.25">
      <c r="A150" s="1288" t="s">
        <v>3420</v>
      </c>
      <c r="B150" s="1288"/>
      <c r="C150" s="866"/>
      <c r="D150" s="866"/>
      <c r="E150" s="866"/>
      <c r="F150" s="866"/>
      <c r="G150" s="866"/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>
        <v>2775000</v>
      </c>
      <c r="U150" s="1201"/>
      <c r="V150" s="866"/>
      <c r="W150" s="982"/>
      <c r="X150" s="1201"/>
      <c r="Y150" s="619"/>
      <c r="Z150" s="1201">
        <v>3885000</v>
      </c>
      <c r="AA150" s="1230"/>
      <c r="AB150" s="1259"/>
      <c r="AC150" s="1259"/>
      <c r="AD150" s="1259"/>
      <c r="AE150" s="1259"/>
      <c r="AF150" s="1259"/>
      <c r="AG150" s="1259"/>
      <c r="AH150" s="1259"/>
      <c r="AI150" s="1259"/>
      <c r="AJ150" s="1259"/>
      <c r="AK150" s="1259"/>
      <c r="AL150" s="1255">
        <f t="shared" si="10"/>
        <v>6660000</v>
      </c>
    </row>
    <row r="151" spans="1:38" s="1189" customFormat="1" ht="13.5" customHeight="1" x14ac:dyDescent="0.25">
      <c r="A151" s="1288" t="s">
        <v>5937</v>
      </c>
      <c r="B151" s="1288"/>
      <c r="C151" s="866"/>
      <c r="D151" s="866"/>
      <c r="E151" s="866"/>
      <c r="F151" s="866"/>
      <c r="G151" s="866"/>
      <c r="H151" s="866"/>
      <c r="I151" s="866"/>
      <c r="J151" s="866"/>
      <c r="K151" s="866"/>
      <c r="L151" s="866"/>
      <c r="M151" s="866"/>
      <c r="N151" s="866"/>
      <c r="O151" s="866"/>
      <c r="P151" s="866"/>
      <c r="Q151" s="866"/>
      <c r="R151" s="866"/>
      <c r="S151" s="866"/>
      <c r="T151" s="866"/>
      <c r="U151" s="1201"/>
      <c r="V151" s="866"/>
      <c r="W151" s="982"/>
      <c r="X151" s="1201"/>
      <c r="Y151" s="619"/>
      <c r="Z151" s="1201">
        <v>4344000</v>
      </c>
      <c r="AA151" s="1230"/>
      <c r="AB151" s="1259"/>
      <c r="AC151" s="1259"/>
      <c r="AD151" s="1259"/>
      <c r="AE151" s="1259"/>
      <c r="AF151" s="1259"/>
      <c r="AG151" s="1259"/>
      <c r="AH151" s="1259"/>
      <c r="AI151" s="1259"/>
      <c r="AJ151" s="1259"/>
      <c r="AK151" s="1259"/>
      <c r="AL151" s="1255">
        <f t="shared" si="10"/>
        <v>4344000</v>
      </c>
    </row>
    <row r="152" spans="1:38" s="1189" customFormat="1" ht="13.5" customHeight="1" x14ac:dyDescent="0.25">
      <c r="A152" s="1288" t="s">
        <v>6224</v>
      </c>
      <c r="B152" s="1288"/>
      <c r="C152" s="866"/>
      <c r="D152" s="866"/>
      <c r="E152" s="866"/>
      <c r="F152" s="866"/>
      <c r="G152" s="866"/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/>
      <c r="T152" s="866"/>
      <c r="U152" s="1201"/>
      <c r="V152" s="866"/>
      <c r="W152" s="982"/>
      <c r="X152" s="1201"/>
      <c r="Y152" s="619"/>
      <c r="Z152" s="1201"/>
      <c r="AA152" s="1230"/>
      <c r="AB152" s="1259"/>
      <c r="AC152" s="1259"/>
      <c r="AD152" s="1259"/>
      <c r="AE152" s="1259"/>
      <c r="AF152" s="1259"/>
      <c r="AG152" s="1259"/>
      <c r="AH152" s="1259"/>
      <c r="AI152" s="1259"/>
      <c r="AJ152" s="1259"/>
      <c r="AK152" s="1259"/>
      <c r="AL152" s="1255">
        <f t="shared" si="10"/>
        <v>0</v>
      </c>
    </row>
    <row r="153" spans="1:38" s="1189" customFormat="1" ht="12.75" x14ac:dyDescent="0.25">
      <c r="A153" s="1288" t="s">
        <v>5935</v>
      </c>
      <c r="B153" s="1288"/>
      <c r="C153" s="866"/>
      <c r="D153" s="866"/>
      <c r="E153" s="866"/>
      <c r="F153" s="866"/>
      <c r="G153" s="866"/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>
        <v>1890000</v>
      </c>
      <c r="S153" s="866"/>
      <c r="T153" s="866">
        <v>1225000</v>
      </c>
      <c r="U153" s="1201"/>
      <c r="V153" s="866"/>
      <c r="W153" s="982"/>
      <c r="X153" s="1201">
        <v>4400000</v>
      </c>
      <c r="Y153" s="619"/>
      <c r="Z153" s="1201"/>
      <c r="AA153" s="1230"/>
      <c r="AB153" s="1259"/>
      <c r="AC153" s="1259"/>
      <c r="AD153" s="1259"/>
      <c r="AE153" s="1259"/>
      <c r="AF153" s="1259"/>
      <c r="AG153" s="1259"/>
      <c r="AH153" s="1259"/>
      <c r="AI153" s="1259"/>
      <c r="AJ153" s="1259"/>
      <c r="AK153" s="1259"/>
      <c r="AL153" s="1255">
        <f t="shared" si="10"/>
        <v>7515000</v>
      </c>
    </row>
    <row r="154" spans="1:38" s="1189" customFormat="1" ht="12.75" x14ac:dyDescent="0.25">
      <c r="A154" s="1288" t="s">
        <v>6125</v>
      </c>
      <c r="B154" s="1288"/>
      <c r="C154" s="866"/>
      <c r="D154" s="866"/>
      <c r="E154" s="866"/>
      <c r="F154" s="866"/>
      <c r="G154" s="866"/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1201"/>
      <c r="V154" s="866"/>
      <c r="W154" s="982"/>
      <c r="X154" s="1201"/>
      <c r="Y154" s="619"/>
      <c r="Z154" s="1201"/>
      <c r="AA154" s="1230"/>
      <c r="AB154" s="1259"/>
      <c r="AC154" s="1259"/>
      <c r="AD154" s="1259"/>
      <c r="AE154" s="1259"/>
      <c r="AF154" s="1259"/>
      <c r="AG154" s="1259"/>
      <c r="AH154" s="1259"/>
      <c r="AI154" s="1259"/>
      <c r="AJ154" s="1259"/>
      <c r="AK154" s="1259"/>
      <c r="AL154" s="1255">
        <f t="shared" si="10"/>
        <v>0</v>
      </c>
    </row>
    <row r="155" spans="1:38" s="1189" customFormat="1" ht="12.75" x14ac:dyDescent="0.25">
      <c r="A155" s="1288" t="s">
        <v>5936</v>
      </c>
      <c r="B155" s="1288"/>
      <c r="C155" s="866"/>
      <c r="D155" s="866"/>
      <c r="E155" s="866"/>
      <c r="F155" s="866"/>
      <c r="G155" s="866"/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984"/>
      <c r="U155" s="1294">
        <f>43396791+38243891.35</f>
        <v>81640682.349999994</v>
      </c>
      <c r="V155" s="866"/>
      <c r="W155" s="982"/>
      <c r="X155" s="1294"/>
      <c r="Y155" s="619"/>
      <c r="Z155" s="1201"/>
      <c r="AA155" s="1230"/>
      <c r="AB155" s="1259"/>
      <c r="AC155" s="1259"/>
      <c r="AD155" s="1259"/>
      <c r="AE155" s="1259"/>
      <c r="AF155" s="1259"/>
      <c r="AG155" s="1295"/>
      <c r="AH155" s="1259"/>
      <c r="AI155" s="1259"/>
      <c r="AJ155" s="1259"/>
      <c r="AK155" s="1259"/>
      <c r="AL155" s="1255">
        <f t="shared" si="10"/>
        <v>81640682.349999994</v>
      </c>
    </row>
    <row r="156" spans="1:38" s="1189" customFormat="1" ht="12.75" x14ac:dyDescent="0.25">
      <c r="A156" s="1288" t="s">
        <v>742</v>
      </c>
      <c r="B156" s="1288"/>
      <c r="C156" s="866"/>
      <c r="D156" s="866"/>
      <c r="E156" s="866"/>
      <c r="F156" s="866"/>
      <c r="G156" s="866"/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>
        <f>41854250</f>
        <v>41854250</v>
      </c>
      <c r="S156" s="866"/>
      <c r="T156" s="866"/>
      <c r="U156" s="1201"/>
      <c r="V156" s="866"/>
      <c r="W156" s="982"/>
      <c r="X156" s="1201"/>
      <c r="Y156" s="619"/>
      <c r="Z156" s="1201"/>
      <c r="AA156" s="1230"/>
      <c r="AB156" s="1259"/>
      <c r="AC156" s="1259"/>
      <c r="AD156" s="1259"/>
      <c r="AE156" s="1259"/>
      <c r="AF156" s="1259"/>
      <c r="AG156" s="1259"/>
      <c r="AH156" s="1259"/>
      <c r="AI156" s="1259"/>
      <c r="AJ156" s="1259"/>
      <c r="AK156" s="1259"/>
      <c r="AL156" s="1255">
        <f t="shared" si="10"/>
        <v>41854250</v>
      </c>
    </row>
    <row r="157" spans="1:38" s="1189" customFormat="1" ht="12.75" x14ac:dyDescent="0.25">
      <c r="A157" s="1288" t="s">
        <v>5938</v>
      </c>
      <c r="B157" s="1288"/>
      <c r="C157" s="866"/>
      <c r="D157" s="866"/>
      <c r="E157" s="866"/>
      <c r="F157" s="866"/>
      <c r="G157" s="866"/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1201"/>
      <c r="V157" s="866"/>
      <c r="W157" s="982"/>
      <c r="X157" s="1201"/>
      <c r="Y157" s="1232"/>
      <c r="Z157" s="619"/>
      <c r="AA157" s="1230"/>
      <c r="AB157" s="1259"/>
      <c r="AC157" s="1259"/>
      <c r="AD157" s="1259"/>
      <c r="AE157" s="1259"/>
      <c r="AF157" s="1259"/>
      <c r="AG157" s="1259"/>
      <c r="AH157" s="1259"/>
      <c r="AI157" s="1259"/>
      <c r="AJ157" s="1259"/>
      <c r="AK157" s="1259"/>
      <c r="AL157" s="1255">
        <f t="shared" si="10"/>
        <v>0</v>
      </c>
    </row>
    <row r="158" spans="1:38" s="1189" customFormat="1" ht="12.75" x14ac:dyDescent="0.25">
      <c r="A158" s="1288" t="s">
        <v>3131</v>
      </c>
      <c r="B158" s="1288"/>
      <c r="C158" s="866"/>
      <c r="D158" s="866"/>
      <c r="E158" s="866"/>
      <c r="F158" s="866"/>
      <c r="G158" s="866"/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1201"/>
      <c r="V158" s="866"/>
      <c r="W158" s="982"/>
      <c r="X158" s="1201"/>
      <c r="Y158" s="1232"/>
      <c r="Z158" s="1201"/>
      <c r="AA158" s="1230"/>
      <c r="AB158" s="1259"/>
      <c r="AC158" s="1259"/>
      <c r="AD158" s="1259"/>
      <c r="AE158" s="1259"/>
      <c r="AF158" s="1259"/>
      <c r="AG158" s="1259"/>
      <c r="AH158" s="1259"/>
      <c r="AI158" s="1259"/>
      <c r="AJ158" s="1259"/>
      <c r="AK158" s="1259"/>
      <c r="AL158" s="1255">
        <f t="shared" si="10"/>
        <v>0</v>
      </c>
    </row>
    <row r="159" spans="1:38" s="1189" customFormat="1" ht="12.75" x14ac:dyDescent="0.15">
      <c r="A159" s="1288" t="s">
        <v>209</v>
      </c>
      <c r="B159" s="1288"/>
      <c r="C159" s="866"/>
      <c r="D159" s="866"/>
      <c r="E159" s="866"/>
      <c r="F159" s="866"/>
      <c r="G159" s="866"/>
      <c r="H159" s="866"/>
      <c r="I159" s="866"/>
      <c r="J159" s="866"/>
      <c r="K159" s="866"/>
      <c r="L159" s="866"/>
      <c r="M159" s="866"/>
      <c r="N159" s="866"/>
      <c r="O159" s="866"/>
      <c r="P159" s="866"/>
      <c r="Q159" s="866"/>
      <c r="R159" s="866"/>
      <c r="S159" s="866"/>
      <c r="T159" s="866"/>
      <c r="U159" s="1201"/>
      <c r="V159" s="866"/>
      <c r="W159" s="866"/>
      <c r="X159" s="1201"/>
      <c r="Y159" s="1201"/>
      <c r="Z159" s="1201"/>
      <c r="AA159" s="296"/>
      <c r="AB159" s="1259"/>
      <c r="AC159" s="1259"/>
      <c r="AD159" s="1259"/>
      <c r="AE159" s="1259"/>
      <c r="AF159" s="1259"/>
      <c r="AG159" s="1259"/>
      <c r="AH159" s="1259"/>
      <c r="AI159" s="1259"/>
      <c r="AJ159" s="1259"/>
      <c r="AK159" s="1259"/>
      <c r="AL159" s="1255">
        <f t="shared" si="10"/>
        <v>0</v>
      </c>
    </row>
    <row r="160" spans="1:38" s="1189" customFormat="1" ht="12.75" x14ac:dyDescent="0.15">
      <c r="A160" s="1288" t="s">
        <v>6155</v>
      </c>
      <c r="B160" s="1288"/>
      <c r="C160" s="866"/>
      <c r="D160" s="866"/>
      <c r="E160" s="866"/>
      <c r="F160" s="866"/>
      <c r="G160" s="866"/>
      <c r="H160" s="866"/>
      <c r="I160" s="866"/>
      <c r="J160" s="866"/>
      <c r="K160" s="866"/>
      <c r="L160" s="866"/>
      <c r="M160" s="866"/>
      <c r="N160" s="866"/>
      <c r="O160" s="866"/>
      <c r="P160" s="866"/>
      <c r="Q160" s="866"/>
      <c r="R160" s="866"/>
      <c r="S160" s="866"/>
      <c r="T160" s="866"/>
      <c r="U160" s="1201"/>
      <c r="V160" s="866"/>
      <c r="W160" s="866"/>
      <c r="X160" s="1201"/>
      <c r="Y160" s="1201"/>
      <c r="Z160" s="1201"/>
      <c r="AA160" s="296"/>
      <c r="AB160" s="1296"/>
      <c r="AC160" s="1259"/>
      <c r="AD160" s="1259"/>
      <c r="AE160" s="1259"/>
      <c r="AF160" s="1259"/>
      <c r="AG160" s="1259"/>
      <c r="AH160" s="1259"/>
      <c r="AI160" s="1259"/>
      <c r="AJ160" s="1259"/>
      <c r="AK160" s="1259"/>
      <c r="AL160" s="1255"/>
    </row>
    <row r="161" spans="1:101" s="1189" customFormat="1" ht="12.75" x14ac:dyDescent="0.25">
      <c r="A161" s="1288" t="s">
        <v>208</v>
      </c>
      <c r="B161" s="1288"/>
      <c r="C161" s="866"/>
      <c r="D161" s="866"/>
      <c r="E161" s="866"/>
      <c r="F161" s="866"/>
      <c r="G161" s="866"/>
      <c r="H161" s="866"/>
      <c r="I161" s="1232"/>
      <c r="J161" s="866">
        <f>48000+450000</f>
        <v>498000</v>
      </c>
      <c r="K161" s="866"/>
      <c r="L161" s="866"/>
      <c r="M161" s="866">
        <f>100000</f>
        <v>100000</v>
      </c>
      <c r="N161" s="866">
        <v>50000</v>
      </c>
      <c r="O161" s="866"/>
      <c r="P161" s="1232"/>
      <c r="Q161" s="618"/>
      <c r="R161" s="866"/>
      <c r="S161" s="866"/>
      <c r="T161" s="866"/>
      <c r="U161" s="618"/>
      <c r="V161" s="866"/>
      <c r="W161" s="866"/>
      <c r="X161" s="1201"/>
      <c r="Y161" s="618">
        <v>100000</v>
      </c>
      <c r="Z161" s="1201"/>
      <c r="AA161" s="1201"/>
      <c r="AB161" s="300"/>
      <c r="AC161" s="1259"/>
      <c r="AD161" s="1259"/>
      <c r="AE161" s="1259"/>
      <c r="AF161" s="1259"/>
      <c r="AG161" s="1259"/>
      <c r="AH161" s="1259"/>
      <c r="AI161" s="1259"/>
      <c r="AJ161" s="1259"/>
      <c r="AK161" s="1259"/>
      <c r="AL161" s="1255">
        <f t="shared" si="10"/>
        <v>748000</v>
      </c>
    </row>
    <row r="162" spans="1:101" s="1189" customFormat="1" ht="12.75" x14ac:dyDescent="0.25">
      <c r="A162" s="1297" t="s">
        <v>207</v>
      </c>
      <c r="B162" s="1298"/>
      <c r="C162" s="561"/>
      <c r="D162" s="866"/>
      <c r="E162" s="1183"/>
      <c r="F162" s="866"/>
      <c r="G162" s="866"/>
      <c r="H162" s="866"/>
      <c r="I162" s="866"/>
      <c r="J162" s="866"/>
      <c r="K162" s="866"/>
      <c r="L162" s="866"/>
      <c r="M162" s="866"/>
      <c r="N162" s="866"/>
      <c r="O162" s="866"/>
      <c r="P162" s="866"/>
      <c r="Q162" s="866"/>
      <c r="R162" s="866"/>
      <c r="S162" s="866"/>
      <c r="T162" s="866"/>
      <c r="U162" s="1201"/>
      <c r="V162" s="982"/>
      <c r="W162" s="866"/>
      <c r="X162" s="1201"/>
      <c r="Y162" s="1201"/>
      <c r="Z162" s="1201"/>
      <c r="AA162" s="982"/>
      <c r="AB162" s="1259"/>
      <c r="AC162" s="1259"/>
      <c r="AD162" s="1259"/>
      <c r="AF162" s="1259"/>
      <c r="AG162" s="1259"/>
      <c r="AH162" s="1259"/>
      <c r="AI162" s="1259"/>
      <c r="AJ162" s="1259"/>
      <c r="AK162" s="1259"/>
      <c r="AL162" s="1255">
        <f t="shared" si="10"/>
        <v>0</v>
      </c>
    </row>
    <row r="163" spans="1:101" s="1189" customFormat="1" ht="12.75" x14ac:dyDescent="0.25">
      <c r="A163" s="1297" t="s">
        <v>206</v>
      </c>
      <c r="B163" s="1297"/>
      <c r="C163" s="1259"/>
      <c r="D163" s="866"/>
      <c r="E163" s="866"/>
      <c r="F163" s="866"/>
      <c r="G163" s="866"/>
      <c r="H163" s="866"/>
      <c r="I163" s="866"/>
      <c r="J163" s="866"/>
      <c r="K163" s="866"/>
      <c r="L163" s="866"/>
      <c r="M163" s="866"/>
      <c r="N163" s="866"/>
      <c r="O163" s="1232"/>
      <c r="P163" s="866"/>
      <c r="Q163" s="866"/>
      <c r="R163" s="866"/>
      <c r="S163" s="866"/>
      <c r="T163" s="866"/>
      <c r="U163" s="1201"/>
      <c r="V163" s="982"/>
      <c r="W163" s="866"/>
      <c r="X163" s="1201"/>
      <c r="Y163" s="1201"/>
      <c r="Z163" s="1201"/>
      <c r="AA163" s="982"/>
      <c r="AB163" s="1259"/>
      <c r="AC163" s="1259"/>
      <c r="AD163" s="1259"/>
      <c r="AE163" s="1259"/>
      <c r="AF163" s="1259"/>
      <c r="AG163" s="1259"/>
      <c r="AH163" s="1259"/>
      <c r="AI163" s="1259"/>
      <c r="AJ163" s="1259"/>
      <c r="AK163" s="1259"/>
      <c r="AL163" s="1255">
        <f t="shared" si="10"/>
        <v>0</v>
      </c>
    </row>
    <row r="164" spans="1:101" s="1189" customFormat="1" ht="12.75" x14ac:dyDescent="0.25">
      <c r="A164" s="1297" t="s">
        <v>205</v>
      </c>
      <c r="B164" s="1297"/>
      <c r="C164" s="1347"/>
      <c r="D164" s="1299"/>
      <c r="E164" s="866"/>
      <c r="F164" s="866"/>
      <c r="G164" s="866"/>
      <c r="H164" s="866"/>
      <c r="I164" s="866"/>
      <c r="J164" s="866"/>
      <c r="K164" s="866"/>
      <c r="L164" s="866"/>
      <c r="M164" s="866"/>
      <c r="N164" s="866"/>
      <c r="O164" s="1232"/>
      <c r="P164" s="866"/>
      <c r="Q164" s="866"/>
      <c r="R164" s="866"/>
      <c r="S164" s="866"/>
      <c r="T164" s="866"/>
      <c r="U164" s="1201"/>
      <c r="V164" s="866"/>
      <c r="W164" s="866"/>
      <c r="X164" s="1201"/>
      <c r="Y164" s="1201"/>
      <c r="Z164" s="1201"/>
      <c r="AA164" s="982"/>
      <c r="AB164" s="1259"/>
      <c r="AC164" s="1259"/>
      <c r="AD164" s="1259"/>
      <c r="AE164" s="1232"/>
      <c r="AF164" s="1259"/>
      <c r="AG164" s="1295"/>
      <c r="AH164" s="1259"/>
      <c r="AI164" s="1295"/>
      <c r="AJ164" s="1259"/>
      <c r="AK164" s="1259"/>
      <c r="AL164" s="1255">
        <f t="shared" si="10"/>
        <v>0</v>
      </c>
    </row>
    <row r="165" spans="1:101" s="1189" customFormat="1" ht="12.75" x14ac:dyDescent="0.25">
      <c r="A165" s="1297" t="s">
        <v>6253</v>
      </c>
      <c r="B165" s="1297"/>
      <c r="C165" s="1299"/>
      <c r="D165" s="1299"/>
      <c r="E165" s="866"/>
      <c r="F165" s="866"/>
      <c r="G165" s="866"/>
      <c r="H165" s="866"/>
      <c r="I165" s="866"/>
      <c r="J165" s="866"/>
      <c r="K165" s="866"/>
      <c r="L165" s="866"/>
      <c r="M165" s="866"/>
      <c r="N165" s="866"/>
      <c r="O165" s="1232"/>
      <c r="P165" s="866"/>
      <c r="Q165" s="866"/>
      <c r="R165" s="866"/>
      <c r="S165" s="866"/>
      <c r="T165" s="866"/>
      <c r="U165" s="1201"/>
      <c r="V165" s="866"/>
      <c r="W165" s="866"/>
      <c r="X165" s="1201"/>
      <c r="Y165" s="1223"/>
      <c r="Z165" s="1201"/>
      <c r="AA165" s="982"/>
      <c r="AB165" s="1259"/>
      <c r="AC165" s="1259"/>
      <c r="AD165" s="1259"/>
      <c r="AE165" s="1232"/>
      <c r="AF165" s="1259"/>
      <c r="AG165" s="1295"/>
      <c r="AH165" s="1259"/>
      <c r="AI165" s="1295"/>
      <c r="AJ165" s="1259"/>
      <c r="AK165" s="1259"/>
      <c r="AL165" s="1255"/>
    </row>
    <row r="166" spans="1:101" s="1189" customFormat="1" ht="12.75" x14ac:dyDescent="0.15">
      <c r="A166" s="1297" t="s">
        <v>204</v>
      </c>
      <c r="B166" s="1297"/>
      <c r="C166" s="866"/>
      <c r="D166" s="866"/>
      <c r="E166" s="866"/>
      <c r="F166" s="866"/>
      <c r="G166" s="866"/>
      <c r="H166" s="866"/>
      <c r="I166" s="866"/>
      <c r="J166" s="866"/>
      <c r="K166" s="866"/>
      <c r="L166" s="866">
        <f>275000+275000+275000+275000</f>
        <v>1100000</v>
      </c>
      <c r="M166" s="866"/>
      <c r="N166" s="866"/>
      <c r="O166" s="1232"/>
      <c r="P166" s="866"/>
      <c r="Q166" s="866"/>
      <c r="R166" s="866"/>
      <c r="S166" s="866"/>
      <c r="T166" s="866"/>
      <c r="U166" s="1201">
        <f>275000+275000+275000+275000</f>
        <v>1100000</v>
      </c>
      <c r="V166" s="866"/>
      <c r="W166" s="866"/>
      <c r="X166" s="1300"/>
      <c r="Y166" s="218"/>
      <c r="Z166" s="1201">
        <f>275000+275000+275000+275000</f>
        <v>1100000</v>
      </c>
      <c r="AA166" s="1232"/>
      <c r="AB166" s="982"/>
      <c r="AC166" s="1259"/>
      <c r="AD166" s="1259"/>
      <c r="AE166" s="1259"/>
      <c r="AF166" s="1259"/>
      <c r="AG166" s="1295"/>
      <c r="AH166" s="1259"/>
      <c r="AI166" s="1259"/>
      <c r="AJ166" s="1259"/>
      <c r="AK166" s="1259"/>
      <c r="AL166" s="1255">
        <f t="shared" si="10"/>
        <v>3300000</v>
      </c>
    </row>
    <row r="167" spans="1:101" s="1189" customFormat="1" ht="12.75" x14ac:dyDescent="0.15">
      <c r="A167" s="1297" t="s">
        <v>92</v>
      </c>
      <c r="B167" s="1297"/>
      <c r="C167" s="866"/>
      <c r="D167" s="866"/>
      <c r="E167" s="866"/>
      <c r="F167" s="561"/>
      <c r="G167" s="866"/>
      <c r="H167" s="866"/>
      <c r="I167" s="866"/>
      <c r="J167" s="866">
        <v>12247500</v>
      </c>
      <c r="K167" s="561"/>
      <c r="L167" s="866">
        <v>3000000</v>
      </c>
      <c r="M167" s="866"/>
      <c r="N167" s="866"/>
      <c r="O167" s="618"/>
      <c r="P167" s="866"/>
      <c r="Q167" s="866"/>
      <c r="R167" s="866"/>
      <c r="S167" s="866"/>
      <c r="T167" s="866"/>
      <c r="U167" s="1201"/>
      <c r="V167" s="866"/>
      <c r="W167" s="866"/>
      <c r="X167" s="218"/>
      <c r="Y167" s="296"/>
      <c r="Z167" s="1201">
        <f>343000+1320000+3605000+2550000</f>
        <v>7818000</v>
      </c>
      <c r="AA167" s="573"/>
      <c r="AB167" s="1259">
        <v>955500</v>
      </c>
      <c r="AC167" s="1204"/>
      <c r="AD167" s="1204"/>
      <c r="AE167" s="1204"/>
      <c r="AF167" s="1204"/>
      <c r="AG167" s="1204"/>
      <c r="AH167" s="1204"/>
      <c r="AI167" s="1204"/>
      <c r="AJ167" s="1204"/>
      <c r="AK167" s="1204"/>
      <c r="AL167" s="1255">
        <f t="shared" si="10"/>
        <v>24021000</v>
      </c>
    </row>
    <row r="168" spans="1:101" s="1189" customFormat="1" ht="14.25" x14ac:dyDescent="0.25">
      <c r="A168" s="1301" t="s">
        <v>203</v>
      </c>
      <c r="B168" s="1301"/>
      <c r="C168" s="1302">
        <f>SUM(C118:C167)</f>
        <v>0</v>
      </c>
      <c r="D168" s="1302">
        <f>SUM(D118:D167)</f>
        <v>0</v>
      </c>
      <c r="E168" s="1302">
        <f>SUM(E118:E167)</f>
        <v>0</v>
      </c>
      <c r="F168" s="1302">
        <f>SUM(F118:F167)</f>
        <v>0</v>
      </c>
      <c r="G168" s="1302">
        <f>SUM(G118:G167)</f>
        <v>0</v>
      </c>
      <c r="H168" s="1302">
        <f t="shared" ref="H168:AC168" si="11">SUM(H118:H167)</f>
        <v>0</v>
      </c>
      <c r="I168" s="1302">
        <f t="shared" si="11"/>
        <v>0</v>
      </c>
      <c r="J168" s="1302">
        <f>SUM(J118:J167)</f>
        <v>355429455</v>
      </c>
      <c r="K168" s="1302">
        <f t="shared" si="11"/>
        <v>113970562</v>
      </c>
      <c r="L168" s="1302">
        <f>SUM(L118:L167)</f>
        <v>27825401</v>
      </c>
      <c r="M168" s="1302">
        <f t="shared" si="11"/>
        <v>1018000</v>
      </c>
      <c r="N168" s="1302">
        <f t="shared" si="11"/>
        <v>41642055</v>
      </c>
      <c r="O168" s="1302">
        <f t="shared" si="11"/>
        <v>0</v>
      </c>
      <c r="P168" s="1302">
        <f t="shared" si="11"/>
        <v>0</v>
      </c>
      <c r="Q168" s="1302">
        <f>SUM(Q118:Q167)</f>
        <v>0</v>
      </c>
      <c r="R168" s="1302">
        <f t="shared" si="11"/>
        <v>128185471</v>
      </c>
      <c r="S168" s="1302">
        <f>SUM(S118:S167)</f>
        <v>23349677</v>
      </c>
      <c r="T168" s="1302">
        <f t="shared" si="11"/>
        <v>20185533</v>
      </c>
      <c r="U168" s="1302">
        <f t="shared" si="11"/>
        <v>123150343.34999999</v>
      </c>
      <c r="V168" s="1302">
        <f t="shared" si="11"/>
        <v>0</v>
      </c>
      <c r="W168" s="1302">
        <f t="shared" si="11"/>
        <v>0</v>
      </c>
      <c r="X168" s="1302">
        <f>SUM(X118:X167)</f>
        <v>92870776</v>
      </c>
      <c r="Y168" s="1302">
        <f t="shared" si="11"/>
        <v>877114107</v>
      </c>
      <c r="Z168" s="1302">
        <f t="shared" si="11"/>
        <v>1474458086</v>
      </c>
      <c r="AA168" s="1302">
        <f t="shared" si="11"/>
        <v>0</v>
      </c>
      <c r="AB168" s="1302">
        <f>SUM(AB118:AB167)</f>
        <v>326814309</v>
      </c>
      <c r="AC168" s="1302">
        <f t="shared" si="11"/>
        <v>0</v>
      </c>
      <c r="AD168" s="1302">
        <f>SUM(AD118:AD167)</f>
        <v>0</v>
      </c>
      <c r="AE168" s="1302">
        <f t="shared" ref="AE168:AK168" si="12">SUM(AE118:AE167)</f>
        <v>0</v>
      </c>
      <c r="AF168" s="1302">
        <f t="shared" si="12"/>
        <v>0</v>
      </c>
      <c r="AG168" s="1302">
        <f t="shared" si="12"/>
        <v>0</v>
      </c>
      <c r="AH168" s="1302">
        <f t="shared" si="12"/>
        <v>0</v>
      </c>
      <c r="AI168" s="1302">
        <f t="shared" si="12"/>
        <v>0</v>
      </c>
      <c r="AJ168" s="1302">
        <f t="shared" si="12"/>
        <v>0</v>
      </c>
      <c r="AK168" s="1302">
        <f t="shared" si="12"/>
        <v>0</v>
      </c>
      <c r="AL168" s="1302">
        <f>SUM(AL118:AL167)</f>
        <v>3606013775.3499999</v>
      </c>
    </row>
    <row r="169" spans="1:101" s="1189" customFormat="1" ht="12" x14ac:dyDescent="0.25">
      <c r="AA169" s="1191"/>
      <c r="AB169" s="1192"/>
      <c r="AC169" s="1193"/>
      <c r="AD169" s="1192"/>
      <c r="AE169" s="1192"/>
      <c r="AF169" s="1192"/>
      <c r="AG169" s="1192"/>
      <c r="AH169" s="1192"/>
      <c r="AI169" s="1192"/>
      <c r="AJ169" s="1192"/>
      <c r="AK169" s="1192"/>
    </row>
    <row r="170" spans="1:101" s="1305" customFormat="1" ht="14.25" x14ac:dyDescent="0.25">
      <c r="A170" s="1303" t="s">
        <v>170</v>
      </c>
      <c r="B170" s="1303"/>
      <c r="C170" s="1304">
        <f t="shared" ref="C170:AL170" si="13">C11+C24+C73+C93+C112+C168</f>
        <v>0</v>
      </c>
      <c r="D170" s="1304">
        <f t="shared" si="13"/>
        <v>0</v>
      </c>
      <c r="E170" s="1304">
        <f t="shared" si="13"/>
        <v>0</v>
      </c>
      <c r="F170" s="1304">
        <f t="shared" si="13"/>
        <v>0</v>
      </c>
      <c r="G170" s="1304">
        <f t="shared" si="13"/>
        <v>0</v>
      </c>
      <c r="H170" s="1304">
        <f t="shared" si="13"/>
        <v>0</v>
      </c>
      <c r="I170" s="1304">
        <f t="shared" si="13"/>
        <v>0</v>
      </c>
      <c r="J170" s="1304">
        <f t="shared" si="13"/>
        <v>5194560203</v>
      </c>
      <c r="K170" s="1304">
        <f t="shared" si="13"/>
        <v>128970562</v>
      </c>
      <c r="L170" s="1304">
        <f t="shared" si="13"/>
        <v>6013956517</v>
      </c>
      <c r="M170" s="1304">
        <f t="shared" si="13"/>
        <v>950072512</v>
      </c>
      <c r="N170" s="1304">
        <f t="shared" si="13"/>
        <v>12319252407</v>
      </c>
      <c r="O170" s="1304">
        <f t="shared" si="13"/>
        <v>0</v>
      </c>
      <c r="P170" s="1304">
        <f t="shared" si="13"/>
        <v>0</v>
      </c>
      <c r="Q170" s="1304">
        <f t="shared" si="13"/>
        <v>0</v>
      </c>
      <c r="R170" s="1304">
        <f t="shared" si="13"/>
        <v>15087482424</v>
      </c>
      <c r="S170" s="1304">
        <f t="shared" si="13"/>
        <v>7159296609</v>
      </c>
      <c r="T170" s="1304">
        <f t="shared" si="13"/>
        <v>155531499</v>
      </c>
      <c r="U170" s="1304">
        <f t="shared" si="13"/>
        <v>10544423721.35</v>
      </c>
      <c r="V170" s="1304">
        <f t="shared" si="13"/>
        <v>0</v>
      </c>
      <c r="W170" s="1304">
        <f t="shared" si="13"/>
        <v>0</v>
      </c>
      <c r="X170" s="1304">
        <f t="shared" si="13"/>
        <v>14991487004</v>
      </c>
      <c r="Y170" s="1304">
        <f t="shared" si="13"/>
        <v>6355271555</v>
      </c>
      <c r="Z170" s="1304">
        <f t="shared" si="13"/>
        <v>1652400593</v>
      </c>
      <c r="AA170" s="1304">
        <f t="shared" si="13"/>
        <v>0</v>
      </c>
      <c r="AB170" s="1304">
        <f t="shared" si="13"/>
        <v>4849267569</v>
      </c>
      <c r="AC170" s="1304">
        <f t="shared" si="13"/>
        <v>0</v>
      </c>
      <c r="AD170" s="1304">
        <f t="shared" si="13"/>
        <v>0</v>
      </c>
      <c r="AE170" s="1304">
        <f t="shared" si="13"/>
        <v>0</v>
      </c>
      <c r="AF170" s="1304">
        <f t="shared" si="13"/>
        <v>0</v>
      </c>
      <c r="AG170" s="1304">
        <f t="shared" si="13"/>
        <v>0</v>
      </c>
      <c r="AH170" s="1304">
        <f t="shared" si="13"/>
        <v>0</v>
      </c>
      <c r="AI170" s="1304">
        <f t="shared" si="13"/>
        <v>0</v>
      </c>
      <c r="AJ170" s="1304">
        <f t="shared" si="13"/>
        <v>0</v>
      </c>
      <c r="AK170" s="1304">
        <f t="shared" si="13"/>
        <v>0</v>
      </c>
      <c r="AL170" s="1304">
        <f t="shared" si="13"/>
        <v>84023898843.350006</v>
      </c>
      <c r="CN170" s="1306"/>
      <c r="CO170" s="1306"/>
      <c r="CP170" s="1306"/>
      <c r="CQ170" s="1306"/>
      <c r="CR170" s="1306"/>
      <c r="CS170" s="1306"/>
      <c r="CT170" s="1306"/>
      <c r="CU170" s="1306"/>
      <c r="CV170" s="1306"/>
      <c r="CW170" s="1306"/>
    </row>
    <row r="171" spans="1:101" s="1189" customFormat="1" ht="12" x14ac:dyDescent="0.25">
      <c r="C171" s="1307"/>
      <c r="I171" s="1308"/>
      <c r="J171" s="1308"/>
      <c r="Q171" s="1309"/>
      <c r="R171" s="561"/>
      <c r="S171" s="1308"/>
      <c r="AA171" s="1191"/>
      <c r="AB171" s="1192"/>
      <c r="AC171" s="1193"/>
      <c r="AD171" s="1192"/>
      <c r="AE171" s="1192"/>
      <c r="AF171" s="1192"/>
      <c r="AG171" s="1192"/>
      <c r="AH171" s="1192"/>
      <c r="AI171" s="1192"/>
      <c r="AJ171" s="1192"/>
      <c r="AK171" s="1192"/>
      <c r="AL171" s="1189">
        <f>'[2]BANK STAT'!AL31</f>
        <v>84840919434.520004</v>
      </c>
    </row>
    <row r="172" spans="1:101" s="1189" customFormat="1" ht="12" x14ac:dyDescent="0.25">
      <c r="C172" s="1309"/>
      <c r="E172" s="1307"/>
      <c r="F172" s="1308"/>
      <c r="G172" s="1309"/>
      <c r="H172" s="1309"/>
      <c r="I172" s="1310"/>
      <c r="J172" s="561"/>
      <c r="K172" s="1214"/>
      <c r="L172" s="1308"/>
      <c r="M172" s="1308"/>
      <c r="N172" s="1309"/>
      <c r="O172" s="1309"/>
      <c r="P172" s="1309"/>
      <c r="Q172" s="561"/>
      <c r="S172" s="1308"/>
      <c r="T172" s="1309"/>
      <c r="X172" s="1309"/>
      <c r="Y172" s="1309"/>
      <c r="Z172" s="1309"/>
      <c r="AA172" s="1191"/>
      <c r="AB172" s="1311"/>
      <c r="AC172" s="1193"/>
      <c r="AD172" s="1192"/>
      <c r="AE172" s="1192"/>
      <c r="AF172" s="1192"/>
      <c r="AG172" s="1192"/>
      <c r="AH172" s="1192"/>
      <c r="AI172" s="1192"/>
      <c r="AJ172" s="1192"/>
      <c r="AK172" s="1192"/>
      <c r="AL172" s="1308">
        <f>AL170-AL171</f>
        <v>-817020591.16999817</v>
      </c>
    </row>
    <row r="173" spans="1:101" s="1189" customFormat="1" ht="10.5" x14ac:dyDescent="0.25">
      <c r="C173" s="1308"/>
      <c r="D173" s="1308"/>
      <c r="E173" s="1308"/>
      <c r="F173" s="1308"/>
      <c r="G173" s="1308"/>
      <c r="H173" s="1308"/>
      <c r="I173" s="1308"/>
      <c r="J173" s="1308"/>
      <c r="K173" s="1308"/>
      <c r="L173" s="1308"/>
      <c r="M173" s="1308"/>
      <c r="N173" s="1308"/>
      <c r="O173" s="1308"/>
      <c r="P173" s="1308"/>
      <c r="Q173" s="1308"/>
      <c r="R173" s="1308"/>
      <c r="S173" s="1308"/>
      <c r="T173" s="1308"/>
      <c r="U173" s="1308"/>
      <c r="V173" s="1308"/>
      <c r="W173" s="1308"/>
      <c r="X173" s="1308"/>
      <c r="Y173" s="1308"/>
      <c r="Z173" s="1308"/>
      <c r="AA173" s="1308"/>
      <c r="AB173" s="1308"/>
      <c r="AC173" s="1308"/>
      <c r="AD173" s="1308"/>
      <c r="AE173" s="1308"/>
      <c r="AF173" s="1308"/>
      <c r="AG173" s="1308"/>
      <c r="AH173" s="1308"/>
      <c r="AI173" s="1308"/>
      <c r="AJ173" s="1308"/>
      <c r="AK173" s="1308"/>
      <c r="AL173" s="1308">
        <f>AL170-AL172</f>
        <v>84840919434.520004</v>
      </c>
    </row>
    <row r="174" spans="1:101" s="1189" customFormat="1" ht="12" x14ac:dyDescent="0.25">
      <c r="C174" s="1309"/>
      <c r="D174" s="1308"/>
      <c r="E174" s="1308"/>
      <c r="F174" s="1214"/>
      <c r="G174" s="219"/>
      <c r="H174" s="219"/>
      <c r="J174" s="1309"/>
      <c r="K174" s="1309"/>
      <c r="M174" s="1309"/>
      <c r="N174" s="301"/>
      <c r="Q174" s="1312"/>
      <c r="R174" s="1309"/>
      <c r="U174" s="1308"/>
      <c r="X174" s="219"/>
      <c r="Z174" s="1309"/>
      <c r="AA174" s="1191"/>
      <c r="AB174" s="1311"/>
      <c r="AC174" s="1193"/>
      <c r="AD174" s="1192"/>
      <c r="AE174" s="1192"/>
      <c r="AF174" s="1192"/>
      <c r="AG174" s="1192"/>
      <c r="AH174" s="1192"/>
      <c r="AI174" s="1192"/>
      <c r="AJ174" s="1192"/>
      <c r="AK174" s="1192"/>
    </row>
    <row r="175" spans="1:101" s="1189" customFormat="1" ht="12" x14ac:dyDescent="0.25">
      <c r="C175" s="1307"/>
      <c r="D175" s="1309"/>
      <c r="E175" s="1309"/>
      <c r="F175" s="1214"/>
      <c r="G175" s="1308"/>
      <c r="H175" s="1313"/>
      <c r="I175" s="1309"/>
      <c r="J175" s="1309"/>
      <c r="M175" s="1309"/>
      <c r="N175" s="1214"/>
      <c r="O175" s="1309"/>
      <c r="Q175" s="1309"/>
      <c r="R175" s="1309"/>
      <c r="S175" s="1309"/>
      <c r="T175" s="1309"/>
      <c r="U175" s="1309"/>
      <c r="V175" s="1309"/>
      <c r="W175" s="1309"/>
      <c r="X175" s="219"/>
      <c r="Z175" s="1308"/>
      <c r="AA175" s="1191"/>
      <c r="AB175" s="1311"/>
      <c r="AC175" s="1193"/>
      <c r="AD175" s="1311"/>
      <c r="AE175" s="1311"/>
      <c r="AF175" s="1311"/>
      <c r="AG175" s="1311"/>
      <c r="AH175" s="1311"/>
      <c r="AI175" s="1311"/>
      <c r="AJ175" s="1311"/>
      <c r="AK175" s="1311"/>
    </row>
    <row r="176" spans="1:101" s="1189" customFormat="1" ht="12" x14ac:dyDescent="0.25">
      <c r="C176" s="1214"/>
      <c r="D176" s="1214"/>
      <c r="E176" s="1309"/>
      <c r="F176" s="1214"/>
      <c r="G176" s="1313"/>
      <c r="K176" s="1214"/>
      <c r="M176" s="1314"/>
      <c r="O176" s="1214"/>
      <c r="Q176" s="1309"/>
      <c r="U176" s="219"/>
      <c r="X176" s="219"/>
      <c r="AA176" s="1191"/>
      <c r="AB176" s="1192"/>
      <c r="AC176" s="1193"/>
      <c r="AD176" s="1311"/>
      <c r="AE176" s="1311"/>
      <c r="AF176" s="1311"/>
      <c r="AG176" s="1311"/>
      <c r="AH176" s="1311"/>
      <c r="AI176" s="1311"/>
      <c r="AJ176" s="1311"/>
      <c r="AK176" s="1311"/>
    </row>
    <row r="177" spans="3:37" s="1189" customFormat="1" ht="12" x14ac:dyDescent="0.25">
      <c r="C177" s="561"/>
      <c r="D177" s="1309"/>
      <c r="G177" s="1214"/>
      <c r="H177" s="1214"/>
      <c r="J177" s="1314"/>
      <c r="O177" s="1309"/>
      <c r="P177" s="1309"/>
      <c r="U177" s="1313"/>
      <c r="W177" s="1309"/>
      <c r="X177" s="1313"/>
      <c r="Z177" s="1309"/>
      <c r="AA177" s="1191"/>
      <c r="AB177" s="1192"/>
      <c r="AC177" s="1193"/>
      <c r="AD177" s="1192"/>
      <c r="AE177" s="1192"/>
      <c r="AF177" s="1192"/>
      <c r="AG177" s="1315"/>
      <c r="AH177" s="1192"/>
      <c r="AI177" s="1192"/>
      <c r="AJ177" s="1192"/>
      <c r="AK177" s="1192"/>
    </row>
    <row r="178" spans="3:37" s="1189" customFormat="1" ht="12" x14ac:dyDescent="0.25">
      <c r="C178" s="1214"/>
      <c r="F178" s="1214"/>
      <c r="G178" s="1309"/>
      <c r="J178" s="219"/>
      <c r="K178" s="1214"/>
      <c r="M178" s="1314"/>
      <c r="O178" s="219"/>
      <c r="W178" s="1214"/>
      <c r="X178" s="1313"/>
      <c r="AA178" s="1191"/>
      <c r="AB178" s="1192"/>
      <c r="AC178" s="1193"/>
      <c r="AD178" s="1192"/>
      <c r="AE178" s="1192"/>
      <c r="AF178" s="1192"/>
      <c r="AG178" s="1192"/>
      <c r="AH178" s="1192"/>
      <c r="AI178" s="1192"/>
      <c r="AJ178" s="1192"/>
      <c r="AK178" s="1192"/>
    </row>
    <row r="179" spans="3:37" s="1189" customFormat="1" ht="12" x14ac:dyDescent="0.25">
      <c r="D179" s="1307"/>
      <c r="F179" s="1309"/>
      <c r="H179" s="1214"/>
      <c r="J179" s="1314"/>
      <c r="M179" s="1314"/>
      <c r="AA179" s="1191"/>
      <c r="AB179" s="1192"/>
      <c r="AC179" s="1193"/>
      <c r="AD179" s="1192"/>
      <c r="AE179" s="1192"/>
      <c r="AF179" s="1192"/>
      <c r="AG179" s="1192"/>
      <c r="AH179" s="1192"/>
      <c r="AI179" s="1192"/>
      <c r="AJ179" s="1192"/>
      <c r="AK179" s="1192"/>
    </row>
    <row r="180" spans="3:37" s="1189" customFormat="1" ht="12" x14ac:dyDescent="0.25">
      <c r="F180" s="1309"/>
      <c r="J180" s="1312"/>
      <c r="K180" s="1312"/>
      <c r="M180" s="1314"/>
      <c r="O180" s="219"/>
      <c r="AA180" s="1191"/>
      <c r="AB180" s="1192"/>
      <c r="AC180" s="1193"/>
      <c r="AD180" s="302"/>
      <c r="AE180" s="302"/>
      <c r="AF180" s="302"/>
      <c r="AG180" s="302"/>
      <c r="AH180" s="302"/>
      <c r="AI180" s="302"/>
      <c r="AJ180" s="302"/>
      <c r="AK180" s="302"/>
    </row>
    <row r="181" spans="3:37" s="1189" customFormat="1" ht="12" x14ac:dyDescent="0.25">
      <c r="F181" s="1214"/>
      <c r="G181" s="1309"/>
      <c r="H181" s="1214"/>
      <c r="J181" s="1309"/>
      <c r="M181" s="1308"/>
      <c r="O181" s="1313"/>
      <c r="AA181" s="1191"/>
      <c r="AB181" s="1192"/>
      <c r="AC181" s="1193"/>
      <c r="AD181" s="1316"/>
      <c r="AE181" s="1316"/>
      <c r="AF181" s="1316"/>
      <c r="AG181" s="1316"/>
      <c r="AH181" s="1316"/>
      <c r="AI181" s="1316"/>
      <c r="AJ181" s="1316"/>
      <c r="AK181" s="1316"/>
    </row>
    <row r="182" spans="3:37" s="1189" customFormat="1" ht="12" x14ac:dyDescent="0.25">
      <c r="F182" s="1309"/>
      <c r="G182" s="1214"/>
      <c r="K182" s="1312"/>
      <c r="O182" s="1313"/>
      <c r="AA182" s="1191"/>
      <c r="AB182" s="1192"/>
      <c r="AC182" s="1193"/>
      <c r="AD182" s="1316"/>
      <c r="AE182" s="1316"/>
      <c r="AF182" s="1316"/>
      <c r="AG182" s="1316"/>
      <c r="AH182" s="1316"/>
      <c r="AI182" s="1316"/>
      <c r="AJ182" s="1316"/>
      <c r="AK182" s="1316"/>
    </row>
    <row r="183" spans="3:37" s="1189" customFormat="1" ht="12" x14ac:dyDescent="0.25">
      <c r="F183" s="1214"/>
      <c r="H183" s="1214">
        <f>H167+H118</f>
        <v>0</v>
      </c>
      <c r="AA183" s="1191"/>
      <c r="AB183" s="1192"/>
      <c r="AC183" s="1193"/>
      <c r="AD183" s="1192"/>
      <c r="AE183" s="1192"/>
      <c r="AF183" s="1192"/>
      <c r="AG183" s="1192"/>
      <c r="AH183" s="1192"/>
      <c r="AI183" s="1192"/>
      <c r="AJ183" s="1192"/>
      <c r="AK183" s="1192"/>
    </row>
    <row r="184" spans="3:37" s="1189" customFormat="1" ht="12" x14ac:dyDescent="0.25">
      <c r="G184" s="1214"/>
      <c r="AA184" s="1191"/>
      <c r="AB184" s="1192"/>
      <c r="AC184" s="1193"/>
      <c r="AD184" s="1192"/>
      <c r="AE184" s="1192"/>
      <c r="AF184" s="1192"/>
      <c r="AG184" s="1192"/>
      <c r="AH184" s="1192"/>
      <c r="AI184" s="1192"/>
      <c r="AJ184" s="1192"/>
      <c r="AK184" s="1192"/>
    </row>
    <row r="185" spans="3:37" s="1189" customFormat="1" ht="12" x14ac:dyDescent="0.25">
      <c r="F185" s="1312"/>
      <c r="G185" s="1314"/>
      <c r="AA185" s="1191"/>
      <c r="AB185" s="1192"/>
      <c r="AC185" s="1193"/>
      <c r="AD185" s="1192"/>
      <c r="AE185" s="1192"/>
      <c r="AF185" s="1192"/>
      <c r="AG185" s="1192"/>
      <c r="AH185" s="1192"/>
      <c r="AI185" s="1192"/>
      <c r="AJ185" s="1192"/>
      <c r="AK185" s="1192"/>
    </row>
    <row r="186" spans="3:37" s="1189" customFormat="1" ht="12" x14ac:dyDescent="0.25">
      <c r="AA186" s="1191"/>
      <c r="AB186" s="1192"/>
      <c r="AC186" s="1193"/>
      <c r="AD186" s="1192"/>
      <c r="AE186" s="1192"/>
      <c r="AF186" s="1192"/>
      <c r="AG186" s="1192"/>
      <c r="AH186" s="1192"/>
      <c r="AI186" s="1192"/>
      <c r="AJ186" s="1192"/>
      <c r="AK186" s="1192"/>
    </row>
    <row r="187" spans="3:37" s="1189" customFormat="1" ht="12" x14ac:dyDescent="0.25">
      <c r="F187" s="1312"/>
      <c r="G187" s="1314"/>
      <c r="AA187" s="1191"/>
      <c r="AB187" s="1192"/>
      <c r="AC187" s="1193"/>
      <c r="AD187" s="1192"/>
      <c r="AE187" s="1192"/>
      <c r="AF187" s="1192"/>
      <c r="AG187" s="1192"/>
      <c r="AH187" s="1192"/>
      <c r="AI187" s="1192"/>
      <c r="AJ187" s="1192"/>
      <c r="AK187" s="1192"/>
    </row>
    <row r="188" spans="3:37" s="1189" customFormat="1" ht="12" x14ac:dyDescent="0.25">
      <c r="G188" s="1214"/>
      <c r="AA188" s="1191"/>
      <c r="AB188" s="1192"/>
      <c r="AC188" s="1193"/>
      <c r="AD188" s="1192"/>
      <c r="AE188" s="1192"/>
      <c r="AF188" s="1192"/>
      <c r="AG188" s="1192"/>
      <c r="AH188" s="1192"/>
      <c r="AI188" s="1192"/>
      <c r="AJ188" s="1192"/>
      <c r="AK188" s="1192"/>
    </row>
    <row r="189" spans="3:37" s="1189" customFormat="1" ht="12" x14ac:dyDescent="0.25">
      <c r="AA189" s="1191"/>
      <c r="AB189" s="1192"/>
      <c r="AC189" s="1193"/>
      <c r="AD189" s="1192"/>
      <c r="AE189" s="1192"/>
      <c r="AF189" s="1192"/>
      <c r="AG189" s="1192"/>
      <c r="AH189" s="1192"/>
      <c r="AI189" s="1192"/>
      <c r="AJ189" s="1192"/>
      <c r="AK189" s="1192"/>
    </row>
    <row r="190" spans="3:37" s="1189" customFormat="1" ht="12" x14ac:dyDescent="0.25">
      <c r="G190" s="1214"/>
      <c r="AA190" s="1191"/>
      <c r="AB190" s="1192"/>
      <c r="AC190" s="1193"/>
      <c r="AD190" s="1192"/>
      <c r="AE190" s="1192"/>
      <c r="AF190" s="1192"/>
      <c r="AG190" s="1192"/>
      <c r="AH190" s="1192"/>
      <c r="AI190" s="1192"/>
      <c r="AJ190" s="1192"/>
      <c r="AK190" s="1192"/>
    </row>
    <row r="191" spans="3:37" s="1189" customFormat="1" ht="12" x14ac:dyDescent="0.25">
      <c r="H191" s="1189" t="s">
        <v>6000</v>
      </c>
      <c r="AA191" s="1191"/>
      <c r="AB191" s="1192"/>
      <c r="AC191" s="1193"/>
      <c r="AD191" s="1192"/>
      <c r="AE191" s="1192"/>
      <c r="AF191" s="1192"/>
      <c r="AG191" s="1192"/>
      <c r="AH191" s="1192"/>
      <c r="AI191" s="1192"/>
      <c r="AJ191" s="1192"/>
      <c r="AK191" s="1192"/>
    </row>
    <row r="192" spans="3:37" s="1189" customFormat="1" ht="12" x14ac:dyDescent="0.25">
      <c r="AA192" s="1191"/>
      <c r="AB192" s="1192"/>
      <c r="AC192" s="1193"/>
      <c r="AD192" s="1192"/>
      <c r="AE192" s="1192"/>
      <c r="AF192" s="1192"/>
      <c r="AG192" s="1192"/>
      <c r="AH192" s="1192"/>
      <c r="AI192" s="1192"/>
      <c r="AJ192" s="1192"/>
      <c r="AK192" s="1192"/>
    </row>
    <row r="193" spans="7:37" s="1189" customFormat="1" ht="12" x14ac:dyDescent="0.25">
      <c r="AA193" s="1191"/>
      <c r="AB193" s="1192"/>
      <c r="AC193" s="1193"/>
      <c r="AD193" s="1192"/>
      <c r="AE193" s="1192"/>
      <c r="AF193" s="1192"/>
      <c r="AG193" s="1192"/>
      <c r="AH193" s="1192"/>
      <c r="AI193" s="1192"/>
      <c r="AJ193" s="1192"/>
      <c r="AK193" s="1192"/>
    </row>
    <row r="194" spans="7:37" s="1189" customFormat="1" ht="12" x14ac:dyDescent="0.25">
      <c r="AA194" s="1191"/>
      <c r="AB194" s="1192"/>
      <c r="AC194" s="1193"/>
      <c r="AD194" s="1192"/>
      <c r="AE194" s="1192"/>
      <c r="AF194" s="1192"/>
      <c r="AG194" s="1192"/>
      <c r="AH194" s="1192"/>
      <c r="AI194" s="1192"/>
      <c r="AJ194" s="1192"/>
      <c r="AK194" s="1192"/>
    </row>
    <row r="195" spans="7:37" s="1189" customFormat="1" ht="12" x14ac:dyDescent="0.25">
      <c r="AA195" s="1191"/>
      <c r="AB195" s="1192"/>
      <c r="AC195" s="1193"/>
      <c r="AD195" s="1192"/>
      <c r="AE195" s="1192"/>
      <c r="AF195" s="1192"/>
      <c r="AG195" s="1192"/>
      <c r="AH195" s="1192"/>
      <c r="AI195" s="1192"/>
      <c r="AJ195" s="1192"/>
      <c r="AK195" s="1192"/>
    </row>
    <row r="196" spans="7:37" s="1189" customFormat="1" ht="12" x14ac:dyDescent="0.25">
      <c r="AA196" s="1191"/>
      <c r="AB196" s="1192"/>
      <c r="AC196" s="1193"/>
      <c r="AD196" s="1192"/>
      <c r="AE196" s="1192"/>
      <c r="AF196" s="1192"/>
      <c r="AG196" s="1192"/>
      <c r="AH196" s="1192"/>
      <c r="AI196" s="1192"/>
      <c r="AJ196" s="1192"/>
      <c r="AK196" s="1192"/>
    </row>
    <row r="197" spans="7:37" s="1189" customFormat="1" ht="12" x14ac:dyDescent="0.25">
      <c r="AA197" s="1191"/>
      <c r="AB197" s="1192"/>
      <c r="AC197" s="1193"/>
      <c r="AD197" s="1192"/>
      <c r="AE197" s="1192"/>
      <c r="AF197" s="1192"/>
      <c r="AG197" s="1192"/>
      <c r="AH197" s="1192"/>
      <c r="AI197" s="1192"/>
      <c r="AJ197" s="1192"/>
      <c r="AK197" s="1192"/>
    </row>
    <row r="198" spans="7:37" s="1189" customFormat="1" ht="12" x14ac:dyDescent="0.25">
      <c r="AA198" s="1191"/>
      <c r="AB198" s="1192"/>
      <c r="AC198" s="1193"/>
      <c r="AD198" s="1192"/>
      <c r="AE198" s="1192"/>
      <c r="AF198" s="1192"/>
      <c r="AG198" s="1192"/>
      <c r="AH198" s="1192"/>
      <c r="AI198" s="1192"/>
      <c r="AJ198" s="1192"/>
      <c r="AK198" s="1192"/>
    </row>
    <row r="199" spans="7:37" s="1189" customFormat="1" ht="12" x14ac:dyDescent="0.25">
      <c r="AA199" s="1191"/>
      <c r="AB199" s="1192"/>
      <c r="AC199" s="1193"/>
      <c r="AD199" s="1192"/>
      <c r="AE199" s="1192"/>
      <c r="AF199" s="1192"/>
      <c r="AG199" s="1192"/>
      <c r="AH199" s="1192"/>
      <c r="AI199" s="1192"/>
      <c r="AJ199" s="1192"/>
      <c r="AK199" s="1192"/>
    </row>
    <row r="200" spans="7:37" s="1189" customFormat="1" ht="12" x14ac:dyDescent="0.25">
      <c r="AA200" s="1191"/>
      <c r="AB200" s="1192"/>
      <c r="AC200" s="1193"/>
      <c r="AD200" s="1192"/>
      <c r="AE200" s="1192"/>
      <c r="AF200" s="1192"/>
      <c r="AG200" s="1192"/>
      <c r="AH200" s="1192"/>
      <c r="AI200" s="1192"/>
      <c r="AJ200" s="1192"/>
      <c r="AK200" s="1192"/>
    </row>
    <row r="201" spans="7:37" s="1189" customFormat="1" ht="12" x14ac:dyDescent="0.25">
      <c r="AA201" s="1191"/>
      <c r="AB201" s="1192"/>
      <c r="AC201" s="1193"/>
      <c r="AD201" s="1192"/>
      <c r="AE201" s="1192"/>
      <c r="AF201" s="1192"/>
      <c r="AG201" s="1192"/>
      <c r="AH201" s="1192"/>
      <c r="AI201" s="1192"/>
      <c r="AJ201" s="1192"/>
      <c r="AK201" s="1192"/>
    </row>
    <row r="202" spans="7:37" s="1189" customFormat="1" ht="12" x14ac:dyDescent="0.25">
      <c r="AA202" s="1191"/>
      <c r="AB202" s="1192"/>
      <c r="AC202" s="1193"/>
      <c r="AD202" s="1192"/>
      <c r="AE202" s="1192"/>
      <c r="AF202" s="1192"/>
      <c r="AG202" s="1192"/>
      <c r="AH202" s="1192"/>
      <c r="AI202" s="1192"/>
      <c r="AJ202" s="1192"/>
      <c r="AK202" s="1192"/>
    </row>
    <row r="203" spans="7:37" s="1189" customFormat="1" ht="12" x14ac:dyDescent="0.25">
      <c r="AA203" s="1191"/>
      <c r="AB203" s="1192"/>
      <c r="AC203" s="1193"/>
      <c r="AD203" s="1192"/>
      <c r="AE203" s="1192"/>
      <c r="AF203" s="1192"/>
      <c r="AG203" s="1192"/>
      <c r="AH203" s="1192"/>
      <c r="AI203" s="1192"/>
      <c r="AJ203" s="1192"/>
      <c r="AK203" s="1192"/>
    </row>
    <row r="204" spans="7:37" s="1189" customFormat="1" ht="12" x14ac:dyDescent="0.25">
      <c r="G204" s="1189" t="s">
        <v>6100</v>
      </c>
      <c r="AA204" s="1191"/>
      <c r="AB204" s="1192"/>
      <c r="AC204" s="1193"/>
      <c r="AD204" s="1192"/>
      <c r="AE204" s="1192"/>
      <c r="AF204" s="1192"/>
      <c r="AG204" s="1192"/>
      <c r="AH204" s="1192"/>
      <c r="AI204" s="1192"/>
      <c r="AJ204" s="1192"/>
      <c r="AK204" s="1192"/>
    </row>
    <row r="205" spans="7:37" s="1189" customFormat="1" ht="12" x14ac:dyDescent="0.25">
      <c r="AA205" s="1191"/>
      <c r="AB205" s="1192"/>
      <c r="AC205" s="1193"/>
      <c r="AD205" s="1192"/>
      <c r="AE205" s="1192"/>
      <c r="AF205" s="1192"/>
      <c r="AG205" s="1192"/>
      <c r="AH205" s="1192"/>
      <c r="AI205" s="1192"/>
      <c r="AJ205" s="1192"/>
      <c r="AK205" s="1192"/>
    </row>
    <row r="206" spans="7:37" s="1189" customFormat="1" ht="12" x14ac:dyDescent="0.25">
      <c r="AA206" s="1191"/>
      <c r="AB206" s="1192"/>
      <c r="AC206" s="1193"/>
      <c r="AD206" s="1192"/>
      <c r="AE206" s="1192"/>
      <c r="AF206" s="1192"/>
      <c r="AG206" s="1192"/>
      <c r="AH206" s="1192"/>
      <c r="AI206" s="1192"/>
      <c r="AJ206" s="1192"/>
      <c r="AK206" s="1192"/>
    </row>
    <row r="207" spans="7:37" s="1189" customFormat="1" ht="12" x14ac:dyDescent="0.25">
      <c r="AA207" s="1191"/>
      <c r="AB207" s="1192"/>
      <c r="AC207" s="1193"/>
      <c r="AD207" s="1192"/>
      <c r="AE207" s="1192"/>
      <c r="AF207" s="1192"/>
      <c r="AG207" s="1192"/>
      <c r="AH207" s="1192"/>
      <c r="AI207" s="1192"/>
      <c r="AJ207" s="1192"/>
      <c r="AK207" s="1192"/>
    </row>
    <row r="208" spans="7:37" s="1189" customFormat="1" ht="12" x14ac:dyDescent="0.25">
      <c r="AA208" s="1191"/>
      <c r="AB208" s="1192"/>
      <c r="AC208" s="1193"/>
      <c r="AD208" s="1192"/>
      <c r="AE208" s="1192"/>
      <c r="AF208" s="1192"/>
      <c r="AG208" s="1192"/>
      <c r="AH208" s="1192"/>
      <c r="AI208" s="1192"/>
      <c r="AJ208" s="1192"/>
      <c r="AK208" s="1192"/>
    </row>
    <row r="209" spans="27:37" s="1189" customFormat="1" ht="12" x14ac:dyDescent="0.25">
      <c r="AA209" s="1191"/>
      <c r="AB209" s="1192"/>
      <c r="AC209" s="1193"/>
      <c r="AD209" s="1192"/>
      <c r="AE209" s="1192"/>
      <c r="AF209" s="1192"/>
      <c r="AG209" s="1192"/>
      <c r="AH209" s="1192"/>
      <c r="AI209" s="1192"/>
      <c r="AJ209" s="1192"/>
      <c r="AK209" s="1192"/>
    </row>
    <row r="210" spans="27:37" s="1189" customFormat="1" ht="12" x14ac:dyDescent="0.25">
      <c r="AA210" s="1191"/>
      <c r="AB210" s="1192"/>
      <c r="AC210" s="1193"/>
      <c r="AD210" s="1192"/>
      <c r="AE210" s="1192"/>
      <c r="AF210" s="1192"/>
      <c r="AG210" s="1192"/>
      <c r="AH210" s="1192"/>
      <c r="AI210" s="1192"/>
      <c r="AJ210" s="1192"/>
      <c r="AK210" s="1192"/>
    </row>
    <row r="211" spans="27:37" s="1189" customFormat="1" ht="12" x14ac:dyDescent="0.25">
      <c r="AA211" s="1191"/>
      <c r="AB211" s="1192"/>
      <c r="AC211" s="1193"/>
      <c r="AD211" s="1192"/>
      <c r="AE211" s="1192"/>
      <c r="AF211" s="1192"/>
      <c r="AG211" s="1192"/>
      <c r="AH211" s="1192"/>
      <c r="AI211" s="1192"/>
      <c r="AJ211" s="1192"/>
      <c r="AK211" s="1192"/>
    </row>
    <row r="212" spans="27:37" s="1189" customFormat="1" ht="12" x14ac:dyDescent="0.25">
      <c r="AA212" s="1191"/>
      <c r="AB212" s="1192"/>
      <c r="AC212" s="1193"/>
      <c r="AD212" s="1192"/>
      <c r="AE212" s="1192"/>
      <c r="AF212" s="1192"/>
      <c r="AG212" s="1192"/>
      <c r="AH212" s="1192"/>
      <c r="AI212" s="1192"/>
      <c r="AJ212" s="1192"/>
      <c r="AK212" s="1192"/>
    </row>
    <row r="213" spans="27:37" s="1189" customFormat="1" ht="12" x14ac:dyDescent="0.25">
      <c r="AA213" s="1191"/>
      <c r="AB213" s="1192"/>
      <c r="AC213" s="1193"/>
      <c r="AD213" s="1192"/>
      <c r="AE213" s="1192"/>
      <c r="AF213" s="1192"/>
      <c r="AG213" s="1192"/>
      <c r="AH213" s="1192"/>
      <c r="AI213" s="1192"/>
      <c r="AJ213" s="1192"/>
      <c r="AK213" s="1192"/>
    </row>
    <row r="214" spans="27:37" s="1189" customFormat="1" ht="12" x14ac:dyDescent="0.25">
      <c r="AA214" s="1191"/>
      <c r="AB214" s="1192"/>
      <c r="AC214" s="1193"/>
      <c r="AD214" s="1192"/>
      <c r="AE214" s="1192"/>
      <c r="AF214" s="1192"/>
      <c r="AG214" s="1192"/>
      <c r="AH214" s="1192"/>
      <c r="AI214" s="1192"/>
      <c r="AJ214" s="1192"/>
      <c r="AK214" s="1192"/>
    </row>
    <row r="215" spans="27:37" s="1189" customFormat="1" ht="12" x14ac:dyDescent="0.25">
      <c r="AA215" s="1191"/>
      <c r="AB215" s="1192"/>
      <c r="AC215" s="1193"/>
      <c r="AD215" s="1192"/>
      <c r="AE215" s="1192"/>
      <c r="AF215" s="1192"/>
      <c r="AG215" s="1192"/>
      <c r="AH215" s="1192"/>
      <c r="AI215" s="1192"/>
      <c r="AJ215" s="1192"/>
      <c r="AK215" s="1192"/>
    </row>
    <row r="216" spans="27:37" s="1189" customFormat="1" ht="12" x14ac:dyDescent="0.25">
      <c r="AA216" s="1191"/>
      <c r="AB216" s="1192"/>
      <c r="AC216" s="1193"/>
      <c r="AD216" s="1192"/>
      <c r="AE216" s="1192"/>
      <c r="AF216" s="1192"/>
      <c r="AG216" s="1192"/>
      <c r="AH216" s="1192"/>
      <c r="AI216" s="1192"/>
      <c r="AJ216" s="1192"/>
      <c r="AK216" s="1192"/>
    </row>
    <row r="217" spans="27:37" s="1189" customFormat="1" ht="12" x14ac:dyDescent="0.25">
      <c r="AA217" s="1191"/>
      <c r="AB217" s="1192"/>
      <c r="AC217" s="1193"/>
      <c r="AD217" s="1192"/>
      <c r="AE217" s="1192"/>
      <c r="AF217" s="1192"/>
      <c r="AG217" s="1192"/>
      <c r="AH217" s="1192"/>
      <c r="AI217" s="1192"/>
      <c r="AJ217" s="1192"/>
      <c r="AK217" s="1192"/>
    </row>
    <row r="218" spans="27:37" s="1189" customFormat="1" ht="12" x14ac:dyDescent="0.25">
      <c r="AA218" s="1191"/>
      <c r="AB218" s="1192"/>
      <c r="AC218" s="1193"/>
      <c r="AD218" s="1192"/>
      <c r="AE218" s="1192"/>
      <c r="AF218" s="1192"/>
      <c r="AG218" s="1192"/>
      <c r="AH218" s="1192"/>
      <c r="AI218" s="1192"/>
      <c r="AJ218" s="1192"/>
      <c r="AK218" s="1192"/>
    </row>
    <row r="219" spans="27:37" s="1189" customFormat="1" ht="12" x14ac:dyDescent="0.25">
      <c r="AA219" s="1191"/>
      <c r="AB219" s="1192"/>
      <c r="AC219" s="1193"/>
      <c r="AD219" s="1192"/>
      <c r="AE219" s="1192"/>
      <c r="AF219" s="1192"/>
      <c r="AG219" s="1192"/>
      <c r="AH219" s="1192"/>
      <c r="AI219" s="1192"/>
      <c r="AJ219" s="1192"/>
      <c r="AK219" s="1192"/>
    </row>
    <row r="220" spans="27:37" s="1189" customFormat="1" ht="12" x14ac:dyDescent="0.25">
      <c r="AA220" s="1191"/>
      <c r="AB220" s="1192"/>
      <c r="AC220" s="1193"/>
      <c r="AD220" s="1192"/>
      <c r="AE220" s="1192"/>
      <c r="AF220" s="1192"/>
      <c r="AG220" s="1192"/>
      <c r="AH220" s="1192"/>
      <c r="AI220" s="1192"/>
      <c r="AJ220" s="1192"/>
      <c r="AK220" s="1192"/>
    </row>
    <row r="221" spans="27:37" s="1189" customFormat="1" ht="12" x14ac:dyDescent="0.25">
      <c r="AA221" s="1191"/>
      <c r="AB221" s="1192"/>
      <c r="AC221" s="1193"/>
      <c r="AD221" s="1192"/>
      <c r="AE221" s="1192"/>
      <c r="AF221" s="1192"/>
      <c r="AG221" s="1192"/>
      <c r="AH221" s="1192"/>
      <c r="AI221" s="1192"/>
      <c r="AJ221" s="1192"/>
      <c r="AK221" s="1192"/>
    </row>
    <row r="222" spans="27:37" s="1189" customFormat="1" ht="12" x14ac:dyDescent="0.25">
      <c r="AA222" s="1191"/>
      <c r="AB222" s="1192"/>
      <c r="AC222" s="1193"/>
      <c r="AD222" s="1192"/>
      <c r="AE222" s="1192"/>
      <c r="AF222" s="1192"/>
      <c r="AG222" s="1192"/>
      <c r="AH222" s="1192"/>
      <c r="AI222" s="1192"/>
      <c r="AJ222" s="1192"/>
      <c r="AK222" s="1192"/>
    </row>
    <row r="223" spans="27:37" s="1189" customFormat="1" ht="12" x14ac:dyDescent="0.25">
      <c r="AA223" s="1191"/>
      <c r="AB223" s="1192"/>
      <c r="AC223" s="1193"/>
      <c r="AD223" s="1192"/>
      <c r="AE223" s="1192"/>
      <c r="AF223" s="1192"/>
      <c r="AG223" s="1192"/>
      <c r="AH223" s="1192"/>
      <c r="AI223" s="1192"/>
      <c r="AJ223" s="1192"/>
      <c r="AK223" s="1192"/>
    </row>
    <row r="224" spans="27:37" s="1189" customFormat="1" ht="12" x14ac:dyDescent="0.25">
      <c r="AA224" s="1191"/>
      <c r="AB224" s="1192"/>
      <c r="AC224" s="1193"/>
      <c r="AD224" s="1192"/>
      <c r="AE224" s="1192"/>
      <c r="AF224" s="1192"/>
      <c r="AG224" s="1192"/>
      <c r="AH224" s="1192"/>
      <c r="AI224" s="1192"/>
      <c r="AJ224" s="1192"/>
      <c r="AK224" s="1192"/>
    </row>
    <row r="225" spans="27:37" s="1189" customFormat="1" ht="12" x14ac:dyDescent="0.25">
      <c r="AA225" s="1191"/>
      <c r="AB225" s="1192"/>
      <c r="AC225" s="1193"/>
      <c r="AD225" s="1192"/>
      <c r="AE225" s="1192"/>
      <c r="AF225" s="1192"/>
      <c r="AG225" s="1192"/>
      <c r="AH225" s="1192"/>
      <c r="AI225" s="1192"/>
      <c r="AJ225" s="1192"/>
      <c r="AK225" s="1192"/>
    </row>
    <row r="226" spans="27:37" s="1189" customFormat="1" ht="12" x14ac:dyDescent="0.25">
      <c r="AA226" s="1191"/>
      <c r="AB226" s="1192"/>
      <c r="AC226" s="1193"/>
      <c r="AD226" s="1192"/>
      <c r="AE226" s="1192"/>
      <c r="AF226" s="1192"/>
      <c r="AG226" s="1192"/>
      <c r="AH226" s="1192"/>
      <c r="AI226" s="1192"/>
      <c r="AJ226" s="1192"/>
      <c r="AK226" s="1192"/>
    </row>
    <row r="227" spans="27:37" s="1189" customFormat="1" ht="12" x14ac:dyDescent="0.25">
      <c r="AA227" s="1191"/>
      <c r="AB227" s="1192"/>
      <c r="AC227" s="1193"/>
      <c r="AD227" s="1192"/>
      <c r="AE227" s="1192"/>
      <c r="AF227" s="1192"/>
      <c r="AG227" s="1192"/>
      <c r="AH227" s="1192"/>
      <c r="AI227" s="1192"/>
      <c r="AJ227" s="1192"/>
      <c r="AK227" s="1192"/>
    </row>
    <row r="228" spans="27:37" s="1189" customFormat="1" ht="12" x14ac:dyDescent="0.25">
      <c r="AA228" s="1191"/>
      <c r="AB228" s="1192"/>
      <c r="AC228" s="1193"/>
      <c r="AD228" s="1192"/>
      <c r="AE228" s="1192"/>
      <c r="AF228" s="1192"/>
      <c r="AG228" s="1192"/>
      <c r="AH228" s="1192"/>
      <c r="AI228" s="1192"/>
      <c r="AJ228" s="1192"/>
      <c r="AK228" s="1192"/>
    </row>
    <row r="229" spans="27:37" s="1189" customFormat="1" ht="12" x14ac:dyDescent="0.25">
      <c r="AA229" s="1191"/>
      <c r="AB229" s="1192"/>
      <c r="AC229" s="1193"/>
      <c r="AD229" s="1192"/>
      <c r="AE229" s="1192"/>
      <c r="AF229" s="1192"/>
      <c r="AG229" s="1192"/>
      <c r="AH229" s="1192"/>
      <c r="AI229" s="1192"/>
      <c r="AJ229" s="1192"/>
      <c r="AK229" s="1192"/>
    </row>
    <row r="230" spans="27:37" s="1189" customFormat="1" ht="12" x14ac:dyDescent="0.25">
      <c r="AA230" s="1191"/>
      <c r="AB230" s="1192"/>
      <c r="AC230" s="1193"/>
      <c r="AD230" s="1192"/>
      <c r="AE230" s="1192"/>
      <c r="AF230" s="1192"/>
      <c r="AG230" s="1192"/>
      <c r="AH230" s="1192"/>
      <c r="AI230" s="1192"/>
      <c r="AJ230" s="1192"/>
      <c r="AK230" s="1192"/>
    </row>
    <row r="231" spans="27:37" s="1189" customFormat="1" ht="12" x14ac:dyDescent="0.25">
      <c r="AA231" s="1191"/>
      <c r="AB231" s="1192"/>
      <c r="AC231" s="1193"/>
      <c r="AD231" s="1192"/>
      <c r="AE231" s="1192"/>
      <c r="AF231" s="1192"/>
      <c r="AG231" s="1192"/>
      <c r="AH231" s="1192"/>
      <c r="AI231" s="1192"/>
      <c r="AJ231" s="1192"/>
      <c r="AK231" s="1192"/>
    </row>
    <row r="232" spans="27:37" s="1189" customFormat="1" ht="12" x14ac:dyDescent="0.25">
      <c r="AA232" s="1191"/>
      <c r="AB232" s="1192"/>
      <c r="AC232" s="1193"/>
      <c r="AD232" s="1192"/>
      <c r="AE232" s="1192"/>
      <c r="AF232" s="1192"/>
      <c r="AG232" s="1192"/>
      <c r="AH232" s="1192"/>
      <c r="AI232" s="1192"/>
      <c r="AJ232" s="1192"/>
      <c r="AK232" s="1192"/>
    </row>
    <row r="233" spans="27:37" s="1189" customFormat="1" ht="12" x14ac:dyDescent="0.25">
      <c r="AA233" s="1191"/>
      <c r="AB233" s="1192"/>
      <c r="AC233" s="1193"/>
      <c r="AD233" s="1192"/>
      <c r="AE233" s="1192"/>
      <c r="AF233" s="1192"/>
      <c r="AG233" s="1192"/>
      <c r="AH233" s="1192"/>
      <c r="AI233" s="1192"/>
      <c r="AJ233" s="1192"/>
      <c r="AK233" s="1192"/>
    </row>
    <row r="234" spans="27:37" s="1189" customFormat="1" ht="12" x14ac:dyDescent="0.25">
      <c r="AA234" s="1191"/>
      <c r="AB234" s="1192"/>
      <c r="AC234" s="1193"/>
      <c r="AD234" s="1192"/>
      <c r="AE234" s="1192"/>
      <c r="AF234" s="1192"/>
      <c r="AG234" s="1192"/>
      <c r="AH234" s="1192"/>
      <c r="AI234" s="1192"/>
      <c r="AJ234" s="1192"/>
      <c r="AK234" s="1192"/>
    </row>
    <row r="235" spans="27:37" s="1189" customFormat="1" ht="12" x14ac:dyDescent="0.25">
      <c r="AA235" s="1191"/>
      <c r="AB235" s="1192"/>
      <c r="AC235" s="1193"/>
      <c r="AD235" s="1192"/>
      <c r="AE235" s="1192"/>
      <c r="AF235" s="1192"/>
      <c r="AG235" s="1192"/>
      <c r="AH235" s="1192"/>
      <c r="AI235" s="1192"/>
      <c r="AJ235" s="1192"/>
      <c r="AK235" s="1192"/>
    </row>
    <row r="236" spans="27:37" s="1189" customFormat="1" ht="12" x14ac:dyDescent="0.25">
      <c r="AA236" s="1191"/>
      <c r="AB236" s="1192"/>
      <c r="AC236" s="1193"/>
      <c r="AD236" s="1192"/>
      <c r="AE236" s="1192"/>
      <c r="AF236" s="1192"/>
      <c r="AG236" s="1192"/>
      <c r="AH236" s="1192"/>
      <c r="AI236" s="1192"/>
      <c r="AJ236" s="1192"/>
      <c r="AK236" s="1192"/>
    </row>
  </sheetData>
  <sortState ref="A90:A96">
    <sortCondition ref="A90:A96"/>
  </sortState>
  <mergeCells count="16">
    <mergeCell ref="E116:AD116"/>
    <mergeCell ref="AL78:AL79"/>
    <mergeCell ref="AL98:AL99"/>
    <mergeCell ref="A5:A6"/>
    <mergeCell ref="A14:A15"/>
    <mergeCell ref="A77:A79"/>
    <mergeCell ref="A97:A99"/>
    <mergeCell ref="A116:A117"/>
    <mergeCell ref="AL116:AL117"/>
    <mergeCell ref="E5:AL5"/>
    <mergeCell ref="E14:AL14"/>
    <mergeCell ref="E77:AL77"/>
    <mergeCell ref="E97:AL97"/>
    <mergeCell ref="A26:B26"/>
    <mergeCell ref="A27:A28"/>
    <mergeCell ref="E27:AL27"/>
  </mergeCells>
  <conditionalFormatting sqref="Z80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 x14ac:dyDescent="0.25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6" t="s">
        <v>388</v>
      </c>
      <c r="T106" s="166"/>
      <c r="U106" s="165"/>
    </row>
    <row r="107" spans="1:21" x14ac:dyDescent="0.25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 x14ac:dyDescent="0.25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 x14ac:dyDescent="0.25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 x14ac:dyDescent="0.25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 x14ac:dyDescent="0.25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 x14ac:dyDescent="0.25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 x14ac:dyDescent="0.25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 x14ac:dyDescent="0.25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 x14ac:dyDescent="0.25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 x14ac:dyDescent="0.25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 x14ac:dyDescent="0.25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 x14ac:dyDescent="0.25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 x14ac:dyDescent="0.25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 x14ac:dyDescent="0.25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 x14ac:dyDescent="0.25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 x14ac:dyDescent="0.25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 x14ac:dyDescent="0.25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 x14ac:dyDescent="0.25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 x14ac:dyDescent="0.25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 x14ac:dyDescent="0.25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 x14ac:dyDescent="0.25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 x14ac:dyDescent="0.25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 x14ac:dyDescent="0.25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 x14ac:dyDescent="0.25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 x14ac:dyDescent="0.25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 x14ac:dyDescent="0.25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6" t="s">
        <v>5124</v>
      </c>
      <c r="S135" s="362" t="s">
        <v>4005</v>
      </c>
      <c r="T135" s="166">
        <v>190000000</v>
      </c>
      <c r="U135" s="165">
        <v>43893</v>
      </c>
    </row>
    <row r="136" spans="1:21" x14ac:dyDescent="0.25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6" t="s">
        <v>5125</v>
      </c>
      <c r="S136" s="362" t="s">
        <v>4005</v>
      </c>
      <c r="T136" s="166">
        <v>20000000</v>
      </c>
      <c r="U136" s="165">
        <v>43894</v>
      </c>
    </row>
    <row r="137" spans="1:21" x14ac:dyDescent="0.25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6" t="s">
        <v>5126</v>
      </c>
      <c r="S137" s="362" t="s">
        <v>4005</v>
      </c>
      <c r="T137" s="166">
        <v>70000000</v>
      </c>
      <c r="U137" s="165">
        <v>43895</v>
      </c>
    </row>
    <row r="138" spans="1:21" x14ac:dyDescent="0.25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6" t="s">
        <v>5127</v>
      </c>
      <c r="S138" s="362" t="s">
        <v>4005</v>
      </c>
      <c r="T138" s="166">
        <v>135000000</v>
      </c>
      <c r="U138" s="165">
        <v>43899</v>
      </c>
    </row>
    <row r="139" spans="1:21" x14ac:dyDescent="0.25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6" t="s">
        <v>5128</v>
      </c>
      <c r="S139" s="362" t="s">
        <v>4005</v>
      </c>
      <c r="T139" s="166">
        <v>195000000</v>
      </c>
      <c r="U139" s="165">
        <v>43900</v>
      </c>
    </row>
    <row r="140" spans="1:21" x14ac:dyDescent="0.25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6" t="s">
        <v>5129</v>
      </c>
      <c r="S140" s="362" t="s">
        <v>4005</v>
      </c>
      <c r="T140" s="166">
        <v>15000000</v>
      </c>
      <c r="U140" s="165">
        <v>43901</v>
      </c>
    </row>
    <row r="141" spans="1:21" x14ac:dyDescent="0.25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6" t="s">
        <v>5130</v>
      </c>
      <c r="S141" s="362" t="s">
        <v>4005</v>
      </c>
      <c r="T141" s="166">
        <v>40000000</v>
      </c>
      <c r="U141" s="165">
        <v>43902</v>
      </c>
    </row>
    <row r="142" spans="1:21" x14ac:dyDescent="0.25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6" t="s">
        <v>5131</v>
      </c>
      <c r="S142" s="362" t="s">
        <v>4005</v>
      </c>
      <c r="T142" s="166">
        <v>15000000</v>
      </c>
      <c r="U142" s="165">
        <v>43903</v>
      </c>
    </row>
    <row r="143" spans="1:21" x14ac:dyDescent="0.25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6" t="s">
        <v>5132</v>
      </c>
      <c r="S143" s="362" t="s">
        <v>4005</v>
      </c>
      <c r="T143" s="607">
        <v>230000000</v>
      </c>
      <c r="U143" s="165">
        <v>43906</v>
      </c>
    </row>
    <row r="144" spans="1:21" x14ac:dyDescent="0.25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6" t="s">
        <v>5133</v>
      </c>
      <c r="S144" s="362" t="s">
        <v>4005</v>
      </c>
      <c r="T144" s="166">
        <v>255000000</v>
      </c>
      <c r="U144" s="165">
        <v>43907</v>
      </c>
    </row>
    <row r="145" spans="1:21" x14ac:dyDescent="0.25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6" t="s">
        <v>5134</v>
      </c>
      <c r="S145" s="362" t="s">
        <v>4005</v>
      </c>
      <c r="T145" s="166">
        <v>20000000</v>
      </c>
      <c r="U145" s="165">
        <v>43908</v>
      </c>
    </row>
    <row r="146" spans="1:21" x14ac:dyDescent="0.25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6" t="s">
        <v>5135</v>
      </c>
      <c r="S146" s="362" t="s">
        <v>4005</v>
      </c>
      <c r="T146" s="166">
        <v>560000000</v>
      </c>
      <c r="U146" s="165">
        <v>43909</v>
      </c>
    </row>
    <row r="147" spans="1:21" x14ac:dyDescent="0.25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6" t="s">
        <v>5136</v>
      </c>
      <c r="S147" s="362" t="s">
        <v>4005</v>
      </c>
      <c r="T147" s="166">
        <v>35000000</v>
      </c>
      <c r="U147" s="165">
        <v>43910</v>
      </c>
    </row>
    <row r="148" spans="1:21" x14ac:dyDescent="0.25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6" t="s">
        <v>5137</v>
      </c>
      <c r="S148" s="362" t="s">
        <v>4005</v>
      </c>
      <c r="T148" s="166">
        <v>500000000</v>
      </c>
      <c r="U148" s="165">
        <v>43913</v>
      </c>
    </row>
    <row r="149" spans="1:21" x14ac:dyDescent="0.25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6" t="s">
        <v>5138</v>
      </c>
      <c r="S149" s="362" t="s">
        <v>4005</v>
      </c>
      <c r="T149" s="166">
        <v>175000000</v>
      </c>
      <c r="U149" s="165">
        <v>43913</v>
      </c>
    </row>
    <row r="150" spans="1:21" x14ac:dyDescent="0.25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6" t="s">
        <v>5139</v>
      </c>
      <c r="S150" s="362" t="s">
        <v>4005</v>
      </c>
      <c r="T150" s="166">
        <v>195000000</v>
      </c>
      <c r="U150" s="165">
        <v>43914</v>
      </c>
    </row>
    <row r="151" spans="1:21" x14ac:dyDescent="0.25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6" t="s">
        <v>5140</v>
      </c>
      <c r="S151" s="362" t="s">
        <v>4005</v>
      </c>
      <c r="T151" s="166">
        <v>110000000</v>
      </c>
      <c r="U151" s="165">
        <v>43916</v>
      </c>
    </row>
    <row r="152" spans="1:21" x14ac:dyDescent="0.25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6" t="s">
        <v>5141</v>
      </c>
      <c r="S152" s="362" t="s">
        <v>4005</v>
      </c>
      <c r="T152" s="166">
        <v>15000000</v>
      </c>
      <c r="U152" s="165">
        <v>43917</v>
      </c>
    </row>
    <row r="153" spans="1:21" x14ac:dyDescent="0.25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6" t="s">
        <v>5142</v>
      </c>
      <c r="S153" s="362" t="s">
        <v>4005</v>
      </c>
      <c r="T153" s="166">
        <v>165000000</v>
      </c>
      <c r="U153" s="165">
        <v>43920</v>
      </c>
    </row>
    <row r="154" spans="1:21" x14ac:dyDescent="0.25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6" t="s">
        <v>5143</v>
      </c>
      <c r="S154" s="362" t="s">
        <v>4005</v>
      </c>
      <c r="T154" s="166">
        <v>190000000</v>
      </c>
      <c r="U154" s="165">
        <v>43921</v>
      </c>
    </row>
    <row r="155" spans="1:21" x14ac:dyDescent="0.25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6" t="s">
        <v>5144</v>
      </c>
      <c r="S155" s="606" t="s">
        <v>3853</v>
      </c>
      <c r="T155" s="166">
        <v>17070000</v>
      </c>
      <c r="U155" s="165">
        <v>43921</v>
      </c>
    </row>
    <row r="156" spans="1:21" x14ac:dyDescent="0.25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6" t="s">
        <v>5145</v>
      </c>
      <c r="S156" s="362" t="s">
        <v>4005</v>
      </c>
      <c r="T156" s="166">
        <v>25000000</v>
      </c>
      <c r="U156" s="165">
        <v>43922</v>
      </c>
    </row>
    <row r="157" spans="1:21" x14ac:dyDescent="0.25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6" t="s">
        <v>5146</v>
      </c>
      <c r="S157" s="362" t="s">
        <v>4005</v>
      </c>
      <c r="T157" s="166">
        <v>160000000</v>
      </c>
      <c r="U157" s="165">
        <v>43927</v>
      </c>
    </row>
    <row r="158" spans="1:21" x14ac:dyDescent="0.25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6" t="s">
        <v>5147</v>
      </c>
      <c r="S158" s="362" t="s">
        <v>4005</v>
      </c>
      <c r="T158" s="166">
        <v>105000000</v>
      </c>
      <c r="U158" s="165">
        <v>43928</v>
      </c>
    </row>
    <row r="159" spans="1:21" x14ac:dyDescent="0.25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6" t="s">
        <v>5148</v>
      </c>
      <c r="S159" s="362" t="s">
        <v>4005</v>
      </c>
      <c r="T159" s="166">
        <v>15000000</v>
      </c>
      <c r="U159" s="165">
        <v>43929</v>
      </c>
    </row>
    <row r="160" spans="1:21" x14ac:dyDescent="0.25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 x14ac:dyDescent="0.25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 x14ac:dyDescent="0.25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 x14ac:dyDescent="0.25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 x14ac:dyDescent="0.25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 x14ac:dyDescent="0.25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 x14ac:dyDescent="0.25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 x14ac:dyDescent="0.25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 x14ac:dyDescent="0.25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 x14ac:dyDescent="0.25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 x14ac:dyDescent="0.25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 x14ac:dyDescent="0.25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5">
        <v>43948</v>
      </c>
    </row>
    <row r="172" spans="1:21" x14ac:dyDescent="0.25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 x14ac:dyDescent="0.25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 x14ac:dyDescent="0.25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 x14ac:dyDescent="0.25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 x14ac:dyDescent="0.25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 x14ac:dyDescent="0.25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 x14ac:dyDescent="0.25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 x14ac:dyDescent="0.25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 x14ac:dyDescent="0.25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 x14ac:dyDescent="0.25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 x14ac:dyDescent="0.25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 x14ac:dyDescent="0.25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 x14ac:dyDescent="0.25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 x14ac:dyDescent="0.25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6" t="s">
        <v>5722</v>
      </c>
      <c r="S185" s="362" t="s">
        <v>4005</v>
      </c>
      <c r="T185" s="166">
        <v>870000000</v>
      </c>
      <c r="U185" s="165">
        <v>43970</v>
      </c>
    </row>
    <row r="186" spans="1:21" x14ac:dyDescent="0.25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6" t="s">
        <v>5723</v>
      </c>
      <c r="S186" s="362" t="s">
        <v>4005</v>
      </c>
      <c r="T186" s="166">
        <v>151000000</v>
      </c>
      <c r="U186" s="165">
        <v>43971</v>
      </c>
    </row>
    <row r="187" spans="1:21" x14ac:dyDescent="0.25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6" t="s">
        <v>5724</v>
      </c>
      <c r="S187" s="362" t="s">
        <v>4005</v>
      </c>
      <c r="T187" s="166">
        <v>399000000</v>
      </c>
      <c r="U187" s="165">
        <v>43978</v>
      </c>
    </row>
    <row r="188" spans="1:21" x14ac:dyDescent="0.25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6" t="s">
        <v>5725</v>
      </c>
      <c r="S188" s="362" t="s">
        <v>4005</v>
      </c>
      <c r="T188" s="166">
        <v>11000000</v>
      </c>
      <c r="U188" s="165">
        <v>43979</v>
      </c>
    </row>
    <row r="189" spans="1:21" x14ac:dyDescent="0.25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6" t="s">
        <v>5726</v>
      </c>
      <c r="S189" s="384" t="s">
        <v>3853</v>
      </c>
      <c r="T189" s="166">
        <v>17070000</v>
      </c>
      <c r="U189" s="165">
        <v>43980</v>
      </c>
    </row>
    <row r="190" spans="1:21" x14ac:dyDescent="0.25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6" t="s">
        <v>5727</v>
      </c>
      <c r="S190" s="362" t="s">
        <v>4005</v>
      </c>
      <c r="T190" s="166">
        <v>215000000</v>
      </c>
      <c r="U190" s="165">
        <v>43984</v>
      </c>
    </row>
    <row r="191" spans="1:21" x14ac:dyDescent="0.25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6" t="s">
        <v>5728</v>
      </c>
      <c r="S191" s="362" t="s">
        <v>4005</v>
      </c>
      <c r="T191" s="166">
        <v>8000000</v>
      </c>
      <c r="U191" s="165">
        <v>43985</v>
      </c>
    </row>
    <row r="192" spans="1:21" x14ac:dyDescent="0.25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6" t="s">
        <v>5729</v>
      </c>
      <c r="S192" s="362" t="s">
        <v>4005</v>
      </c>
      <c r="T192" s="166">
        <v>72500000</v>
      </c>
      <c r="U192" s="165">
        <v>43986</v>
      </c>
    </row>
    <row r="193" spans="1:21" x14ac:dyDescent="0.25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6" t="s">
        <v>5730</v>
      </c>
      <c r="S193" s="362" t="s">
        <v>4005</v>
      </c>
      <c r="T193" s="166">
        <v>125000000</v>
      </c>
      <c r="U193" s="165">
        <v>43987</v>
      </c>
    </row>
    <row r="194" spans="1:21" x14ac:dyDescent="0.25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6" t="s">
        <v>5731</v>
      </c>
      <c r="S194" s="362" t="s">
        <v>4005</v>
      </c>
      <c r="T194" s="166">
        <v>174000000</v>
      </c>
      <c r="U194" s="165">
        <v>43990</v>
      </c>
    </row>
    <row r="195" spans="1:21" x14ac:dyDescent="0.25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6" t="s">
        <v>5732</v>
      </c>
      <c r="S195" s="362" t="s">
        <v>4005</v>
      </c>
      <c r="T195" s="166">
        <v>124000000</v>
      </c>
      <c r="U195" s="165">
        <v>43991</v>
      </c>
    </row>
    <row r="196" spans="1:21" x14ac:dyDescent="0.25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6" t="s">
        <v>5733</v>
      </c>
      <c r="S196" s="362" t="s">
        <v>4005</v>
      </c>
      <c r="T196" s="166">
        <v>71000000</v>
      </c>
      <c r="U196" s="718">
        <v>43992</v>
      </c>
    </row>
    <row r="197" spans="1:21" x14ac:dyDescent="0.25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6" t="s">
        <v>5734</v>
      </c>
      <c r="S197" s="362" t="s">
        <v>4005</v>
      </c>
      <c r="T197" s="166">
        <v>16000000</v>
      </c>
      <c r="U197" s="165">
        <v>43993</v>
      </c>
    </row>
    <row r="198" spans="1:21" x14ac:dyDescent="0.25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6" t="s">
        <v>5735</v>
      </c>
      <c r="S198" s="362" t="s">
        <v>4005</v>
      </c>
      <c r="T198" s="166">
        <v>243000000</v>
      </c>
      <c r="U198" s="165">
        <v>43997</v>
      </c>
    </row>
    <row r="199" spans="1:21" x14ac:dyDescent="0.25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6" t="s">
        <v>5736</v>
      </c>
      <c r="S199" s="362" t="s">
        <v>4005</v>
      </c>
      <c r="T199" s="166">
        <v>194000000</v>
      </c>
      <c r="U199" s="165">
        <v>43998</v>
      </c>
    </row>
    <row r="200" spans="1:21" x14ac:dyDescent="0.25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6" t="s">
        <v>5737</v>
      </c>
      <c r="S200" s="362" t="s">
        <v>4005</v>
      </c>
      <c r="T200" s="166">
        <v>6000000</v>
      </c>
      <c r="U200" s="165">
        <v>43999</v>
      </c>
    </row>
    <row r="201" spans="1:21" x14ac:dyDescent="0.25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6" t="s">
        <v>5738</v>
      </c>
      <c r="S201" s="362" t="s">
        <v>4005</v>
      </c>
      <c r="T201" s="166">
        <v>15000000</v>
      </c>
      <c r="U201" s="165">
        <v>44000</v>
      </c>
    </row>
    <row r="202" spans="1:21" x14ac:dyDescent="0.25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6" t="s">
        <v>5739</v>
      </c>
      <c r="S202" s="362" t="s">
        <v>4005</v>
      </c>
      <c r="T202" s="166">
        <v>6000000</v>
      </c>
      <c r="U202" s="165">
        <v>44001</v>
      </c>
    </row>
    <row r="203" spans="1:21" x14ac:dyDescent="0.25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6" t="s">
        <v>5740</v>
      </c>
      <c r="S203" s="362" t="s">
        <v>4005</v>
      </c>
      <c r="T203" s="166">
        <v>167000000</v>
      </c>
      <c r="U203" s="165">
        <v>44004</v>
      </c>
    </row>
    <row r="204" spans="1:21" x14ac:dyDescent="0.25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6" t="s">
        <v>5741</v>
      </c>
      <c r="S204" s="362" t="s">
        <v>4005</v>
      </c>
      <c r="T204" s="166">
        <v>106000000</v>
      </c>
      <c r="U204" s="165">
        <v>44005</v>
      </c>
    </row>
    <row r="205" spans="1:21" x14ac:dyDescent="0.25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6" t="s">
        <v>5742</v>
      </c>
      <c r="S205" s="362" t="s">
        <v>4005</v>
      </c>
      <c r="T205" s="166">
        <v>25000000</v>
      </c>
      <c r="U205" s="165">
        <v>44006</v>
      </c>
    </row>
    <row r="206" spans="1:21" x14ac:dyDescent="0.25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6" t="s">
        <v>5743</v>
      </c>
      <c r="S206" s="362" t="s">
        <v>4005</v>
      </c>
      <c r="T206" s="166">
        <v>115000000</v>
      </c>
      <c r="U206" s="165">
        <v>44007</v>
      </c>
    </row>
    <row r="207" spans="1:21" x14ac:dyDescent="0.25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6" t="s">
        <v>5744</v>
      </c>
      <c r="S207" s="362" t="s">
        <v>4005</v>
      </c>
      <c r="T207" s="166">
        <v>67000000</v>
      </c>
      <c r="U207" s="165">
        <v>44008</v>
      </c>
    </row>
    <row r="208" spans="1:21" x14ac:dyDescent="0.25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6" t="s">
        <v>5745</v>
      </c>
      <c r="S208" s="362" t="s">
        <v>4005</v>
      </c>
      <c r="T208" s="166">
        <v>206560000</v>
      </c>
      <c r="U208" s="165">
        <v>44011</v>
      </c>
    </row>
    <row r="209" spans="1:21" x14ac:dyDescent="0.25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6" t="s">
        <v>5746</v>
      </c>
      <c r="S209" s="362" t="s">
        <v>4005</v>
      </c>
      <c r="T209" s="166">
        <v>17070000</v>
      </c>
      <c r="U209" s="165">
        <v>44012</v>
      </c>
    </row>
    <row r="210" spans="1:21" x14ac:dyDescent="0.25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 x14ac:dyDescent="0.25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 x14ac:dyDescent="0.25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 x14ac:dyDescent="0.25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 x14ac:dyDescent="0.25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 x14ac:dyDescent="0.25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 x14ac:dyDescent="0.25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 x14ac:dyDescent="0.25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 x14ac:dyDescent="0.25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 x14ac:dyDescent="0.25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 x14ac:dyDescent="0.25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 x14ac:dyDescent="0.25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 x14ac:dyDescent="0.25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 x14ac:dyDescent="0.25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 x14ac:dyDescent="0.25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 x14ac:dyDescent="0.25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 x14ac:dyDescent="0.25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 x14ac:dyDescent="0.25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 x14ac:dyDescent="0.25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 x14ac:dyDescent="0.25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 x14ac:dyDescent="0.25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 x14ac:dyDescent="0.25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 x14ac:dyDescent="0.25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 x14ac:dyDescent="0.25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 x14ac:dyDescent="0.25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 x14ac:dyDescent="0.25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 x14ac:dyDescent="0.25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 x14ac:dyDescent="0.25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 x14ac:dyDescent="0.25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 x14ac:dyDescent="0.25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 x14ac:dyDescent="0.25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 x14ac:dyDescent="0.25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 x14ac:dyDescent="0.25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 x14ac:dyDescent="0.25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 x14ac:dyDescent="0.25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 x14ac:dyDescent="0.25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 x14ac:dyDescent="0.25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 x14ac:dyDescent="0.25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 x14ac:dyDescent="0.25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 x14ac:dyDescent="0.25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 x14ac:dyDescent="0.25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 x14ac:dyDescent="0.25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 x14ac:dyDescent="0.25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 x14ac:dyDescent="0.25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 x14ac:dyDescent="0.25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 x14ac:dyDescent="0.25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 x14ac:dyDescent="0.25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 x14ac:dyDescent="0.25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 x14ac:dyDescent="0.25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 x14ac:dyDescent="0.25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 x14ac:dyDescent="0.25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 x14ac:dyDescent="0.25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 x14ac:dyDescent="0.25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 x14ac:dyDescent="0.25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 x14ac:dyDescent="0.25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 x14ac:dyDescent="0.25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 x14ac:dyDescent="0.25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 x14ac:dyDescent="0.25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 x14ac:dyDescent="0.25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 x14ac:dyDescent="0.25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 x14ac:dyDescent="0.25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 x14ac:dyDescent="0.25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 x14ac:dyDescent="0.25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 x14ac:dyDescent="0.25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 x14ac:dyDescent="0.25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 x14ac:dyDescent="0.25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 x14ac:dyDescent="0.25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 x14ac:dyDescent="0.25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 x14ac:dyDescent="0.25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 x14ac:dyDescent="0.25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 x14ac:dyDescent="0.25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 x14ac:dyDescent="0.25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 x14ac:dyDescent="0.25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 x14ac:dyDescent="0.25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 x14ac:dyDescent="0.25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 x14ac:dyDescent="0.25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 x14ac:dyDescent="0.25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 x14ac:dyDescent="0.25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 x14ac:dyDescent="0.25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 x14ac:dyDescent="0.25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 x14ac:dyDescent="0.25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 x14ac:dyDescent="0.25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 x14ac:dyDescent="0.25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 x14ac:dyDescent="0.25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 x14ac:dyDescent="0.25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 x14ac:dyDescent="0.25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 x14ac:dyDescent="0.25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 x14ac:dyDescent="0.25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 x14ac:dyDescent="0.25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 x14ac:dyDescent="0.25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 x14ac:dyDescent="0.25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 x14ac:dyDescent="0.25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 x14ac:dyDescent="0.25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 x14ac:dyDescent="0.25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 x14ac:dyDescent="0.25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 x14ac:dyDescent="0.25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 x14ac:dyDescent="0.25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 x14ac:dyDescent="0.25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 x14ac:dyDescent="0.25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 x14ac:dyDescent="0.25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 x14ac:dyDescent="0.25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 x14ac:dyDescent="0.25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 x14ac:dyDescent="0.25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 x14ac:dyDescent="0.25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 x14ac:dyDescent="0.25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 x14ac:dyDescent="0.25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 x14ac:dyDescent="0.25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 x14ac:dyDescent="0.25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 x14ac:dyDescent="0.25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 x14ac:dyDescent="0.25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 x14ac:dyDescent="0.25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 x14ac:dyDescent="0.25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 x14ac:dyDescent="0.25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 x14ac:dyDescent="0.25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 x14ac:dyDescent="0.25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 x14ac:dyDescent="0.25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 x14ac:dyDescent="0.25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 x14ac:dyDescent="0.25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 x14ac:dyDescent="0.25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 x14ac:dyDescent="0.25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 x14ac:dyDescent="0.25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 x14ac:dyDescent="0.25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 x14ac:dyDescent="0.25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 x14ac:dyDescent="0.25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 x14ac:dyDescent="0.25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 x14ac:dyDescent="0.25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 x14ac:dyDescent="0.25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 x14ac:dyDescent="0.25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 x14ac:dyDescent="0.25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 x14ac:dyDescent="0.25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 x14ac:dyDescent="0.25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 x14ac:dyDescent="0.25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 x14ac:dyDescent="0.25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 x14ac:dyDescent="0.25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 x14ac:dyDescent="0.25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 x14ac:dyDescent="0.25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 x14ac:dyDescent="0.25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 x14ac:dyDescent="0.25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 x14ac:dyDescent="0.25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 x14ac:dyDescent="0.25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 x14ac:dyDescent="0.25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 x14ac:dyDescent="0.25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 x14ac:dyDescent="0.25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 x14ac:dyDescent="0.25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 x14ac:dyDescent="0.25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 x14ac:dyDescent="0.25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 x14ac:dyDescent="0.25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 x14ac:dyDescent="0.25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 x14ac:dyDescent="0.25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 x14ac:dyDescent="0.25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 x14ac:dyDescent="0.25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 x14ac:dyDescent="0.25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 x14ac:dyDescent="0.25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 x14ac:dyDescent="0.25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 x14ac:dyDescent="0.25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 x14ac:dyDescent="0.25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 x14ac:dyDescent="0.25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 x14ac:dyDescent="0.25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 x14ac:dyDescent="0.25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 x14ac:dyDescent="0.25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 x14ac:dyDescent="0.25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 x14ac:dyDescent="0.25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 x14ac:dyDescent="0.25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 x14ac:dyDescent="0.25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 x14ac:dyDescent="0.25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 x14ac:dyDescent="0.25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 x14ac:dyDescent="0.25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 x14ac:dyDescent="0.25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 x14ac:dyDescent="0.25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 x14ac:dyDescent="0.25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 x14ac:dyDescent="0.25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 x14ac:dyDescent="0.25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 x14ac:dyDescent="0.25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 x14ac:dyDescent="0.25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 x14ac:dyDescent="0.25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 x14ac:dyDescent="0.25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 x14ac:dyDescent="0.25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 x14ac:dyDescent="0.25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 x14ac:dyDescent="0.25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 x14ac:dyDescent="0.25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 x14ac:dyDescent="0.25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 x14ac:dyDescent="0.25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 x14ac:dyDescent="0.25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 x14ac:dyDescent="0.25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 x14ac:dyDescent="0.25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 x14ac:dyDescent="0.25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 x14ac:dyDescent="0.25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 x14ac:dyDescent="0.25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 x14ac:dyDescent="0.25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 x14ac:dyDescent="0.25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 x14ac:dyDescent="0.25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 x14ac:dyDescent="0.25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 x14ac:dyDescent="0.25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 x14ac:dyDescent="0.25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 x14ac:dyDescent="0.25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 x14ac:dyDescent="0.25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 x14ac:dyDescent="0.25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 x14ac:dyDescent="0.25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 x14ac:dyDescent="0.25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 x14ac:dyDescent="0.25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 x14ac:dyDescent="0.25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 x14ac:dyDescent="0.25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 x14ac:dyDescent="0.25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 x14ac:dyDescent="0.25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 x14ac:dyDescent="0.25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 x14ac:dyDescent="0.25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 x14ac:dyDescent="0.25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 x14ac:dyDescent="0.25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 x14ac:dyDescent="0.25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 x14ac:dyDescent="0.25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 x14ac:dyDescent="0.25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 x14ac:dyDescent="0.25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 x14ac:dyDescent="0.25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 x14ac:dyDescent="0.25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 x14ac:dyDescent="0.25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 x14ac:dyDescent="0.25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 x14ac:dyDescent="0.25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 x14ac:dyDescent="0.25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 x14ac:dyDescent="0.25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 x14ac:dyDescent="0.25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 x14ac:dyDescent="0.25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 x14ac:dyDescent="0.25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 x14ac:dyDescent="0.25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 x14ac:dyDescent="0.25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 x14ac:dyDescent="0.25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 x14ac:dyDescent="0.25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 x14ac:dyDescent="0.25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 x14ac:dyDescent="0.25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 x14ac:dyDescent="0.25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 x14ac:dyDescent="0.25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 x14ac:dyDescent="0.25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 x14ac:dyDescent="0.25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 x14ac:dyDescent="0.25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 x14ac:dyDescent="0.25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 x14ac:dyDescent="0.25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 x14ac:dyDescent="0.25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 x14ac:dyDescent="0.25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 x14ac:dyDescent="0.25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 x14ac:dyDescent="0.25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 x14ac:dyDescent="0.25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 x14ac:dyDescent="0.25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 x14ac:dyDescent="0.25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 x14ac:dyDescent="0.25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 x14ac:dyDescent="0.25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 x14ac:dyDescent="0.25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 x14ac:dyDescent="0.25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 x14ac:dyDescent="0.25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 x14ac:dyDescent="0.25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 x14ac:dyDescent="0.25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 x14ac:dyDescent="0.25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 x14ac:dyDescent="0.25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 x14ac:dyDescent="0.25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 x14ac:dyDescent="0.25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 x14ac:dyDescent="0.25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 x14ac:dyDescent="0.25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 x14ac:dyDescent="0.25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 x14ac:dyDescent="0.25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 x14ac:dyDescent="0.25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 x14ac:dyDescent="0.25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 x14ac:dyDescent="0.25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 x14ac:dyDescent="0.25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 x14ac:dyDescent="0.25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 x14ac:dyDescent="0.25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 x14ac:dyDescent="0.25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 x14ac:dyDescent="0.25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 x14ac:dyDescent="0.25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 x14ac:dyDescent="0.25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 x14ac:dyDescent="0.25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 x14ac:dyDescent="0.25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 x14ac:dyDescent="0.25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 x14ac:dyDescent="0.25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 x14ac:dyDescent="0.25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 x14ac:dyDescent="0.25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 x14ac:dyDescent="0.25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 x14ac:dyDescent="0.25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 x14ac:dyDescent="0.25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 x14ac:dyDescent="0.25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 x14ac:dyDescent="0.25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 x14ac:dyDescent="0.25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 x14ac:dyDescent="0.25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 x14ac:dyDescent="0.25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 x14ac:dyDescent="0.25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 x14ac:dyDescent="0.25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 x14ac:dyDescent="0.25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 x14ac:dyDescent="0.25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 x14ac:dyDescent="0.25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 x14ac:dyDescent="0.25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 x14ac:dyDescent="0.25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 x14ac:dyDescent="0.25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 x14ac:dyDescent="0.25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 x14ac:dyDescent="0.25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 x14ac:dyDescent="0.25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 x14ac:dyDescent="0.25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 x14ac:dyDescent="0.25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 x14ac:dyDescent="0.25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 x14ac:dyDescent="0.25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 x14ac:dyDescent="0.25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 x14ac:dyDescent="0.25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 x14ac:dyDescent="0.25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 x14ac:dyDescent="0.25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 x14ac:dyDescent="0.25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 x14ac:dyDescent="0.25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 x14ac:dyDescent="0.25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 x14ac:dyDescent="0.25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 x14ac:dyDescent="0.25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 x14ac:dyDescent="0.25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 x14ac:dyDescent="0.25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 x14ac:dyDescent="0.25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 x14ac:dyDescent="0.25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 x14ac:dyDescent="0.25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 x14ac:dyDescent="0.25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 x14ac:dyDescent="0.25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 x14ac:dyDescent="0.25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 x14ac:dyDescent="0.25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 x14ac:dyDescent="0.25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 x14ac:dyDescent="0.25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 x14ac:dyDescent="0.25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 x14ac:dyDescent="0.25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 x14ac:dyDescent="0.25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 x14ac:dyDescent="0.25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 x14ac:dyDescent="0.25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 x14ac:dyDescent="0.25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 x14ac:dyDescent="0.25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 x14ac:dyDescent="0.25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 x14ac:dyDescent="0.25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 x14ac:dyDescent="0.25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 x14ac:dyDescent="0.25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 x14ac:dyDescent="0.25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 x14ac:dyDescent="0.25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 x14ac:dyDescent="0.25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 x14ac:dyDescent="0.25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 x14ac:dyDescent="0.25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 x14ac:dyDescent="0.25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 x14ac:dyDescent="0.25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 x14ac:dyDescent="0.25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 x14ac:dyDescent="0.25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 x14ac:dyDescent="0.25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 x14ac:dyDescent="0.25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 x14ac:dyDescent="0.25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 x14ac:dyDescent="0.25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 x14ac:dyDescent="0.25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 x14ac:dyDescent="0.25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 x14ac:dyDescent="0.25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 x14ac:dyDescent="0.25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 x14ac:dyDescent="0.25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 x14ac:dyDescent="0.25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 x14ac:dyDescent="0.25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 x14ac:dyDescent="0.25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 x14ac:dyDescent="0.25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 x14ac:dyDescent="0.25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 x14ac:dyDescent="0.25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 x14ac:dyDescent="0.25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 x14ac:dyDescent="0.25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 x14ac:dyDescent="0.25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 x14ac:dyDescent="0.25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 x14ac:dyDescent="0.25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 x14ac:dyDescent="0.25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 x14ac:dyDescent="0.25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 x14ac:dyDescent="0.25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 x14ac:dyDescent="0.25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 x14ac:dyDescent="0.25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 x14ac:dyDescent="0.25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 x14ac:dyDescent="0.25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 x14ac:dyDescent="0.25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 x14ac:dyDescent="0.25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 x14ac:dyDescent="0.25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 x14ac:dyDescent="0.25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 x14ac:dyDescent="0.25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 x14ac:dyDescent="0.25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 x14ac:dyDescent="0.25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 x14ac:dyDescent="0.25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 x14ac:dyDescent="0.25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 x14ac:dyDescent="0.25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 x14ac:dyDescent="0.25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 x14ac:dyDescent="0.25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 x14ac:dyDescent="0.25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 x14ac:dyDescent="0.25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 x14ac:dyDescent="0.25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 x14ac:dyDescent="0.25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 x14ac:dyDescent="0.25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 x14ac:dyDescent="0.25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 x14ac:dyDescent="0.25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 x14ac:dyDescent="0.25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 x14ac:dyDescent="0.25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 x14ac:dyDescent="0.25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 x14ac:dyDescent="0.25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 x14ac:dyDescent="0.25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 x14ac:dyDescent="0.25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 x14ac:dyDescent="0.25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 x14ac:dyDescent="0.25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 x14ac:dyDescent="0.25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 x14ac:dyDescent="0.25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 x14ac:dyDescent="0.25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 x14ac:dyDescent="0.25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 x14ac:dyDescent="0.25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 x14ac:dyDescent="0.25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 x14ac:dyDescent="0.25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 x14ac:dyDescent="0.25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 x14ac:dyDescent="0.25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 x14ac:dyDescent="0.25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 x14ac:dyDescent="0.25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 x14ac:dyDescent="0.25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 x14ac:dyDescent="0.25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 x14ac:dyDescent="0.25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 x14ac:dyDescent="0.25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 x14ac:dyDescent="0.25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 x14ac:dyDescent="0.25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 x14ac:dyDescent="0.25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 x14ac:dyDescent="0.25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 x14ac:dyDescent="0.25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 x14ac:dyDescent="0.25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 x14ac:dyDescent="0.25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 x14ac:dyDescent="0.25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 x14ac:dyDescent="0.25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 x14ac:dyDescent="0.25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 x14ac:dyDescent="0.25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 x14ac:dyDescent="0.25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 x14ac:dyDescent="0.25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 x14ac:dyDescent="0.25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 x14ac:dyDescent="0.25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 x14ac:dyDescent="0.25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 x14ac:dyDescent="0.25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 x14ac:dyDescent="0.25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 x14ac:dyDescent="0.25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 x14ac:dyDescent="0.25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 x14ac:dyDescent="0.25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 x14ac:dyDescent="0.25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 x14ac:dyDescent="0.25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 x14ac:dyDescent="0.25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 x14ac:dyDescent="0.25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 x14ac:dyDescent="0.25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 x14ac:dyDescent="0.25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 x14ac:dyDescent="0.25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 x14ac:dyDescent="0.25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 x14ac:dyDescent="0.25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 x14ac:dyDescent="0.25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 x14ac:dyDescent="0.25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 x14ac:dyDescent="0.25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 x14ac:dyDescent="0.25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 x14ac:dyDescent="0.25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 x14ac:dyDescent="0.25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 x14ac:dyDescent="0.25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 x14ac:dyDescent="0.25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 x14ac:dyDescent="0.25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 x14ac:dyDescent="0.25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 x14ac:dyDescent="0.25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 x14ac:dyDescent="0.25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 x14ac:dyDescent="0.25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 x14ac:dyDescent="0.25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 x14ac:dyDescent="0.25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 x14ac:dyDescent="0.25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 x14ac:dyDescent="0.25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 x14ac:dyDescent="0.25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 x14ac:dyDescent="0.25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 x14ac:dyDescent="0.25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 x14ac:dyDescent="0.25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 x14ac:dyDescent="0.25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 x14ac:dyDescent="0.25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 x14ac:dyDescent="0.25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 x14ac:dyDescent="0.25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 x14ac:dyDescent="0.25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 x14ac:dyDescent="0.25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 x14ac:dyDescent="0.25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 x14ac:dyDescent="0.25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 x14ac:dyDescent="0.25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 x14ac:dyDescent="0.25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 x14ac:dyDescent="0.25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 x14ac:dyDescent="0.25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 x14ac:dyDescent="0.25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 x14ac:dyDescent="0.25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 x14ac:dyDescent="0.25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 x14ac:dyDescent="0.25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 x14ac:dyDescent="0.25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 x14ac:dyDescent="0.25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 x14ac:dyDescent="0.25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 x14ac:dyDescent="0.25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 x14ac:dyDescent="0.25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 x14ac:dyDescent="0.25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 x14ac:dyDescent="0.25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 x14ac:dyDescent="0.25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 x14ac:dyDescent="0.25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 x14ac:dyDescent="0.25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 x14ac:dyDescent="0.25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 x14ac:dyDescent="0.25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 x14ac:dyDescent="0.25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 x14ac:dyDescent="0.25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 x14ac:dyDescent="0.25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 x14ac:dyDescent="0.25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 x14ac:dyDescent="0.25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 x14ac:dyDescent="0.25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 x14ac:dyDescent="0.25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 x14ac:dyDescent="0.25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 x14ac:dyDescent="0.25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 x14ac:dyDescent="0.25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 x14ac:dyDescent="0.25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 x14ac:dyDescent="0.25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 x14ac:dyDescent="0.25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 x14ac:dyDescent="0.25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 x14ac:dyDescent="0.25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 x14ac:dyDescent="0.25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 x14ac:dyDescent="0.25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 x14ac:dyDescent="0.25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 x14ac:dyDescent="0.25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 x14ac:dyDescent="0.25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 x14ac:dyDescent="0.25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 x14ac:dyDescent="0.25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 x14ac:dyDescent="0.25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 x14ac:dyDescent="0.25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 x14ac:dyDescent="0.25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 x14ac:dyDescent="0.25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 x14ac:dyDescent="0.25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 x14ac:dyDescent="0.25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 x14ac:dyDescent="0.25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 x14ac:dyDescent="0.25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 x14ac:dyDescent="0.25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 x14ac:dyDescent="0.25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 x14ac:dyDescent="0.25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 x14ac:dyDescent="0.25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 x14ac:dyDescent="0.25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 x14ac:dyDescent="0.25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 x14ac:dyDescent="0.25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 x14ac:dyDescent="0.25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 x14ac:dyDescent="0.25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 x14ac:dyDescent="0.25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 x14ac:dyDescent="0.25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 x14ac:dyDescent="0.25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 x14ac:dyDescent="0.25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 x14ac:dyDescent="0.25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 x14ac:dyDescent="0.25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 x14ac:dyDescent="0.25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 x14ac:dyDescent="0.25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 x14ac:dyDescent="0.25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 x14ac:dyDescent="0.25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 x14ac:dyDescent="0.25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 x14ac:dyDescent="0.25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 x14ac:dyDescent="0.25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 x14ac:dyDescent="0.25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 x14ac:dyDescent="0.25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 x14ac:dyDescent="0.25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 x14ac:dyDescent="0.25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 x14ac:dyDescent="0.25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 x14ac:dyDescent="0.25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 x14ac:dyDescent="0.25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 x14ac:dyDescent="0.25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 x14ac:dyDescent="0.25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 x14ac:dyDescent="0.25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 x14ac:dyDescent="0.25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 x14ac:dyDescent="0.25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 x14ac:dyDescent="0.25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 x14ac:dyDescent="0.25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 x14ac:dyDescent="0.25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 x14ac:dyDescent="0.25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 x14ac:dyDescent="0.25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 x14ac:dyDescent="0.25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 x14ac:dyDescent="0.25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 x14ac:dyDescent="0.25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 x14ac:dyDescent="0.25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 x14ac:dyDescent="0.25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 x14ac:dyDescent="0.25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 x14ac:dyDescent="0.25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 x14ac:dyDescent="0.25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 x14ac:dyDescent="0.25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 x14ac:dyDescent="0.25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 x14ac:dyDescent="0.25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 x14ac:dyDescent="0.25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 x14ac:dyDescent="0.25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 x14ac:dyDescent="0.25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 x14ac:dyDescent="0.25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 x14ac:dyDescent="0.25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 x14ac:dyDescent="0.25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 x14ac:dyDescent="0.25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 x14ac:dyDescent="0.25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 x14ac:dyDescent="0.25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 x14ac:dyDescent="0.25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 x14ac:dyDescent="0.25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 x14ac:dyDescent="0.25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 x14ac:dyDescent="0.25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 x14ac:dyDescent="0.25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 x14ac:dyDescent="0.25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 x14ac:dyDescent="0.25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 x14ac:dyDescent="0.25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 x14ac:dyDescent="0.25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 x14ac:dyDescent="0.25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 x14ac:dyDescent="0.25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 x14ac:dyDescent="0.25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 x14ac:dyDescent="0.25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 x14ac:dyDescent="0.25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 x14ac:dyDescent="0.25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 x14ac:dyDescent="0.25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 x14ac:dyDescent="0.25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 x14ac:dyDescent="0.25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 x14ac:dyDescent="0.25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 x14ac:dyDescent="0.25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 x14ac:dyDescent="0.25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 x14ac:dyDescent="0.25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 x14ac:dyDescent="0.25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 x14ac:dyDescent="0.25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 x14ac:dyDescent="0.25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 x14ac:dyDescent="0.25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 x14ac:dyDescent="0.25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 x14ac:dyDescent="0.25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 x14ac:dyDescent="0.25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 x14ac:dyDescent="0.25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 x14ac:dyDescent="0.25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 x14ac:dyDescent="0.25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 x14ac:dyDescent="0.25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 x14ac:dyDescent="0.25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 x14ac:dyDescent="0.25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 x14ac:dyDescent="0.25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 x14ac:dyDescent="0.25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 x14ac:dyDescent="0.25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 x14ac:dyDescent="0.25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 x14ac:dyDescent="0.25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 x14ac:dyDescent="0.25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 x14ac:dyDescent="0.25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 x14ac:dyDescent="0.25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 x14ac:dyDescent="0.25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 x14ac:dyDescent="0.25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 x14ac:dyDescent="0.25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 x14ac:dyDescent="0.25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 x14ac:dyDescent="0.25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 x14ac:dyDescent="0.25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 x14ac:dyDescent="0.25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 x14ac:dyDescent="0.25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 x14ac:dyDescent="0.25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 x14ac:dyDescent="0.25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 x14ac:dyDescent="0.25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 x14ac:dyDescent="0.25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 x14ac:dyDescent="0.25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 x14ac:dyDescent="0.25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 x14ac:dyDescent="0.25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 x14ac:dyDescent="0.25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 x14ac:dyDescent="0.25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 x14ac:dyDescent="0.25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 x14ac:dyDescent="0.25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 x14ac:dyDescent="0.25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 x14ac:dyDescent="0.25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 x14ac:dyDescent="0.25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 x14ac:dyDescent="0.25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 x14ac:dyDescent="0.25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 x14ac:dyDescent="0.25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 x14ac:dyDescent="0.25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 x14ac:dyDescent="0.25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 x14ac:dyDescent="0.25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 x14ac:dyDescent="0.25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 x14ac:dyDescent="0.25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 x14ac:dyDescent="0.25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 x14ac:dyDescent="0.25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 x14ac:dyDescent="0.25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 x14ac:dyDescent="0.25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 x14ac:dyDescent="0.25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 x14ac:dyDescent="0.25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 x14ac:dyDescent="0.25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 x14ac:dyDescent="0.25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 x14ac:dyDescent="0.25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 x14ac:dyDescent="0.25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 x14ac:dyDescent="0.25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 x14ac:dyDescent="0.25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 x14ac:dyDescent="0.25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 x14ac:dyDescent="0.25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 x14ac:dyDescent="0.25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 x14ac:dyDescent="0.25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 x14ac:dyDescent="0.25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 x14ac:dyDescent="0.25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 x14ac:dyDescent="0.25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 x14ac:dyDescent="0.25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 x14ac:dyDescent="0.25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 x14ac:dyDescent="0.25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 x14ac:dyDescent="0.25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 x14ac:dyDescent="0.25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 x14ac:dyDescent="0.25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 x14ac:dyDescent="0.25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 x14ac:dyDescent="0.25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 x14ac:dyDescent="0.25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 x14ac:dyDescent="0.25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 x14ac:dyDescent="0.25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 x14ac:dyDescent="0.25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 x14ac:dyDescent="0.25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 x14ac:dyDescent="0.25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 x14ac:dyDescent="0.25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 x14ac:dyDescent="0.25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 x14ac:dyDescent="0.25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 x14ac:dyDescent="0.25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 x14ac:dyDescent="0.25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 x14ac:dyDescent="0.25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 x14ac:dyDescent="0.25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 x14ac:dyDescent="0.25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 x14ac:dyDescent="0.25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 x14ac:dyDescent="0.25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 x14ac:dyDescent="0.25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 x14ac:dyDescent="0.25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 x14ac:dyDescent="0.25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 x14ac:dyDescent="0.25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 x14ac:dyDescent="0.25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 x14ac:dyDescent="0.25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 x14ac:dyDescent="0.25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 x14ac:dyDescent="0.25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 x14ac:dyDescent="0.25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 x14ac:dyDescent="0.25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 x14ac:dyDescent="0.25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 x14ac:dyDescent="0.25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 x14ac:dyDescent="0.25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 x14ac:dyDescent="0.25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 x14ac:dyDescent="0.25">
      <c r="A913" s="373">
        <v>908</v>
      </c>
      <c r="B913" s="379" t="s">
        <v>552</v>
      </c>
      <c r="C913" s="666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 x14ac:dyDescent="0.25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 x14ac:dyDescent="0.25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 x14ac:dyDescent="0.25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 x14ac:dyDescent="0.25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 x14ac:dyDescent="0.25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 x14ac:dyDescent="0.25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 x14ac:dyDescent="0.25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 x14ac:dyDescent="0.25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 x14ac:dyDescent="0.25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 x14ac:dyDescent="0.25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 x14ac:dyDescent="0.25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 x14ac:dyDescent="0.25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 x14ac:dyDescent="0.25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 x14ac:dyDescent="0.25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 x14ac:dyDescent="0.25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 x14ac:dyDescent="0.25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 x14ac:dyDescent="0.25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 x14ac:dyDescent="0.25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 x14ac:dyDescent="0.25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 x14ac:dyDescent="0.25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 x14ac:dyDescent="0.25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 x14ac:dyDescent="0.25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 x14ac:dyDescent="0.25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 x14ac:dyDescent="0.25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 x14ac:dyDescent="0.25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 x14ac:dyDescent="0.25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 x14ac:dyDescent="0.25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 x14ac:dyDescent="0.25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 x14ac:dyDescent="0.25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 x14ac:dyDescent="0.25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 x14ac:dyDescent="0.25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 x14ac:dyDescent="0.25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 x14ac:dyDescent="0.25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 x14ac:dyDescent="0.25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 x14ac:dyDescent="0.25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 x14ac:dyDescent="0.25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 x14ac:dyDescent="0.25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 x14ac:dyDescent="0.25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 x14ac:dyDescent="0.25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 x14ac:dyDescent="0.25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 x14ac:dyDescent="0.25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 x14ac:dyDescent="0.25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 x14ac:dyDescent="0.25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 x14ac:dyDescent="0.25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 x14ac:dyDescent="0.25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 x14ac:dyDescent="0.25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 x14ac:dyDescent="0.25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 x14ac:dyDescent="0.25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 x14ac:dyDescent="0.25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 x14ac:dyDescent="0.25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 x14ac:dyDescent="0.25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 x14ac:dyDescent="0.25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 x14ac:dyDescent="0.25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 x14ac:dyDescent="0.25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 x14ac:dyDescent="0.25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 x14ac:dyDescent="0.25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 x14ac:dyDescent="0.25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 x14ac:dyDescent="0.25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 x14ac:dyDescent="0.25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 x14ac:dyDescent="0.25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 x14ac:dyDescent="0.25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 x14ac:dyDescent="0.25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 x14ac:dyDescent="0.25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 x14ac:dyDescent="0.25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 x14ac:dyDescent="0.25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 x14ac:dyDescent="0.25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 x14ac:dyDescent="0.25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 x14ac:dyDescent="0.25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 x14ac:dyDescent="0.25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 x14ac:dyDescent="0.25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 x14ac:dyDescent="0.25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 x14ac:dyDescent="0.25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 x14ac:dyDescent="0.25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 x14ac:dyDescent="0.25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 x14ac:dyDescent="0.25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 x14ac:dyDescent="0.25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 x14ac:dyDescent="0.25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 x14ac:dyDescent="0.25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 x14ac:dyDescent="0.25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 x14ac:dyDescent="0.25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 x14ac:dyDescent="0.25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 x14ac:dyDescent="0.25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 x14ac:dyDescent="0.25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 x14ac:dyDescent="0.25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 x14ac:dyDescent="0.25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 x14ac:dyDescent="0.25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 x14ac:dyDescent="0.25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 x14ac:dyDescent="0.25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 x14ac:dyDescent="0.25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 x14ac:dyDescent="0.25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 x14ac:dyDescent="0.25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 x14ac:dyDescent="0.25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 x14ac:dyDescent="0.25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 x14ac:dyDescent="0.25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 x14ac:dyDescent="0.25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 x14ac:dyDescent="0.25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 x14ac:dyDescent="0.25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 x14ac:dyDescent="0.25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 x14ac:dyDescent="0.25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 x14ac:dyDescent="0.25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 x14ac:dyDescent="0.25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 x14ac:dyDescent="0.25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 x14ac:dyDescent="0.25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 x14ac:dyDescent="0.25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 x14ac:dyDescent="0.25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 x14ac:dyDescent="0.25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 x14ac:dyDescent="0.25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 x14ac:dyDescent="0.25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 x14ac:dyDescent="0.25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 x14ac:dyDescent="0.25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 x14ac:dyDescent="0.25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 x14ac:dyDescent="0.25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 x14ac:dyDescent="0.25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 x14ac:dyDescent="0.25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 x14ac:dyDescent="0.25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 x14ac:dyDescent="0.25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 x14ac:dyDescent="0.25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 x14ac:dyDescent="0.25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 x14ac:dyDescent="0.25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 x14ac:dyDescent="0.25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 x14ac:dyDescent="0.25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 x14ac:dyDescent="0.25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 x14ac:dyDescent="0.25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 x14ac:dyDescent="0.25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 x14ac:dyDescent="0.25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 x14ac:dyDescent="0.25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 x14ac:dyDescent="0.25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 x14ac:dyDescent="0.25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 x14ac:dyDescent="0.25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 x14ac:dyDescent="0.25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 x14ac:dyDescent="0.25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 x14ac:dyDescent="0.25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 x14ac:dyDescent="0.25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 x14ac:dyDescent="0.25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 x14ac:dyDescent="0.25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 x14ac:dyDescent="0.25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 x14ac:dyDescent="0.25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 x14ac:dyDescent="0.25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 x14ac:dyDescent="0.25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 x14ac:dyDescent="0.25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 x14ac:dyDescent="0.25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 x14ac:dyDescent="0.25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 x14ac:dyDescent="0.25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 x14ac:dyDescent="0.25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 x14ac:dyDescent="0.25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 x14ac:dyDescent="0.25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 x14ac:dyDescent="0.25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 x14ac:dyDescent="0.25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 x14ac:dyDescent="0.25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 x14ac:dyDescent="0.25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 x14ac:dyDescent="0.25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 x14ac:dyDescent="0.25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 x14ac:dyDescent="0.25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 x14ac:dyDescent="0.25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 x14ac:dyDescent="0.25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 x14ac:dyDescent="0.25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 x14ac:dyDescent="0.25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 x14ac:dyDescent="0.25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 x14ac:dyDescent="0.25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 x14ac:dyDescent="0.25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 x14ac:dyDescent="0.25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 x14ac:dyDescent="0.25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 x14ac:dyDescent="0.25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 x14ac:dyDescent="0.25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 x14ac:dyDescent="0.25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 x14ac:dyDescent="0.25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 x14ac:dyDescent="0.25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 x14ac:dyDescent="0.25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 x14ac:dyDescent="0.25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 x14ac:dyDescent="0.25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 x14ac:dyDescent="0.25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 x14ac:dyDescent="0.25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 x14ac:dyDescent="0.25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 x14ac:dyDescent="0.25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 x14ac:dyDescent="0.25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 x14ac:dyDescent="0.25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 x14ac:dyDescent="0.25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 x14ac:dyDescent="0.25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 x14ac:dyDescent="0.25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 x14ac:dyDescent="0.25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 x14ac:dyDescent="0.25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 x14ac:dyDescent="0.25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 x14ac:dyDescent="0.25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 x14ac:dyDescent="0.25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 x14ac:dyDescent="0.25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 x14ac:dyDescent="0.25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 x14ac:dyDescent="0.25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 x14ac:dyDescent="0.25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 x14ac:dyDescent="0.25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 x14ac:dyDescent="0.25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 x14ac:dyDescent="0.25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 x14ac:dyDescent="0.25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 x14ac:dyDescent="0.25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 x14ac:dyDescent="0.25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 x14ac:dyDescent="0.25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 x14ac:dyDescent="0.25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 x14ac:dyDescent="0.25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 x14ac:dyDescent="0.25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 x14ac:dyDescent="0.25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 x14ac:dyDescent="0.25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 x14ac:dyDescent="0.25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 x14ac:dyDescent="0.25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 x14ac:dyDescent="0.25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 x14ac:dyDescent="0.25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 x14ac:dyDescent="0.25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 x14ac:dyDescent="0.25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 x14ac:dyDescent="0.25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 x14ac:dyDescent="0.25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 x14ac:dyDescent="0.25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 x14ac:dyDescent="0.25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 x14ac:dyDescent="0.25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 x14ac:dyDescent="0.25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 x14ac:dyDescent="0.25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 x14ac:dyDescent="0.25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 x14ac:dyDescent="0.25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 x14ac:dyDescent="0.25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 x14ac:dyDescent="0.25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 x14ac:dyDescent="0.25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 x14ac:dyDescent="0.25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 x14ac:dyDescent="0.25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 x14ac:dyDescent="0.25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 x14ac:dyDescent="0.25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 x14ac:dyDescent="0.25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 x14ac:dyDescent="0.25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 x14ac:dyDescent="0.25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 x14ac:dyDescent="0.25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 x14ac:dyDescent="0.25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 x14ac:dyDescent="0.25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 x14ac:dyDescent="0.25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 x14ac:dyDescent="0.25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 x14ac:dyDescent="0.25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 x14ac:dyDescent="0.25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 x14ac:dyDescent="0.25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 x14ac:dyDescent="0.25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 x14ac:dyDescent="0.25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 x14ac:dyDescent="0.25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 x14ac:dyDescent="0.25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 x14ac:dyDescent="0.25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 x14ac:dyDescent="0.25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 x14ac:dyDescent="0.25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 x14ac:dyDescent="0.25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 x14ac:dyDescent="0.25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 x14ac:dyDescent="0.25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 x14ac:dyDescent="0.25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 x14ac:dyDescent="0.25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 x14ac:dyDescent="0.25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 x14ac:dyDescent="0.25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 x14ac:dyDescent="0.25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 x14ac:dyDescent="0.25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 x14ac:dyDescent="0.25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 x14ac:dyDescent="0.25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 x14ac:dyDescent="0.25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 x14ac:dyDescent="0.25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 x14ac:dyDescent="0.25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 x14ac:dyDescent="0.25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 x14ac:dyDescent="0.25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 x14ac:dyDescent="0.25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 x14ac:dyDescent="0.25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 x14ac:dyDescent="0.25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 x14ac:dyDescent="0.25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 x14ac:dyDescent="0.25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 x14ac:dyDescent="0.25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 x14ac:dyDescent="0.25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 x14ac:dyDescent="0.25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 x14ac:dyDescent="0.25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 x14ac:dyDescent="0.25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 x14ac:dyDescent="0.25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 x14ac:dyDescent="0.25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 x14ac:dyDescent="0.25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 x14ac:dyDescent="0.25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 x14ac:dyDescent="0.25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 x14ac:dyDescent="0.25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 x14ac:dyDescent="0.25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 x14ac:dyDescent="0.25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 x14ac:dyDescent="0.25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 x14ac:dyDescent="0.25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 x14ac:dyDescent="0.25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 x14ac:dyDescent="0.25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 x14ac:dyDescent="0.25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 x14ac:dyDescent="0.25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 x14ac:dyDescent="0.25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 x14ac:dyDescent="0.25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 x14ac:dyDescent="0.25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 x14ac:dyDescent="0.25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 x14ac:dyDescent="0.25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 x14ac:dyDescent="0.25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 x14ac:dyDescent="0.25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 x14ac:dyDescent="0.25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 x14ac:dyDescent="0.25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 x14ac:dyDescent="0.25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 x14ac:dyDescent="0.25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 x14ac:dyDescent="0.25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 x14ac:dyDescent="0.25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 x14ac:dyDescent="0.25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 x14ac:dyDescent="0.25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 x14ac:dyDescent="0.25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 x14ac:dyDescent="0.25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 x14ac:dyDescent="0.25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 x14ac:dyDescent="0.25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 x14ac:dyDescent="0.25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 x14ac:dyDescent="0.25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 x14ac:dyDescent="0.25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 x14ac:dyDescent="0.25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 x14ac:dyDescent="0.25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 x14ac:dyDescent="0.25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 x14ac:dyDescent="0.25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 x14ac:dyDescent="0.25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 x14ac:dyDescent="0.25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 x14ac:dyDescent="0.25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 x14ac:dyDescent="0.25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 x14ac:dyDescent="0.25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 x14ac:dyDescent="0.25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 x14ac:dyDescent="0.25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 x14ac:dyDescent="0.25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 x14ac:dyDescent="0.25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 x14ac:dyDescent="0.25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 x14ac:dyDescent="0.25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 x14ac:dyDescent="0.25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 x14ac:dyDescent="0.25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 x14ac:dyDescent="0.25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 x14ac:dyDescent="0.25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 x14ac:dyDescent="0.25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 x14ac:dyDescent="0.25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 x14ac:dyDescent="0.25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 x14ac:dyDescent="0.25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 x14ac:dyDescent="0.25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 x14ac:dyDescent="0.25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 x14ac:dyDescent="0.25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 x14ac:dyDescent="0.25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 x14ac:dyDescent="0.25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 x14ac:dyDescent="0.25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 x14ac:dyDescent="0.25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 x14ac:dyDescent="0.25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 x14ac:dyDescent="0.25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 x14ac:dyDescent="0.25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 x14ac:dyDescent="0.25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 x14ac:dyDescent="0.25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 x14ac:dyDescent="0.25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 x14ac:dyDescent="0.25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 x14ac:dyDescent="0.25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 x14ac:dyDescent="0.25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 x14ac:dyDescent="0.25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 x14ac:dyDescent="0.25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 x14ac:dyDescent="0.25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 x14ac:dyDescent="0.25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 x14ac:dyDescent="0.25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 x14ac:dyDescent="0.25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 x14ac:dyDescent="0.25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 x14ac:dyDescent="0.25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 x14ac:dyDescent="0.25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 x14ac:dyDescent="0.25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 x14ac:dyDescent="0.25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 x14ac:dyDescent="0.25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 x14ac:dyDescent="0.25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 x14ac:dyDescent="0.25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 x14ac:dyDescent="0.25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 x14ac:dyDescent="0.25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 x14ac:dyDescent="0.25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 x14ac:dyDescent="0.25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 x14ac:dyDescent="0.25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 x14ac:dyDescent="0.25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 x14ac:dyDescent="0.25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 x14ac:dyDescent="0.25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 x14ac:dyDescent="0.25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 x14ac:dyDescent="0.25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 x14ac:dyDescent="0.25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 x14ac:dyDescent="0.25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 x14ac:dyDescent="0.25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 x14ac:dyDescent="0.25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 x14ac:dyDescent="0.25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 x14ac:dyDescent="0.25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 x14ac:dyDescent="0.25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 x14ac:dyDescent="0.25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 x14ac:dyDescent="0.25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 x14ac:dyDescent="0.25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 x14ac:dyDescent="0.25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 x14ac:dyDescent="0.25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 x14ac:dyDescent="0.25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 x14ac:dyDescent="0.25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 x14ac:dyDescent="0.25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 x14ac:dyDescent="0.25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 x14ac:dyDescent="0.25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 x14ac:dyDescent="0.25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 x14ac:dyDescent="0.25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 x14ac:dyDescent="0.25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 x14ac:dyDescent="0.25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 x14ac:dyDescent="0.25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 x14ac:dyDescent="0.25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 x14ac:dyDescent="0.25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 x14ac:dyDescent="0.25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 x14ac:dyDescent="0.25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 x14ac:dyDescent="0.25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 x14ac:dyDescent="0.25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 x14ac:dyDescent="0.25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 x14ac:dyDescent="0.25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 x14ac:dyDescent="0.25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 x14ac:dyDescent="0.25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 x14ac:dyDescent="0.25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 x14ac:dyDescent="0.25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 x14ac:dyDescent="0.25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 x14ac:dyDescent="0.25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 x14ac:dyDescent="0.25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 x14ac:dyDescent="0.25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 x14ac:dyDescent="0.25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 x14ac:dyDescent="0.25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 x14ac:dyDescent="0.25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 x14ac:dyDescent="0.25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 x14ac:dyDescent="0.25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 x14ac:dyDescent="0.25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 x14ac:dyDescent="0.25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 x14ac:dyDescent="0.25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 x14ac:dyDescent="0.25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 x14ac:dyDescent="0.25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 x14ac:dyDescent="0.25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 x14ac:dyDescent="0.25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 x14ac:dyDescent="0.25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 x14ac:dyDescent="0.25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 x14ac:dyDescent="0.25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 x14ac:dyDescent="0.25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 x14ac:dyDescent="0.25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 x14ac:dyDescent="0.25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 x14ac:dyDescent="0.25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 x14ac:dyDescent="0.25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 x14ac:dyDescent="0.25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 x14ac:dyDescent="0.25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 x14ac:dyDescent="0.25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 x14ac:dyDescent="0.25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 x14ac:dyDescent="0.25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 x14ac:dyDescent="0.25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 x14ac:dyDescent="0.25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 x14ac:dyDescent="0.25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 x14ac:dyDescent="0.25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 x14ac:dyDescent="0.25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 x14ac:dyDescent="0.25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 x14ac:dyDescent="0.25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 x14ac:dyDescent="0.25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 x14ac:dyDescent="0.25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 x14ac:dyDescent="0.25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 x14ac:dyDescent="0.25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 x14ac:dyDescent="0.25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 x14ac:dyDescent="0.25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 x14ac:dyDescent="0.25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 x14ac:dyDescent="0.25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 x14ac:dyDescent="0.25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 x14ac:dyDescent="0.25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 x14ac:dyDescent="0.25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 x14ac:dyDescent="0.25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 x14ac:dyDescent="0.25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 x14ac:dyDescent="0.25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 x14ac:dyDescent="0.25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 x14ac:dyDescent="0.25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 x14ac:dyDescent="0.25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 x14ac:dyDescent="0.25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 x14ac:dyDescent="0.25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 x14ac:dyDescent="0.25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 x14ac:dyDescent="0.25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 x14ac:dyDescent="0.25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 x14ac:dyDescent="0.25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 x14ac:dyDescent="0.25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 x14ac:dyDescent="0.25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 x14ac:dyDescent="0.25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 x14ac:dyDescent="0.25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 x14ac:dyDescent="0.25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 x14ac:dyDescent="0.25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 x14ac:dyDescent="0.25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 x14ac:dyDescent="0.25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 x14ac:dyDescent="0.25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 x14ac:dyDescent="0.25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 x14ac:dyDescent="0.25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 x14ac:dyDescent="0.25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 x14ac:dyDescent="0.25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 x14ac:dyDescent="0.25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 x14ac:dyDescent="0.25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 x14ac:dyDescent="0.25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 x14ac:dyDescent="0.25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 x14ac:dyDescent="0.25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 x14ac:dyDescent="0.25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 x14ac:dyDescent="0.25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 x14ac:dyDescent="0.25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 x14ac:dyDescent="0.25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 x14ac:dyDescent="0.25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 x14ac:dyDescent="0.25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 x14ac:dyDescent="0.25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 x14ac:dyDescent="0.25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 x14ac:dyDescent="0.25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 x14ac:dyDescent="0.25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 x14ac:dyDescent="0.25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 x14ac:dyDescent="0.25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 x14ac:dyDescent="0.25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 x14ac:dyDescent="0.25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 x14ac:dyDescent="0.25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 x14ac:dyDescent="0.25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 x14ac:dyDescent="0.25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 x14ac:dyDescent="0.25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 x14ac:dyDescent="0.25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 x14ac:dyDescent="0.25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 x14ac:dyDescent="0.25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 x14ac:dyDescent="0.25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 x14ac:dyDescent="0.25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 x14ac:dyDescent="0.25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 x14ac:dyDescent="0.25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 x14ac:dyDescent="0.25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 x14ac:dyDescent="0.25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 x14ac:dyDescent="0.25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 x14ac:dyDescent="0.25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 x14ac:dyDescent="0.25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 x14ac:dyDescent="0.25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 x14ac:dyDescent="0.25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 x14ac:dyDescent="0.25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 x14ac:dyDescent="0.25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 x14ac:dyDescent="0.25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 x14ac:dyDescent="0.25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 x14ac:dyDescent="0.25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 x14ac:dyDescent="0.25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 x14ac:dyDescent="0.25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 x14ac:dyDescent="0.25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 x14ac:dyDescent="0.25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 x14ac:dyDescent="0.25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 x14ac:dyDescent="0.25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 x14ac:dyDescent="0.25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 x14ac:dyDescent="0.25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 x14ac:dyDescent="0.25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 x14ac:dyDescent="0.25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 x14ac:dyDescent="0.25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 x14ac:dyDescent="0.25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 x14ac:dyDescent="0.25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 x14ac:dyDescent="0.25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 x14ac:dyDescent="0.25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 x14ac:dyDescent="0.25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 x14ac:dyDescent="0.25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 x14ac:dyDescent="0.25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 x14ac:dyDescent="0.25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 x14ac:dyDescent="0.25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 x14ac:dyDescent="0.25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 x14ac:dyDescent="0.25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 x14ac:dyDescent="0.25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 x14ac:dyDescent="0.25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 x14ac:dyDescent="0.25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 x14ac:dyDescent="0.25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 x14ac:dyDescent="0.25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 x14ac:dyDescent="0.25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 x14ac:dyDescent="0.25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 x14ac:dyDescent="0.25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 x14ac:dyDescent="0.25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 x14ac:dyDescent="0.25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 x14ac:dyDescent="0.25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 x14ac:dyDescent="0.25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 x14ac:dyDescent="0.25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 x14ac:dyDescent="0.25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 x14ac:dyDescent="0.25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 x14ac:dyDescent="0.25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 x14ac:dyDescent="0.25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 x14ac:dyDescent="0.25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 x14ac:dyDescent="0.25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 x14ac:dyDescent="0.25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 x14ac:dyDescent="0.25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 x14ac:dyDescent="0.25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 x14ac:dyDescent="0.25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 x14ac:dyDescent="0.25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 x14ac:dyDescent="0.25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 x14ac:dyDescent="0.25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 x14ac:dyDescent="0.25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 x14ac:dyDescent="0.25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 x14ac:dyDescent="0.25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 x14ac:dyDescent="0.25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 x14ac:dyDescent="0.25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 x14ac:dyDescent="0.25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 x14ac:dyDescent="0.25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 x14ac:dyDescent="0.25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 x14ac:dyDescent="0.25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 x14ac:dyDescent="0.25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 x14ac:dyDescent="0.25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 x14ac:dyDescent="0.25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 x14ac:dyDescent="0.25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 x14ac:dyDescent="0.25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 x14ac:dyDescent="0.25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 x14ac:dyDescent="0.25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 x14ac:dyDescent="0.25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 x14ac:dyDescent="0.25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 x14ac:dyDescent="0.25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 x14ac:dyDescent="0.25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 x14ac:dyDescent="0.25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 x14ac:dyDescent="0.25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 x14ac:dyDescent="0.25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 x14ac:dyDescent="0.25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 x14ac:dyDescent="0.25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 x14ac:dyDescent="0.25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 x14ac:dyDescent="0.25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 x14ac:dyDescent="0.25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 x14ac:dyDescent="0.25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 x14ac:dyDescent="0.25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 x14ac:dyDescent="0.25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 x14ac:dyDescent="0.25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 x14ac:dyDescent="0.25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 x14ac:dyDescent="0.25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 x14ac:dyDescent="0.25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5">
        <v>43993</v>
      </c>
    </row>
    <row r="1510" spans="1:13" x14ac:dyDescent="0.25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5">
        <v>43993</v>
      </c>
    </row>
    <row r="1511" spans="1:13" x14ac:dyDescent="0.25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5">
        <v>43993</v>
      </c>
    </row>
    <row r="1512" spans="1:13" x14ac:dyDescent="0.25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 x14ac:dyDescent="0.25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 x14ac:dyDescent="0.25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 x14ac:dyDescent="0.25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 x14ac:dyDescent="0.25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 x14ac:dyDescent="0.25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 x14ac:dyDescent="0.25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 x14ac:dyDescent="0.25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 x14ac:dyDescent="0.25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 x14ac:dyDescent="0.25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 x14ac:dyDescent="0.25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 x14ac:dyDescent="0.25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 x14ac:dyDescent="0.25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 x14ac:dyDescent="0.25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 x14ac:dyDescent="0.25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 x14ac:dyDescent="0.25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 x14ac:dyDescent="0.25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 x14ac:dyDescent="0.25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 x14ac:dyDescent="0.25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 x14ac:dyDescent="0.25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 x14ac:dyDescent="0.25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 x14ac:dyDescent="0.25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 x14ac:dyDescent="0.25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 x14ac:dyDescent="0.25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 x14ac:dyDescent="0.25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 x14ac:dyDescent="0.25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 x14ac:dyDescent="0.25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 x14ac:dyDescent="0.25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 x14ac:dyDescent="0.25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 x14ac:dyDescent="0.25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 x14ac:dyDescent="0.25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 x14ac:dyDescent="0.25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 x14ac:dyDescent="0.25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 x14ac:dyDescent="0.25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 x14ac:dyDescent="0.25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 x14ac:dyDescent="0.25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 x14ac:dyDescent="0.25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 x14ac:dyDescent="0.25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 x14ac:dyDescent="0.25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 x14ac:dyDescent="0.25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 x14ac:dyDescent="0.25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 x14ac:dyDescent="0.25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 x14ac:dyDescent="0.25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 x14ac:dyDescent="0.25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 x14ac:dyDescent="0.25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 x14ac:dyDescent="0.25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 x14ac:dyDescent="0.25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 x14ac:dyDescent="0.25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 x14ac:dyDescent="0.25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 x14ac:dyDescent="0.25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 x14ac:dyDescent="0.25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 x14ac:dyDescent="0.25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 x14ac:dyDescent="0.25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 x14ac:dyDescent="0.25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 x14ac:dyDescent="0.25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 x14ac:dyDescent="0.25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 x14ac:dyDescent="0.25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 x14ac:dyDescent="0.25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 x14ac:dyDescent="0.25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 x14ac:dyDescent="0.25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 x14ac:dyDescent="0.25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 x14ac:dyDescent="0.25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 x14ac:dyDescent="0.25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 x14ac:dyDescent="0.25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 x14ac:dyDescent="0.25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 x14ac:dyDescent="0.25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 x14ac:dyDescent="0.25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 x14ac:dyDescent="0.25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 x14ac:dyDescent="0.25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 x14ac:dyDescent="0.25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 x14ac:dyDescent="0.25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 x14ac:dyDescent="0.25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 x14ac:dyDescent="0.25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 x14ac:dyDescent="0.25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 x14ac:dyDescent="0.25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 x14ac:dyDescent="0.25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 x14ac:dyDescent="0.25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 x14ac:dyDescent="0.25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 x14ac:dyDescent="0.25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 x14ac:dyDescent="0.25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 x14ac:dyDescent="0.25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 x14ac:dyDescent="0.25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 x14ac:dyDescent="0.25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 x14ac:dyDescent="0.25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 x14ac:dyDescent="0.25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 x14ac:dyDescent="0.25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 x14ac:dyDescent="0.25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 x14ac:dyDescent="0.25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 x14ac:dyDescent="0.25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 x14ac:dyDescent="0.25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 x14ac:dyDescent="0.25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 x14ac:dyDescent="0.25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 x14ac:dyDescent="0.25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 x14ac:dyDescent="0.25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 x14ac:dyDescent="0.25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 x14ac:dyDescent="0.25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 x14ac:dyDescent="0.25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 x14ac:dyDescent="0.25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 x14ac:dyDescent="0.25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 x14ac:dyDescent="0.25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 x14ac:dyDescent="0.25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 x14ac:dyDescent="0.25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 x14ac:dyDescent="0.25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 x14ac:dyDescent="0.25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 x14ac:dyDescent="0.25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 x14ac:dyDescent="0.25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 x14ac:dyDescent="0.25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 x14ac:dyDescent="0.25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 x14ac:dyDescent="0.25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 x14ac:dyDescent="0.25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 x14ac:dyDescent="0.25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 x14ac:dyDescent="0.25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 x14ac:dyDescent="0.25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 x14ac:dyDescent="0.25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 x14ac:dyDescent="0.25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 x14ac:dyDescent="0.25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 x14ac:dyDescent="0.25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 x14ac:dyDescent="0.25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 x14ac:dyDescent="0.25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 x14ac:dyDescent="0.25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 x14ac:dyDescent="0.25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 x14ac:dyDescent="0.25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 x14ac:dyDescent="0.25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 x14ac:dyDescent="0.25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 x14ac:dyDescent="0.25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 x14ac:dyDescent="0.25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 x14ac:dyDescent="0.25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 x14ac:dyDescent="0.25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 x14ac:dyDescent="0.25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 x14ac:dyDescent="0.25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 x14ac:dyDescent="0.25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 x14ac:dyDescent="0.25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 x14ac:dyDescent="0.25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 x14ac:dyDescent="0.25">
      <c r="B1645" s="384" t="s">
        <v>4778</v>
      </c>
      <c r="C1645" s="384" t="s">
        <v>4087</v>
      </c>
      <c r="D1645" s="374">
        <v>38692400</v>
      </c>
      <c r="E1645" s="563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 x14ac:dyDescent="0.25">
      <c r="B1646" s="384" t="s">
        <v>4779</v>
      </c>
      <c r="C1646" s="384" t="s">
        <v>3980</v>
      </c>
      <c r="D1646" s="374">
        <v>243153954</v>
      </c>
      <c r="E1646" s="563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 x14ac:dyDescent="0.25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 x14ac:dyDescent="0.25">
      <c r="B1648" s="384" t="s">
        <v>4781</v>
      </c>
      <c r="C1648" s="384" t="s">
        <v>4078</v>
      </c>
      <c r="D1648" s="374">
        <v>137535191</v>
      </c>
      <c r="E1648" s="563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 x14ac:dyDescent="0.25">
      <c r="B1649" s="384" t="s">
        <v>4782</v>
      </c>
      <c r="C1649" s="384" t="s">
        <v>4075</v>
      </c>
      <c r="D1649" s="374">
        <v>323479620</v>
      </c>
      <c r="E1649" s="563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 x14ac:dyDescent="0.25">
      <c r="B1650" s="384" t="s">
        <v>4783</v>
      </c>
      <c r="C1650" s="384" t="s">
        <v>4043</v>
      </c>
      <c r="D1650" s="374">
        <v>145799612</v>
      </c>
      <c r="E1650" s="563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 x14ac:dyDescent="0.25">
      <c r="B1651" s="384" t="s">
        <v>4784</v>
      </c>
      <c r="C1651" s="384" t="s">
        <v>4036</v>
      </c>
      <c r="D1651" s="374">
        <v>1316844812</v>
      </c>
      <c r="E1651" s="563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 x14ac:dyDescent="0.25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 x14ac:dyDescent="0.25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 x14ac:dyDescent="0.25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 x14ac:dyDescent="0.25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 x14ac:dyDescent="0.25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 x14ac:dyDescent="0.25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 x14ac:dyDescent="0.25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 x14ac:dyDescent="0.25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 x14ac:dyDescent="0.25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 x14ac:dyDescent="0.25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 x14ac:dyDescent="0.25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 x14ac:dyDescent="0.25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 x14ac:dyDescent="0.25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 x14ac:dyDescent="0.25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 x14ac:dyDescent="0.25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 x14ac:dyDescent="0.25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 x14ac:dyDescent="0.25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 x14ac:dyDescent="0.25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 x14ac:dyDescent="0.25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 x14ac:dyDescent="0.25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 x14ac:dyDescent="0.25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 x14ac:dyDescent="0.25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 x14ac:dyDescent="0.25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 x14ac:dyDescent="0.25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 x14ac:dyDescent="0.25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 x14ac:dyDescent="0.25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 x14ac:dyDescent="0.25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 x14ac:dyDescent="0.25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 x14ac:dyDescent="0.25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 x14ac:dyDescent="0.2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 x14ac:dyDescent="0.2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 x14ac:dyDescent="0.2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 x14ac:dyDescent="0.2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 x14ac:dyDescent="0.2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 x14ac:dyDescent="0.2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 x14ac:dyDescent="0.2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 x14ac:dyDescent="0.2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 x14ac:dyDescent="0.2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 x14ac:dyDescent="0.2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 x14ac:dyDescent="0.2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 x14ac:dyDescent="0.2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 x14ac:dyDescent="0.2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 x14ac:dyDescent="0.2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 x14ac:dyDescent="0.2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 x14ac:dyDescent="0.2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 x14ac:dyDescent="0.2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 x14ac:dyDescent="0.2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 x14ac:dyDescent="0.2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 x14ac:dyDescent="0.2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 x14ac:dyDescent="0.2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 x14ac:dyDescent="0.2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 x14ac:dyDescent="0.2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 x14ac:dyDescent="0.2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 x14ac:dyDescent="0.2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 x14ac:dyDescent="0.25">
      <c r="A1706" s="373"/>
      <c r="B1706" s="362" t="s">
        <v>3996</v>
      </c>
      <c r="C1706" s="362" t="s">
        <v>388</v>
      </c>
      <c r="D1706" s="372"/>
      <c r="E1706" s="396"/>
    </row>
    <row r="1707" spans="1:5" x14ac:dyDescent="0.2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 x14ac:dyDescent="0.2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 x14ac:dyDescent="0.2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 x14ac:dyDescent="0.2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 x14ac:dyDescent="0.2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 x14ac:dyDescent="0.2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 x14ac:dyDescent="0.2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 x14ac:dyDescent="0.2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 x14ac:dyDescent="0.2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 x14ac:dyDescent="0.2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 x14ac:dyDescent="0.2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 x14ac:dyDescent="0.2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 x14ac:dyDescent="0.2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 x14ac:dyDescent="0.2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 x14ac:dyDescent="0.2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 x14ac:dyDescent="0.2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 x14ac:dyDescent="0.25">
      <c r="A1723" s="373"/>
      <c r="B1723" s="362" t="s">
        <v>4735</v>
      </c>
      <c r="C1723" s="362" t="s">
        <v>388</v>
      </c>
      <c r="D1723" s="391"/>
      <c r="E1723" s="371"/>
    </row>
    <row r="1724" spans="1:5" x14ac:dyDescent="0.2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 x14ac:dyDescent="0.2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 x14ac:dyDescent="0.25">
      <c r="A1726" s="373"/>
      <c r="B1726" s="362" t="s">
        <v>4740</v>
      </c>
      <c r="C1726" s="362" t="s">
        <v>388</v>
      </c>
      <c r="D1726" s="391"/>
      <c r="E1726" s="371"/>
    </row>
    <row r="1727" spans="1:5" x14ac:dyDescent="0.2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 x14ac:dyDescent="0.2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 x14ac:dyDescent="0.2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 x14ac:dyDescent="0.25">
      <c r="A1730" s="373"/>
      <c r="B1730" s="362" t="s">
        <v>4744</v>
      </c>
      <c r="C1730" s="362" t="s">
        <v>388</v>
      </c>
      <c r="D1730" s="391"/>
      <c r="E1730" s="371"/>
    </row>
    <row r="1731" spans="1:5" x14ac:dyDescent="0.2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 x14ac:dyDescent="0.2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 x14ac:dyDescent="0.25">
      <c r="A1733" s="373"/>
      <c r="B1733" s="362" t="s">
        <v>4747</v>
      </c>
      <c r="C1733" s="362" t="s">
        <v>388</v>
      </c>
      <c r="D1733" s="391"/>
      <c r="E1733" s="371"/>
    </row>
    <row r="1734" spans="1:5" x14ac:dyDescent="0.2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 x14ac:dyDescent="0.2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 x14ac:dyDescent="0.2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 x14ac:dyDescent="0.2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 x14ac:dyDescent="0.2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 x14ac:dyDescent="0.2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 x14ac:dyDescent="0.2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 x14ac:dyDescent="0.2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 x14ac:dyDescent="0.2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 x14ac:dyDescent="0.2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 x14ac:dyDescent="0.2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 x14ac:dyDescent="0.2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 x14ac:dyDescent="0.2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 x14ac:dyDescent="0.2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 x14ac:dyDescent="0.2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 x14ac:dyDescent="0.2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 x14ac:dyDescent="0.2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 x14ac:dyDescent="0.2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 x14ac:dyDescent="0.2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 x14ac:dyDescent="0.2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 x14ac:dyDescent="0.2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 x14ac:dyDescent="0.2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 x14ac:dyDescent="0.2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 x14ac:dyDescent="0.2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 x14ac:dyDescent="0.2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 x14ac:dyDescent="0.2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 x14ac:dyDescent="0.2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 x14ac:dyDescent="0.25">
      <c r="A1761" s="373"/>
      <c r="B1761" s="362" t="s">
        <v>4829</v>
      </c>
      <c r="C1761" s="362" t="s">
        <v>388</v>
      </c>
      <c r="D1761" s="391"/>
      <c r="E1761" s="371"/>
    </row>
    <row r="1762" spans="1:5" x14ac:dyDescent="0.2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 x14ac:dyDescent="0.25">
      <c r="A1763" s="373"/>
      <c r="B1763" s="362" t="s">
        <v>4831</v>
      </c>
      <c r="C1763" s="362" t="s">
        <v>388</v>
      </c>
      <c r="D1763" s="391"/>
      <c r="E1763" s="371"/>
    </row>
    <row r="1764" spans="1:5" x14ac:dyDescent="0.2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 x14ac:dyDescent="0.2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 x14ac:dyDescent="0.25">
      <c r="A1766" s="373"/>
      <c r="B1766" s="362" t="s">
        <v>4834</v>
      </c>
      <c r="C1766" s="362" t="s">
        <v>388</v>
      </c>
      <c r="D1766" s="391"/>
      <c r="E1766" s="371"/>
    </row>
    <row r="1767" spans="1:5" x14ac:dyDescent="0.25">
      <c r="A1767" s="373"/>
      <c r="B1767" s="362" t="s">
        <v>4835</v>
      </c>
      <c r="C1767" s="362" t="s">
        <v>388</v>
      </c>
      <c r="D1767" s="391"/>
      <c r="E1767" s="371"/>
    </row>
    <row r="1768" spans="1:5" x14ac:dyDescent="0.2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 x14ac:dyDescent="0.2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 x14ac:dyDescent="0.2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 x14ac:dyDescent="0.2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 x14ac:dyDescent="0.2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 x14ac:dyDescent="0.25">
      <c r="A1773" s="373"/>
      <c r="B1773" s="362" t="s">
        <v>4841</v>
      </c>
      <c r="C1773" s="362" t="s">
        <v>388</v>
      </c>
      <c r="D1773" s="391"/>
      <c r="E1773" s="371"/>
    </row>
    <row r="1774" spans="1:5" x14ac:dyDescent="0.2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 x14ac:dyDescent="0.2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 x14ac:dyDescent="0.2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 x14ac:dyDescent="0.2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 x14ac:dyDescent="0.2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 x14ac:dyDescent="0.2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 x14ac:dyDescent="0.2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 x14ac:dyDescent="0.2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 x14ac:dyDescent="0.2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 x14ac:dyDescent="0.2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 x14ac:dyDescent="0.2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 x14ac:dyDescent="0.2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 x14ac:dyDescent="0.2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 x14ac:dyDescent="0.2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 x14ac:dyDescent="0.2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 x14ac:dyDescent="0.2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 x14ac:dyDescent="0.2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 x14ac:dyDescent="0.2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 x14ac:dyDescent="0.2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 x14ac:dyDescent="0.2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 x14ac:dyDescent="0.2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 x14ac:dyDescent="0.2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 x14ac:dyDescent="0.2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 x14ac:dyDescent="0.2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 x14ac:dyDescent="0.2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 x14ac:dyDescent="0.2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 x14ac:dyDescent="0.2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 x14ac:dyDescent="0.2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 x14ac:dyDescent="0.2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 x14ac:dyDescent="0.2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 x14ac:dyDescent="0.2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 x14ac:dyDescent="0.2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 x14ac:dyDescent="0.2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 x14ac:dyDescent="0.2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 x14ac:dyDescent="0.2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 x14ac:dyDescent="0.2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 x14ac:dyDescent="0.2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 x14ac:dyDescent="0.2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 x14ac:dyDescent="0.2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 x14ac:dyDescent="0.2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 x14ac:dyDescent="0.2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 x14ac:dyDescent="0.25">
      <c r="B1815" s="384" t="s">
        <v>5155</v>
      </c>
      <c r="C1815" s="384" t="s">
        <v>322</v>
      </c>
      <c r="D1815" s="374"/>
      <c r="E1815" s="393"/>
    </row>
    <row r="1816" spans="2:5" x14ac:dyDescent="0.25">
      <c r="B1816" s="384" t="s">
        <v>5156</v>
      </c>
      <c r="C1816" s="384" t="s">
        <v>5176</v>
      </c>
      <c r="D1816" s="374"/>
      <c r="E1816" s="393"/>
    </row>
    <row r="1817" spans="2:5" x14ac:dyDescent="0.2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 x14ac:dyDescent="0.2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 x14ac:dyDescent="0.2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 x14ac:dyDescent="0.2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 x14ac:dyDescent="0.2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 x14ac:dyDescent="0.2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 x14ac:dyDescent="0.2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 x14ac:dyDescent="0.2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 x14ac:dyDescent="0.2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 x14ac:dyDescent="0.2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 x14ac:dyDescent="0.2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 x14ac:dyDescent="0.2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 x14ac:dyDescent="0.2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 x14ac:dyDescent="0.2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 x14ac:dyDescent="0.2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 x14ac:dyDescent="0.2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 x14ac:dyDescent="0.2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 x14ac:dyDescent="0.2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 x14ac:dyDescent="0.2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 x14ac:dyDescent="0.2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 x14ac:dyDescent="0.2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 x14ac:dyDescent="0.2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 x14ac:dyDescent="0.25">
      <c r="B1839" s="362" t="s">
        <v>4376</v>
      </c>
      <c r="C1839" s="362" t="s">
        <v>4119</v>
      </c>
      <c r="D1839" s="387">
        <v>280978900</v>
      </c>
      <c r="E1839" s="396"/>
    </row>
    <row r="1840" spans="2:5" x14ac:dyDescent="0.2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 x14ac:dyDescent="0.2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 x14ac:dyDescent="0.2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 x14ac:dyDescent="0.2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 x14ac:dyDescent="0.2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 x14ac:dyDescent="0.2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 x14ac:dyDescent="0.2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 x14ac:dyDescent="0.2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 x14ac:dyDescent="0.25">
      <c r="B1848" s="362" t="s">
        <v>4386</v>
      </c>
      <c r="C1848" s="362" t="s">
        <v>4066</v>
      </c>
      <c r="D1848" s="387">
        <v>54731596</v>
      </c>
      <c r="E1848" s="396"/>
    </row>
    <row r="1849" spans="2:5" x14ac:dyDescent="0.2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 x14ac:dyDescent="0.2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 x14ac:dyDescent="0.2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 x14ac:dyDescent="0.2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 x14ac:dyDescent="0.2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 x14ac:dyDescent="0.2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 x14ac:dyDescent="0.2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 x14ac:dyDescent="0.2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 x14ac:dyDescent="0.2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 x14ac:dyDescent="0.2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 x14ac:dyDescent="0.2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 x14ac:dyDescent="0.2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 x14ac:dyDescent="0.2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 x14ac:dyDescent="0.2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 x14ac:dyDescent="0.2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 x14ac:dyDescent="0.25">
      <c r="B1864" s="362" t="s">
        <v>4344</v>
      </c>
      <c r="C1864" s="362" t="s">
        <v>388</v>
      </c>
      <c r="D1864" s="387"/>
      <c r="E1864" s="396">
        <v>43943</v>
      </c>
    </row>
    <row r="1865" spans="2:5" x14ac:dyDescent="0.2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 x14ac:dyDescent="0.2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 x14ac:dyDescent="0.2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 x14ac:dyDescent="0.2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 x14ac:dyDescent="0.2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 x14ac:dyDescent="0.2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 x14ac:dyDescent="0.2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 x14ac:dyDescent="0.2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 x14ac:dyDescent="0.25">
      <c r="B1873" s="362" t="s">
        <v>4357</v>
      </c>
      <c r="C1873" s="362" t="s">
        <v>388</v>
      </c>
      <c r="D1873" s="387"/>
      <c r="E1873" s="396">
        <v>43944</v>
      </c>
    </row>
    <row r="1874" spans="2:5" x14ac:dyDescent="0.2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 x14ac:dyDescent="0.2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 x14ac:dyDescent="0.2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 x14ac:dyDescent="0.2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 x14ac:dyDescent="0.2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 x14ac:dyDescent="0.2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 x14ac:dyDescent="0.2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 x14ac:dyDescent="0.2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 x14ac:dyDescent="0.2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 x14ac:dyDescent="0.2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 x14ac:dyDescent="0.2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 x14ac:dyDescent="0.2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 x14ac:dyDescent="0.2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 x14ac:dyDescent="0.2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 x14ac:dyDescent="0.2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 x14ac:dyDescent="0.2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 x14ac:dyDescent="0.2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 x14ac:dyDescent="0.2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 x14ac:dyDescent="0.2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 x14ac:dyDescent="0.2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 x14ac:dyDescent="0.2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 x14ac:dyDescent="0.2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 x14ac:dyDescent="0.2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 x14ac:dyDescent="0.2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 x14ac:dyDescent="0.2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 x14ac:dyDescent="0.2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 x14ac:dyDescent="0.2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 x14ac:dyDescent="0.2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 x14ac:dyDescent="0.2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 x14ac:dyDescent="0.2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 x14ac:dyDescent="0.2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 x14ac:dyDescent="0.2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 x14ac:dyDescent="0.2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 x14ac:dyDescent="0.2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 x14ac:dyDescent="0.2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 x14ac:dyDescent="0.2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 x14ac:dyDescent="0.2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 x14ac:dyDescent="0.2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 x14ac:dyDescent="0.2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 x14ac:dyDescent="0.2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 x14ac:dyDescent="0.2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 x14ac:dyDescent="0.2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 x14ac:dyDescent="0.2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 x14ac:dyDescent="0.2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 x14ac:dyDescent="0.2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 x14ac:dyDescent="0.2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 x14ac:dyDescent="0.2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 x14ac:dyDescent="0.2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 x14ac:dyDescent="0.2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 x14ac:dyDescent="0.2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 x14ac:dyDescent="0.2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 x14ac:dyDescent="0.2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 x14ac:dyDescent="0.2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 x14ac:dyDescent="0.2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 x14ac:dyDescent="0.2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 x14ac:dyDescent="0.25">
      <c r="B1929" s="384" t="s">
        <v>4557</v>
      </c>
      <c r="C1929" s="384" t="s">
        <v>388</v>
      </c>
      <c r="D1929" s="374"/>
      <c r="E1929" s="393"/>
    </row>
    <row r="1930" spans="2:5" x14ac:dyDescent="0.2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 x14ac:dyDescent="0.2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 x14ac:dyDescent="0.2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 x14ac:dyDescent="0.2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 x14ac:dyDescent="0.25">
      <c r="B1934" s="384" t="s">
        <v>5000</v>
      </c>
      <c r="C1934" s="384" t="s">
        <v>4043</v>
      </c>
      <c r="D1934" s="374">
        <v>181012828</v>
      </c>
      <c r="E1934" s="563">
        <v>43950</v>
      </c>
    </row>
    <row r="1935" spans="2:5" x14ac:dyDescent="0.25">
      <c r="B1935" s="384" t="s">
        <v>5001</v>
      </c>
      <c r="C1935" s="384" t="s">
        <v>4142</v>
      </c>
      <c r="D1935" s="374">
        <v>1643536370</v>
      </c>
      <c r="E1935" s="563">
        <v>43950</v>
      </c>
    </row>
    <row r="1936" spans="2:5" x14ac:dyDescent="0.25">
      <c r="B1936" s="384" t="s">
        <v>5002</v>
      </c>
      <c r="C1936" s="384" t="s">
        <v>3812</v>
      </c>
      <c r="D1936" s="374"/>
      <c r="E1936" s="563">
        <v>43950</v>
      </c>
    </row>
    <row r="1937" spans="2:5" x14ac:dyDescent="0.25">
      <c r="B1937" s="384" t="s">
        <v>5003</v>
      </c>
      <c r="C1937" s="384" t="s">
        <v>5025</v>
      </c>
      <c r="D1937" s="374">
        <v>22352900</v>
      </c>
      <c r="E1937" s="563">
        <v>43950</v>
      </c>
    </row>
    <row r="1938" spans="2:5" x14ac:dyDescent="0.25">
      <c r="B1938" s="384" t="s">
        <v>5004</v>
      </c>
      <c r="C1938" s="384" t="s">
        <v>5026</v>
      </c>
      <c r="D1938" s="374">
        <v>12606000</v>
      </c>
      <c r="E1938" s="563">
        <v>43950</v>
      </c>
    </row>
    <row r="1939" spans="2:5" x14ac:dyDescent="0.25">
      <c r="B1939" s="384" t="s">
        <v>5005</v>
      </c>
      <c r="C1939" s="384" t="s">
        <v>5027</v>
      </c>
      <c r="D1939" s="374">
        <v>58791100</v>
      </c>
      <c r="E1939" s="563">
        <v>43950</v>
      </c>
    </row>
    <row r="1940" spans="2:5" x14ac:dyDescent="0.25">
      <c r="B1940" s="384" t="s">
        <v>5006</v>
      </c>
      <c r="C1940" s="384" t="s">
        <v>5028</v>
      </c>
      <c r="D1940" s="374">
        <v>70666200</v>
      </c>
      <c r="E1940" s="563">
        <v>43950</v>
      </c>
    </row>
    <row r="1941" spans="2:5" x14ac:dyDescent="0.25">
      <c r="B1941" s="384" t="s">
        <v>5007</v>
      </c>
      <c r="C1941" s="384" t="s">
        <v>4057</v>
      </c>
      <c r="D1941" s="374">
        <v>179298654</v>
      </c>
      <c r="E1941" s="563">
        <v>43950</v>
      </c>
    </row>
    <row r="1942" spans="2:5" x14ac:dyDescent="0.25">
      <c r="B1942" s="384" t="s">
        <v>5008</v>
      </c>
      <c r="C1942" s="384" t="s">
        <v>5467</v>
      </c>
      <c r="D1942" s="374"/>
      <c r="E1942" s="563"/>
    </row>
    <row r="1943" spans="2:5" x14ac:dyDescent="0.2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 x14ac:dyDescent="0.2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 x14ac:dyDescent="0.2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 x14ac:dyDescent="0.25">
      <c r="B1946" s="384" t="s">
        <v>5012</v>
      </c>
      <c r="C1946" s="384" t="s">
        <v>3812</v>
      </c>
      <c r="D1946" s="374"/>
      <c r="E1946" s="393"/>
    </row>
    <row r="1947" spans="2:5" x14ac:dyDescent="0.2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 x14ac:dyDescent="0.2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 x14ac:dyDescent="0.2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 x14ac:dyDescent="0.2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 x14ac:dyDescent="0.2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 x14ac:dyDescent="0.2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 x14ac:dyDescent="0.2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 x14ac:dyDescent="0.2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 x14ac:dyDescent="0.2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 x14ac:dyDescent="0.2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 x14ac:dyDescent="0.2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 x14ac:dyDescent="0.2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 x14ac:dyDescent="0.2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 x14ac:dyDescent="0.2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 x14ac:dyDescent="0.2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 x14ac:dyDescent="0.2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 x14ac:dyDescent="0.2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 x14ac:dyDescent="0.2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 x14ac:dyDescent="0.2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 x14ac:dyDescent="0.2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 x14ac:dyDescent="0.2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 x14ac:dyDescent="0.2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 x14ac:dyDescent="0.2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 x14ac:dyDescent="0.2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 x14ac:dyDescent="0.2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 x14ac:dyDescent="0.2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 x14ac:dyDescent="0.2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 x14ac:dyDescent="0.2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 x14ac:dyDescent="0.2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 x14ac:dyDescent="0.25">
      <c r="B1976" s="362" t="s">
        <v>4872</v>
      </c>
      <c r="C1976" s="362" t="s">
        <v>388</v>
      </c>
      <c r="D1976" s="391"/>
      <c r="E1976" s="371"/>
    </row>
    <row r="1977" spans="2:5" x14ac:dyDescent="0.2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 x14ac:dyDescent="0.2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 x14ac:dyDescent="0.2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 x14ac:dyDescent="0.2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 x14ac:dyDescent="0.2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 x14ac:dyDescent="0.2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 x14ac:dyDescent="0.2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 x14ac:dyDescent="0.2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 x14ac:dyDescent="0.2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 x14ac:dyDescent="0.2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 x14ac:dyDescent="0.2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 x14ac:dyDescent="0.2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 x14ac:dyDescent="0.2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 x14ac:dyDescent="0.2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 x14ac:dyDescent="0.2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 x14ac:dyDescent="0.2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 x14ac:dyDescent="0.2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 x14ac:dyDescent="0.2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 x14ac:dyDescent="0.2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 x14ac:dyDescent="0.2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 x14ac:dyDescent="0.2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 x14ac:dyDescent="0.2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 x14ac:dyDescent="0.2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 x14ac:dyDescent="0.2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 x14ac:dyDescent="0.2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 x14ac:dyDescent="0.2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 x14ac:dyDescent="0.2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 x14ac:dyDescent="0.2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 x14ac:dyDescent="0.2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 x14ac:dyDescent="0.2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 x14ac:dyDescent="0.2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 x14ac:dyDescent="0.2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 x14ac:dyDescent="0.2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 x14ac:dyDescent="0.2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 x14ac:dyDescent="0.2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 x14ac:dyDescent="0.2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 x14ac:dyDescent="0.2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 x14ac:dyDescent="0.2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 x14ac:dyDescent="0.2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 x14ac:dyDescent="0.2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 x14ac:dyDescent="0.2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 x14ac:dyDescent="0.2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 x14ac:dyDescent="0.2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 x14ac:dyDescent="0.2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 x14ac:dyDescent="0.2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 x14ac:dyDescent="0.2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 x14ac:dyDescent="0.2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 x14ac:dyDescent="0.2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 x14ac:dyDescent="0.2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 x14ac:dyDescent="0.2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 x14ac:dyDescent="0.2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 x14ac:dyDescent="0.2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 x14ac:dyDescent="0.2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 x14ac:dyDescent="0.2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 x14ac:dyDescent="0.2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 x14ac:dyDescent="0.2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 x14ac:dyDescent="0.2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 x14ac:dyDescent="0.2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 x14ac:dyDescent="0.2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 x14ac:dyDescent="0.2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 x14ac:dyDescent="0.2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 x14ac:dyDescent="0.2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 x14ac:dyDescent="0.2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 x14ac:dyDescent="0.2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 x14ac:dyDescent="0.2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 x14ac:dyDescent="0.2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 x14ac:dyDescent="0.2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 x14ac:dyDescent="0.2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 x14ac:dyDescent="0.2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 x14ac:dyDescent="0.2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 x14ac:dyDescent="0.2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 x14ac:dyDescent="0.2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 x14ac:dyDescent="0.2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 x14ac:dyDescent="0.2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 x14ac:dyDescent="0.2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 x14ac:dyDescent="0.2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 x14ac:dyDescent="0.2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 x14ac:dyDescent="0.2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 x14ac:dyDescent="0.2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 x14ac:dyDescent="0.2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 x14ac:dyDescent="0.2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 x14ac:dyDescent="0.2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 x14ac:dyDescent="0.2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 x14ac:dyDescent="0.2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 x14ac:dyDescent="0.2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 x14ac:dyDescent="0.2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 x14ac:dyDescent="0.2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 x14ac:dyDescent="0.2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 x14ac:dyDescent="0.2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 x14ac:dyDescent="0.2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 x14ac:dyDescent="0.2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 x14ac:dyDescent="0.2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 x14ac:dyDescent="0.2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 x14ac:dyDescent="0.2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 x14ac:dyDescent="0.2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 x14ac:dyDescent="0.2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 x14ac:dyDescent="0.2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 x14ac:dyDescent="0.2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 x14ac:dyDescent="0.2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 x14ac:dyDescent="0.2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 x14ac:dyDescent="0.2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 x14ac:dyDescent="0.2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 x14ac:dyDescent="0.2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 x14ac:dyDescent="0.2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 x14ac:dyDescent="0.2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 x14ac:dyDescent="0.2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 x14ac:dyDescent="0.2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 x14ac:dyDescent="0.2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 x14ac:dyDescent="0.2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 x14ac:dyDescent="0.2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 x14ac:dyDescent="0.2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 x14ac:dyDescent="0.2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 x14ac:dyDescent="0.2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 x14ac:dyDescent="0.2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 x14ac:dyDescent="0.2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 x14ac:dyDescent="0.2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 x14ac:dyDescent="0.2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 x14ac:dyDescent="0.2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 x14ac:dyDescent="0.2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 x14ac:dyDescent="0.2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 x14ac:dyDescent="0.2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 x14ac:dyDescent="0.2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 x14ac:dyDescent="0.2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 x14ac:dyDescent="0.2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 x14ac:dyDescent="0.2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 x14ac:dyDescent="0.2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 x14ac:dyDescent="0.2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 x14ac:dyDescent="0.2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 x14ac:dyDescent="0.2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 x14ac:dyDescent="0.2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 x14ac:dyDescent="0.2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 x14ac:dyDescent="0.2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 x14ac:dyDescent="0.25">
      <c r="B2109" s="384" t="s">
        <v>5389</v>
      </c>
      <c r="C2109" s="384" t="s">
        <v>388</v>
      </c>
      <c r="D2109" s="374"/>
      <c r="E2109" s="393"/>
    </row>
    <row r="2110" spans="2:5" x14ac:dyDescent="0.2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 x14ac:dyDescent="0.2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 x14ac:dyDescent="0.2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 x14ac:dyDescent="0.2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 x14ac:dyDescent="0.2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 x14ac:dyDescent="0.2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 x14ac:dyDescent="0.25">
      <c r="B2116" s="384" t="s">
        <v>5396</v>
      </c>
      <c r="C2116" s="384" t="s">
        <v>388</v>
      </c>
      <c r="D2116" s="374"/>
      <c r="E2116" s="393"/>
    </row>
    <row r="2117" spans="2:5" x14ac:dyDescent="0.2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 x14ac:dyDescent="0.2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 x14ac:dyDescent="0.2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 x14ac:dyDescent="0.2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 x14ac:dyDescent="0.2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 x14ac:dyDescent="0.2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 x14ac:dyDescent="0.25">
      <c r="B2123" s="384" t="s">
        <v>5403</v>
      </c>
      <c r="C2123" s="384" t="s">
        <v>388</v>
      </c>
      <c r="D2123" s="374"/>
      <c r="E2123" s="393"/>
    </row>
    <row r="2124" spans="2:5" x14ac:dyDescent="0.2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 x14ac:dyDescent="0.2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 x14ac:dyDescent="0.2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 x14ac:dyDescent="0.2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 x14ac:dyDescent="0.2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 x14ac:dyDescent="0.2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 x14ac:dyDescent="0.2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 x14ac:dyDescent="0.2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 x14ac:dyDescent="0.2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 x14ac:dyDescent="0.2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 x14ac:dyDescent="0.2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 x14ac:dyDescent="0.2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 x14ac:dyDescent="0.2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 x14ac:dyDescent="0.2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 x14ac:dyDescent="0.2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 x14ac:dyDescent="0.2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 x14ac:dyDescent="0.2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 x14ac:dyDescent="0.2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 x14ac:dyDescent="0.2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 x14ac:dyDescent="0.2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 x14ac:dyDescent="0.2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 x14ac:dyDescent="0.2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 x14ac:dyDescent="0.2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 x14ac:dyDescent="0.2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 x14ac:dyDescent="0.2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 x14ac:dyDescent="0.2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 x14ac:dyDescent="0.2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 x14ac:dyDescent="0.2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 x14ac:dyDescent="0.2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 x14ac:dyDescent="0.2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 x14ac:dyDescent="0.2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 x14ac:dyDescent="0.2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 x14ac:dyDescent="0.2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 x14ac:dyDescent="0.2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 x14ac:dyDescent="0.2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 x14ac:dyDescent="0.2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 x14ac:dyDescent="0.2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 x14ac:dyDescent="0.2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 x14ac:dyDescent="0.2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 x14ac:dyDescent="0.2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 x14ac:dyDescent="0.2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 x14ac:dyDescent="0.2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 x14ac:dyDescent="0.2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 x14ac:dyDescent="0.2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 x14ac:dyDescent="0.2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 x14ac:dyDescent="0.2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 x14ac:dyDescent="0.2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 x14ac:dyDescent="0.2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 x14ac:dyDescent="0.2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 x14ac:dyDescent="0.2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 x14ac:dyDescent="0.2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 x14ac:dyDescent="0.2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 x14ac:dyDescent="0.2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 x14ac:dyDescent="0.2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 x14ac:dyDescent="0.2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 x14ac:dyDescent="0.2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 x14ac:dyDescent="0.2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 x14ac:dyDescent="0.2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 x14ac:dyDescent="0.2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 x14ac:dyDescent="0.2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 x14ac:dyDescent="0.2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 x14ac:dyDescent="0.2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 x14ac:dyDescent="0.2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 x14ac:dyDescent="0.25">
      <c r="B2187" s="384" t="s">
        <v>5538</v>
      </c>
      <c r="C2187" s="384" t="s">
        <v>388</v>
      </c>
      <c r="D2187" s="374"/>
      <c r="E2187" s="393"/>
    </row>
    <row r="2188" spans="2:5" x14ac:dyDescent="0.2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 x14ac:dyDescent="0.2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 x14ac:dyDescent="0.2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 x14ac:dyDescent="0.2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 x14ac:dyDescent="0.2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 x14ac:dyDescent="0.2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 x14ac:dyDescent="0.2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 x14ac:dyDescent="0.2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 x14ac:dyDescent="0.2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 x14ac:dyDescent="0.2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 x14ac:dyDescent="0.2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 x14ac:dyDescent="0.2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 x14ac:dyDescent="0.2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 x14ac:dyDescent="0.2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 x14ac:dyDescent="0.2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 x14ac:dyDescent="0.2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 x14ac:dyDescent="0.2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 x14ac:dyDescent="0.2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 x14ac:dyDescent="0.2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 x14ac:dyDescent="0.2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 x14ac:dyDescent="0.2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 x14ac:dyDescent="0.2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 x14ac:dyDescent="0.2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 x14ac:dyDescent="0.2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 x14ac:dyDescent="0.2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 x14ac:dyDescent="0.2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 x14ac:dyDescent="0.2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 x14ac:dyDescent="0.2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 x14ac:dyDescent="0.2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 x14ac:dyDescent="0.2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 x14ac:dyDescent="0.2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 x14ac:dyDescent="0.2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 x14ac:dyDescent="0.2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 x14ac:dyDescent="0.2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 x14ac:dyDescent="0.2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 x14ac:dyDescent="0.2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 x14ac:dyDescent="0.2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 x14ac:dyDescent="0.2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 x14ac:dyDescent="0.2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 x14ac:dyDescent="0.2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 x14ac:dyDescent="0.2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 x14ac:dyDescent="0.2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 x14ac:dyDescent="0.2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 x14ac:dyDescent="0.2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 x14ac:dyDescent="0.2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 x14ac:dyDescent="0.2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 x14ac:dyDescent="0.2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 x14ac:dyDescent="0.2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 x14ac:dyDescent="0.2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 x14ac:dyDescent="0.2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 x14ac:dyDescent="0.2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 x14ac:dyDescent="0.2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 x14ac:dyDescent="0.2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 x14ac:dyDescent="0.2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 x14ac:dyDescent="0.2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 x14ac:dyDescent="0.2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 x14ac:dyDescent="0.2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 x14ac:dyDescent="0.2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 x14ac:dyDescent="0.2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 x14ac:dyDescent="0.2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 x14ac:dyDescent="0.2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 x14ac:dyDescent="0.2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 x14ac:dyDescent="0.25">
      <c r="B2250" s="384" t="s">
        <v>5682</v>
      </c>
      <c r="C2250" s="384" t="s">
        <v>3812</v>
      </c>
      <c r="D2250" s="374"/>
      <c r="E2250" s="393"/>
    </row>
    <row r="2251" spans="2:5" x14ac:dyDescent="0.2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 x14ac:dyDescent="0.2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 x14ac:dyDescent="0.2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 x14ac:dyDescent="0.2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 x14ac:dyDescent="0.2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 x14ac:dyDescent="0.2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 x14ac:dyDescent="0.2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 x14ac:dyDescent="0.2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 x14ac:dyDescent="0.2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 x14ac:dyDescent="0.2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 x14ac:dyDescent="0.2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 x14ac:dyDescent="0.2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 x14ac:dyDescent="0.2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 x14ac:dyDescent="0.2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 x14ac:dyDescent="0.2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 x14ac:dyDescent="0.2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 x14ac:dyDescent="0.2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 x14ac:dyDescent="0.2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 x14ac:dyDescent="0.2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 x14ac:dyDescent="0.2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 x14ac:dyDescent="0.25">
      <c r="B2271" s="384" t="s">
        <v>5844</v>
      </c>
      <c r="C2271" s="384" t="s">
        <v>388</v>
      </c>
      <c r="D2271" s="374"/>
      <c r="E2271" s="393"/>
    </row>
    <row r="2272" spans="2:5" x14ac:dyDescent="0.2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 x14ac:dyDescent="0.2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 x14ac:dyDescent="0.2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 x14ac:dyDescent="0.2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 x14ac:dyDescent="0.2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 x14ac:dyDescent="0.2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 x14ac:dyDescent="0.2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 x14ac:dyDescent="0.2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 x14ac:dyDescent="0.2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 x14ac:dyDescent="0.2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 x14ac:dyDescent="0.2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 x14ac:dyDescent="0.2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 x14ac:dyDescent="0.2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 x14ac:dyDescent="0.2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 x14ac:dyDescent="0.2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 x14ac:dyDescent="0.2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 x14ac:dyDescent="0.2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 x14ac:dyDescent="0.2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 x14ac:dyDescent="0.2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 x14ac:dyDescent="0.2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 x14ac:dyDescent="0.2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 x14ac:dyDescent="0.2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 x14ac:dyDescent="0.2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 x14ac:dyDescent="0.2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 x14ac:dyDescent="0.2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 x14ac:dyDescent="0.2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 x14ac:dyDescent="0.2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 x14ac:dyDescent="0.2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 x14ac:dyDescent="0.2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 x14ac:dyDescent="0.2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 x14ac:dyDescent="0.2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 x14ac:dyDescent="0.2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 x14ac:dyDescent="0.2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 x14ac:dyDescent="0.2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 x14ac:dyDescent="0.2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 x14ac:dyDescent="0.2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 x14ac:dyDescent="0.2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74"/>
      <c r="AB1" s="1474"/>
      <c r="AC1" s="1474"/>
      <c r="AD1" s="1474"/>
      <c r="AE1" s="1474"/>
      <c r="AF1" s="1474"/>
      <c r="AG1" s="1474"/>
      <c r="AH1" s="1474"/>
    </row>
    <row r="2" spans="1:57" ht="15.75" x14ac:dyDescent="0.25">
      <c r="A2" s="93" t="s">
        <v>158</v>
      </c>
      <c r="U2" s="92"/>
      <c r="AA2" s="1474"/>
      <c r="AB2" s="1474"/>
      <c r="AC2" s="1474"/>
      <c r="AD2" s="1474"/>
      <c r="AE2" s="1474"/>
      <c r="AF2" s="1474"/>
      <c r="AG2" s="1474"/>
      <c r="AH2" s="1474"/>
    </row>
    <row r="3" spans="1:57" x14ac:dyDescent="0.25">
      <c r="A3" s="94" t="s">
        <v>5718</v>
      </c>
      <c r="U3" s="92"/>
      <c r="AA3" s="1474"/>
      <c r="AB3" s="1474"/>
      <c r="AC3" s="1474"/>
      <c r="AD3" s="1474"/>
      <c r="AE3" s="1474"/>
      <c r="AF3" s="1474"/>
      <c r="AG3" s="1474"/>
      <c r="AH3" s="1474"/>
    </row>
    <row r="4" spans="1:57" ht="21.75" thickBot="1" x14ac:dyDescent="0.4">
      <c r="B4" s="95" t="s">
        <v>157</v>
      </c>
      <c r="D4" s="1474" t="s">
        <v>1</v>
      </c>
      <c r="E4" s="1474"/>
      <c r="F4" s="1474"/>
      <c r="G4" s="1474"/>
      <c r="H4" s="1474"/>
      <c r="I4" s="1474"/>
      <c r="J4" s="1474"/>
      <c r="U4" s="92"/>
      <c r="AA4" s="1481"/>
      <c r="AB4" s="1481"/>
      <c r="AC4" s="1481"/>
      <c r="AD4" s="1481"/>
      <c r="AE4" s="1481"/>
      <c r="AF4" s="1481"/>
      <c r="AG4" s="1481"/>
      <c r="AH4" s="1481"/>
    </row>
    <row r="5" spans="1:57" ht="21" customHeight="1" x14ac:dyDescent="0.25">
      <c r="A5" s="1489" t="s">
        <v>2</v>
      </c>
      <c r="B5" s="1490"/>
      <c r="C5" s="1477" t="s">
        <v>3130</v>
      </c>
      <c r="D5" s="1475" t="s">
        <v>3</v>
      </c>
      <c r="E5" s="1475"/>
      <c r="F5" s="1475"/>
      <c r="G5" s="1475"/>
      <c r="H5" s="1475"/>
      <c r="I5" s="1475"/>
      <c r="J5" s="1475"/>
      <c r="K5" s="1475"/>
      <c r="L5" s="1475"/>
      <c r="M5" s="1475"/>
      <c r="N5" s="1475"/>
      <c r="O5" s="1475"/>
      <c r="P5" s="1475"/>
      <c r="Q5" s="1475"/>
      <c r="R5" s="1475"/>
      <c r="S5" s="1475"/>
      <c r="T5" s="1475"/>
      <c r="U5" s="1475"/>
      <c r="V5" s="1475"/>
      <c r="W5" s="1475"/>
      <c r="X5" s="1475"/>
      <c r="Y5" s="1475"/>
      <c r="Z5" s="1475"/>
      <c r="AA5" s="1475"/>
      <c r="AB5" s="1475"/>
      <c r="AC5" s="1475"/>
      <c r="AD5" s="1475"/>
      <c r="AE5" s="1475"/>
      <c r="AF5" s="1475"/>
      <c r="AG5" s="1475"/>
      <c r="AH5" s="1476"/>
      <c r="AJ5" s="1479" t="s">
        <v>4</v>
      </c>
      <c r="AL5" s="1479" t="s">
        <v>5</v>
      </c>
      <c r="AN5" s="1479" t="s">
        <v>6</v>
      </c>
      <c r="AP5" s="1479" t="s">
        <v>7</v>
      </c>
      <c r="AR5" s="1479" t="s">
        <v>8</v>
      </c>
      <c r="AT5" s="1479" t="s">
        <v>9</v>
      </c>
      <c r="AV5" s="1479" t="s">
        <v>3129</v>
      </c>
      <c r="AX5" s="1479" t="s">
        <v>104</v>
      </c>
    </row>
    <row r="6" spans="1:57" ht="17.25" customHeight="1" thickBot="1" x14ac:dyDescent="0.3">
      <c r="A6" s="1491"/>
      <c r="B6" s="1492"/>
      <c r="C6" s="1478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80"/>
      <c r="AL6" s="1480"/>
      <c r="AN6" s="1480"/>
      <c r="AP6" s="1480"/>
      <c r="AR6" s="1480"/>
      <c r="AT6" s="1480"/>
      <c r="AV6" s="1480"/>
      <c r="AX6" s="1480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86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87"/>
      <c r="B22" s="184" t="s">
        <v>22</v>
      </c>
      <c r="C22" s="848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27286909357</v>
      </c>
      <c r="AX22" s="26">
        <f>AN22+AP22+AR22+AT22+AV22</f>
        <v>27286909357</v>
      </c>
      <c r="BA22" s="31"/>
      <c r="BB22" s="31"/>
      <c r="BC22" s="31"/>
      <c r="BD22" s="31"/>
      <c r="BE22" s="31"/>
    </row>
    <row r="23" spans="1:57" x14ac:dyDescent="0.25">
      <c r="A23" s="1487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8687671425</v>
      </c>
      <c r="AX23" s="26">
        <f>AN23+AP23+AR23+AT23+AV23</f>
        <v>8687671425</v>
      </c>
      <c r="BA23" s="31"/>
      <c r="BB23" s="31"/>
      <c r="BC23" s="31"/>
      <c r="BD23" s="31"/>
      <c r="BE23" s="31"/>
    </row>
    <row r="24" spans="1:57" ht="15.75" thickBot="1" x14ac:dyDescent="0.3">
      <c r="A24" s="1488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82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84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84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85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82" t="s">
        <v>28</v>
      </c>
      <c r="B31" s="191"/>
      <c r="C31" s="842"/>
      <c r="D31" s="843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  <c r="AB31" s="844"/>
      <c r="AC31" s="844"/>
      <c r="AD31" s="844"/>
      <c r="AE31" s="844"/>
      <c r="AF31" s="844"/>
      <c r="AG31" s="844"/>
      <c r="AH31" s="845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83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17344340138</v>
      </c>
      <c r="AX33" s="27">
        <f>AN33+AP33+AR33+AT33+AV33</f>
        <v>17344340138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6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ATTACH!AL41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ATTACH!AL43</f>
        <v>5804541</v>
      </c>
      <c r="AX36" s="27">
        <f>AN36+AP36+AR36+AT36+AV36</f>
        <v>5804541</v>
      </c>
      <c r="BA36" s="31"/>
      <c r="BB36" s="31"/>
      <c r="BC36" s="31"/>
      <c r="BD36" s="31"/>
      <c r="BE36" s="31"/>
    </row>
    <row r="37" spans="1:57" x14ac:dyDescent="0.25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ATTACH!AL45</f>
        <v>111655393</v>
      </c>
      <c r="AX37" s="441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ATTACH!AL48</f>
        <v>130606450</v>
      </c>
      <c r="AX38" s="27">
        <f>AN38+AP38+AR38+AT38+AV38</f>
        <v>130606450</v>
      </c>
      <c r="BA38" s="31"/>
      <c r="BB38" s="31"/>
      <c r="BC38" s="31"/>
      <c r="BD38" s="31"/>
      <c r="BE38" s="31"/>
    </row>
    <row r="39" spans="1:57" x14ac:dyDescent="0.25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ATTACH!AL49</f>
        <v>209745920</v>
      </c>
      <c r="AX39" s="441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2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ATTACH!AL60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4"/>
      <c r="D41" s="246"/>
      <c r="E41" s="220"/>
      <c r="F41" s="220"/>
      <c r="G41" s="221"/>
      <c r="H41" s="220"/>
      <c r="I41" s="221"/>
      <c r="J41" s="220"/>
      <c r="K41" s="221"/>
      <c r="L41" s="220"/>
      <c r="M41" s="603"/>
      <c r="N41" s="600"/>
      <c r="O41" s="600"/>
      <c r="P41" s="599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7" t="s">
        <v>4972</v>
      </c>
      <c r="B42" s="193"/>
      <c r="C42" s="594"/>
      <c r="D42" s="246"/>
      <c r="E42" s="598"/>
      <c r="F42" s="598"/>
      <c r="G42" s="599"/>
      <c r="H42" s="598"/>
      <c r="I42" s="599"/>
      <c r="J42" s="598"/>
      <c r="K42" s="599"/>
      <c r="L42" s="598"/>
      <c r="M42" s="603"/>
      <c r="N42" s="600"/>
      <c r="O42" s="600"/>
      <c r="P42" s="599"/>
      <c r="Q42" s="598"/>
      <c r="R42" s="598"/>
      <c r="S42" s="598"/>
      <c r="T42" s="598"/>
      <c r="U42" s="598"/>
      <c r="V42" s="599"/>
      <c r="W42" s="598"/>
      <c r="X42" s="598"/>
      <c r="Y42" s="598"/>
      <c r="Z42" s="598"/>
      <c r="AA42" s="598"/>
      <c r="AB42" s="598"/>
      <c r="AC42" s="598"/>
      <c r="AD42" s="598"/>
      <c r="AE42" s="598"/>
      <c r="AF42" s="601"/>
      <c r="AG42" s="601"/>
      <c r="AH42" s="602"/>
      <c r="AI42" s="108"/>
      <c r="AJ42" s="588"/>
      <c r="AK42" s="108"/>
      <c r="AL42" s="588"/>
      <c r="AM42" s="108"/>
      <c r="AN42" s="588"/>
      <c r="AO42" s="108"/>
      <c r="AP42" s="588"/>
      <c r="AQ42" s="108"/>
      <c r="AR42" s="588"/>
      <c r="AS42" s="108"/>
      <c r="AT42" s="588"/>
      <c r="AV42" s="588"/>
      <c r="AW42" s="109"/>
      <c r="AX42" s="588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12515383893</v>
      </c>
      <c r="AX44" s="27">
        <f t="shared" si="15"/>
        <v>12515383893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3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701670321</v>
      </c>
      <c r="AX49" s="27">
        <f t="shared" si="15"/>
        <v>701670321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7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5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ATTACH!AL38</f>
        <v>291474261</v>
      </c>
      <c r="AX54" s="27">
        <f t="shared" si="15"/>
        <v>291474261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7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ATTACH!AL39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ATTACH!AL40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ATTACH!AL42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ATTACH!AL50</f>
        <v>0</v>
      </c>
      <c r="AX58" s="27">
        <f t="shared" si="15"/>
        <v>0</v>
      </c>
      <c r="BA58" s="31"/>
      <c r="BB58" s="31"/>
      <c r="BC58" s="31"/>
      <c r="BD58" s="31"/>
      <c r="BE58" s="31"/>
    </row>
    <row r="59" spans="1:57" x14ac:dyDescent="0.25">
      <c r="A59" s="569" t="s">
        <v>4824</v>
      </c>
      <c r="B59" s="195" t="s">
        <v>4825</v>
      </c>
      <c r="C59" s="571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70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ATTACH!AL59</f>
        <v>102316364</v>
      </c>
      <c r="AX59" s="441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ATTACH!AL52</f>
        <v>360925610</v>
      </c>
      <c r="AX60" s="27">
        <f t="shared" si="15"/>
        <v>360925610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ATTACH!AL53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ATTACH!AL54</f>
        <v>38746993</v>
      </c>
      <c r="AX62" s="27">
        <f t="shared" si="15"/>
        <v>38746993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71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ATTACH!AL56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9" t="s">
        <v>4910</v>
      </c>
      <c r="B64" s="193"/>
      <c r="C64" s="596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90"/>
      <c r="AI64" s="29"/>
      <c r="AJ64" s="588"/>
      <c r="AK64" s="29"/>
      <c r="AL64" s="588"/>
      <c r="AM64" s="29"/>
      <c r="AN64" s="588"/>
      <c r="AO64" s="108"/>
      <c r="AP64" s="588"/>
      <c r="AQ64" s="108"/>
      <c r="AR64" s="588"/>
      <c r="AS64" s="29"/>
      <c r="AT64" s="588"/>
      <c r="AV64" s="588"/>
      <c r="AX64" s="441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ATTACH!AL64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90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ATTACH!AL65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  <mergeCell ref="D4:J4"/>
    <mergeCell ref="D5:AH5"/>
    <mergeCell ref="C5:C6"/>
    <mergeCell ref="AJ5:AJ6"/>
    <mergeCell ref="AN5:AN6"/>
    <mergeCell ref="AA1:AH4"/>
    <mergeCell ref="AL5:AL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W60"/>
  <sheetViews>
    <sheetView topLeftCell="A4" zoomScale="80" zoomScaleNormal="80" zoomScaleSheetLayoutView="100" workbookViewId="0">
      <pane xSplit="4" ySplit="4" topLeftCell="E32" activePane="bottomRight" state="frozen"/>
      <selection activeCell="A4" sqref="A4"/>
      <selection pane="topRight" activeCell="E4" sqref="E4"/>
      <selection pane="bottomLeft" activeCell="A8" sqref="A8"/>
      <selection pane="bottomRight" activeCell="I51" sqref="I51"/>
    </sheetView>
  </sheetViews>
  <sheetFormatPr defaultRowHeight="15.75" x14ac:dyDescent="0.25"/>
  <cols>
    <col min="1" max="1" width="13.140625" style="987" customWidth="1"/>
    <col min="2" max="2" width="12.42578125" style="1020" customWidth="1"/>
    <col min="3" max="3" width="20.28515625" style="996" customWidth="1"/>
    <col min="4" max="4" width="12.5703125" style="996" customWidth="1"/>
    <col min="5" max="5" width="12.140625" style="996" bestFit="1" customWidth="1"/>
    <col min="6" max="6" width="21.28515625" style="996" customWidth="1"/>
    <col min="7" max="7" width="13.7109375" style="1021" customWidth="1"/>
    <col min="8" max="8" width="17" style="1022" customWidth="1"/>
    <col min="9" max="9" width="23" style="996" customWidth="1"/>
    <col min="10" max="10" width="16.28515625" style="996" customWidth="1"/>
    <col min="11" max="11" width="16.42578125" style="996" customWidth="1"/>
    <col min="12" max="12" width="8.140625" style="996" customWidth="1"/>
    <col min="13" max="13" width="12" style="996" customWidth="1"/>
    <col min="14" max="14" width="18.140625" style="987" customWidth="1"/>
    <col min="15" max="15" width="12.7109375" style="1027" customWidth="1"/>
    <col min="16" max="16" width="8.85546875" style="1027" customWidth="1"/>
    <col min="17" max="17" width="18.140625" style="994" bestFit="1" customWidth="1"/>
    <col min="18" max="18" width="9.5703125" style="1024" bestFit="1" customWidth="1"/>
    <col min="19" max="19" width="19.5703125" style="996" bestFit="1" customWidth="1"/>
    <col min="20" max="26" width="12" style="996" customWidth="1"/>
    <col min="27" max="27" width="13.42578125" style="996" customWidth="1"/>
    <col min="28" max="28" width="13.7109375" style="996" customWidth="1"/>
    <col min="29" max="29" width="14.5703125" style="996" customWidth="1"/>
    <col min="30" max="34" width="13.7109375" style="996" customWidth="1"/>
    <col min="35" max="35" width="17" style="996" customWidth="1"/>
    <col min="36" max="36" width="13.7109375" style="996" customWidth="1"/>
    <col min="37" max="37" width="17.7109375" style="996" customWidth="1"/>
    <col min="38" max="38" width="15" style="996" customWidth="1"/>
    <col min="39" max="42" width="13.7109375" style="996" customWidth="1"/>
    <col min="43" max="43" width="15.7109375" style="996" customWidth="1"/>
    <col min="44" max="48" width="13.7109375" style="996" customWidth="1"/>
    <col min="49" max="49" width="19.140625" style="996" customWidth="1"/>
    <col min="50" max="16384" width="9.140625" style="996"/>
  </cols>
  <sheetData>
    <row r="2" spans="1:49" x14ac:dyDescent="0.25">
      <c r="B2" s="988"/>
      <c r="C2" s="989"/>
      <c r="D2" s="989"/>
      <c r="E2" s="989"/>
      <c r="F2" s="989"/>
      <c r="G2" s="990"/>
      <c r="H2" s="991"/>
      <c r="I2" s="989"/>
      <c r="J2" s="989"/>
      <c r="K2" s="989"/>
      <c r="L2" s="989"/>
      <c r="M2" s="989"/>
      <c r="N2" s="992"/>
      <c r="O2" s="993"/>
      <c r="P2" s="993"/>
      <c r="R2" s="995"/>
      <c r="S2" s="989"/>
      <c r="T2" s="989"/>
      <c r="U2" s="989"/>
      <c r="V2" s="989"/>
      <c r="W2" s="989"/>
      <c r="X2" s="989"/>
      <c r="Y2" s="989"/>
      <c r="Z2" s="989"/>
      <c r="AA2" s="989"/>
      <c r="AB2" s="989"/>
      <c r="AC2" s="989"/>
      <c r="AD2" s="989"/>
      <c r="AE2" s="989"/>
      <c r="AF2" s="989"/>
      <c r="AG2" s="989"/>
      <c r="AH2" s="989"/>
      <c r="AI2" s="989"/>
      <c r="AJ2" s="989"/>
      <c r="AK2" s="989"/>
      <c r="AL2" s="989"/>
      <c r="AM2" s="989"/>
      <c r="AN2" s="989"/>
      <c r="AO2" s="989"/>
      <c r="AP2" s="989"/>
      <c r="AQ2" s="989"/>
      <c r="AR2" s="989"/>
      <c r="AS2" s="989"/>
      <c r="AT2" s="989"/>
      <c r="AU2" s="989"/>
      <c r="AV2" s="989"/>
      <c r="AW2" s="989"/>
    </row>
    <row r="3" spans="1:49" x14ac:dyDescent="0.25">
      <c r="B3" s="988"/>
      <c r="C3" s="989"/>
      <c r="D3" s="989"/>
      <c r="E3" s="989"/>
      <c r="F3" s="989"/>
      <c r="G3" s="990"/>
      <c r="H3" s="991"/>
      <c r="I3" s="989"/>
      <c r="J3" s="989"/>
      <c r="K3" s="989"/>
      <c r="L3" s="989"/>
      <c r="M3" s="989"/>
      <c r="N3" s="992"/>
      <c r="O3" s="993"/>
      <c r="P3" s="993"/>
      <c r="R3" s="995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989"/>
      <c r="AQ3" s="989"/>
      <c r="AR3" s="989"/>
      <c r="AS3" s="989"/>
      <c r="AT3" s="989"/>
      <c r="AU3" s="989"/>
      <c r="AV3" s="989"/>
      <c r="AW3" s="989"/>
    </row>
    <row r="4" spans="1:49" ht="16.5" thickBot="1" x14ac:dyDescent="0.3">
      <c r="A4" s="987" t="s">
        <v>153</v>
      </c>
      <c r="B4" s="997"/>
      <c r="C4" s="989" t="s">
        <v>6218</v>
      </c>
      <c r="D4" s="1139">
        <v>8.2500000000000004E-2</v>
      </c>
      <c r="E4" s="989"/>
      <c r="F4" s="989">
        <v>30</v>
      </c>
      <c r="G4" s="990"/>
      <c r="H4" s="991"/>
      <c r="I4" s="998">
        <v>0.1</v>
      </c>
      <c r="J4" s="989"/>
      <c r="K4" s="989"/>
      <c r="L4" s="989"/>
      <c r="M4" s="989"/>
      <c r="N4" s="992"/>
      <c r="O4" s="993"/>
      <c r="P4" s="993"/>
      <c r="R4" s="995"/>
      <c r="S4" s="989"/>
      <c r="T4" s="989"/>
      <c r="U4" s="989"/>
      <c r="V4" s="989"/>
      <c r="W4" s="989"/>
      <c r="X4" s="989"/>
      <c r="Y4" s="989"/>
      <c r="Z4" s="989"/>
      <c r="AA4" s="989"/>
      <c r="AB4" s="989"/>
      <c r="AC4" s="989"/>
      <c r="AD4" s="989"/>
      <c r="AE4" s="989"/>
      <c r="AF4" s="989"/>
      <c r="AG4" s="989"/>
      <c r="AH4" s="989"/>
      <c r="AI4" s="989"/>
      <c r="AJ4" s="989"/>
      <c r="AK4" s="989"/>
      <c r="AL4" s="989"/>
      <c r="AM4" s="989"/>
      <c r="AN4" s="989"/>
      <c r="AO4" s="989"/>
      <c r="AP4" s="989"/>
      <c r="AQ4" s="989"/>
      <c r="AR4" s="989"/>
      <c r="AS4" s="989"/>
      <c r="AT4" s="989"/>
      <c r="AU4" s="989"/>
      <c r="AV4" s="989"/>
      <c r="AW4" s="989"/>
    </row>
    <row r="5" spans="1:49" s="999" customFormat="1" ht="15" customHeight="1" thickBot="1" x14ac:dyDescent="0.3">
      <c r="A5" s="1494" t="s">
        <v>102</v>
      </c>
      <c r="B5" s="1494"/>
      <c r="C5" s="1494"/>
      <c r="D5" s="1493" t="s">
        <v>103</v>
      </c>
      <c r="E5" s="1501" t="s">
        <v>124</v>
      </c>
      <c r="F5" s="1502"/>
      <c r="G5" s="1502"/>
      <c r="H5" s="1503"/>
      <c r="I5" s="1494" t="s">
        <v>104</v>
      </c>
      <c r="J5" s="1495" t="s">
        <v>105</v>
      </c>
      <c r="K5" s="1396" t="s">
        <v>106</v>
      </c>
      <c r="L5" s="1397"/>
      <c r="M5" s="1397"/>
      <c r="N5" s="1397"/>
      <c r="O5" s="1397"/>
      <c r="P5" s="1397"/>
      <c r="Q5" s="1397"/>
      <c r="R5" s="1398"/>
    </row>
    <row r="6" spans="1:49" s="999" customFormat="1" ht="16.5" thickBot="1" x14ac:dyDescent="0.3">
      <c r="A6" s="1329" t="s">
        <v>109</v>
      </c>
      <c r="B6" s="1000" t="s">
        <v>110</v>
      </c>
      <c r="C6" s="1001" t="s">
        <v>111</v>
      </c>
      <c r="D6" s="1493"/>
      <c r="E6" s="1001" t="s">
        <v>112</v>
      </c>
      <c r="F6" s="1001" t="s">
        <v>113</v>
      </c>
      <c r="G6" s="1001" t="s">
        <v>114</v>
      </c>
      <c r="H6" s="1002" t="s">
        <v>5960</v>
      </c>
      <c r="I6" s="1494"/>
      <c r="J6" s="1496"/>
      <c r="K6" s="1396" t="s">
        <v>117</v>
      </c>
      <c r="L6" s="1397"/>
      <c r="M6" s="1397"/>
      <c r="N6" s="1397"/>
      <c r="O6" s="1397"/>
      <c r="P6" s="1397"/>
      <c r="Q6" s="1397"/>
      <c r="R6" s="1398"/>
    </row>
    <row r="7" spans="1:49" s="1008" customFormat="1" ht="16.5" thickBot="1" x14ac:dyDescent="0.3">
      <c r="A7" s="1003"/>
      <c r="B7" s="1004"/>
      <c r="C7" s="1005"/>
      <c r="D7" s="1005"/>
      <c r="E7" s="1005"/>
      <c r="F7" s="1005"/>
      <c r="G7" s="1006"/>
      <c r="H7" s="1007"/>
      <c r="I7" s="1005"/>
      <c r="J7" s="1332"/>
      <c r="K7" s="1331" t="s">
        <v>6218</v>
      </c>
      <c r="L7" s="1352" t="s">
        <v>6270</v>
      </c>
      <c r="M7" s="1352" t="s">
        <v>6271</v>
      </c>
      <c r="N7" s="1006" t="s">
        <v>6145</v>
      </c>
      <c r="O7" s="1006" t="s">
        <v>6269</v>
      </c>
      <c r="P7" s="1006" t="s">
        <v>6219</v>
      </c>
      <c r="Q7" s="1333" t="s">
        <v>6146</v>
      </c>
      <c r="R7" s="1334" t="s">
        <v>114</v>
      </c>
    </row>
    <row r="8" spans="1:49" x14ac:dyDescent="0.25">
      <c r="A8" s="1345">
        <v>44669</v>
      </c>
      <c r="B8" s="1346" t="s">
        <v>52</v>
      </c>
      <c r="C8" s="1009">
        <v>1781950472</v>
      </c>
      <c r="D8" s="1010">
        <f t="shared" ref="D8:D40" si="0">A8+$F$4</f>
        <v>44699</v>
      </c>
      <c r="E8" s="1046">
        <f t="shared" ref="E8:E40" si="1">D8-G8</f>
        <v>5</v>
      </c>
      <c r="F8" s="1011">
        <v>1781950472</v>
      </c>
      <c r="G8" s="1010">
        <v>44694</v>
      </c>
      <c r="H8" s="1393">
        <f>G8-A8</f>
        <v>25</v>
      </c>
      <c r="I8" s="1011">
        <f t="shared" ref="I8:I40" si="2">C8-F8</f>
        <v>0</v>
      </c>
      <c r="J8" s="1011">
        <f t="shared" ref="J8:J24" si="3">(C8/360)*H8*$D$4</f>
        <v>10209091.245833334</v>
      </c>
      <c r="K8" s="1394">
        <v>0.08</v>
      </c>
      <c r="L8" s="1011">
        <v>26</v>
      </c>
      <c r="M8" s="1395">
        <v>44694</v>
      </c>
      <c r="N8" s="1011">
        <f>C8/360*L8*K8</f>
        <v>10295713.838222222</v>
      </c>
      <c r="O8" s="1014">
        <v>44694</v>
      </c>
      <c r="P8" s="1014"/>
      <c r="Q8" s="1015"/>
      <c r="R8" s="1016"/>
    </row>
    <row r="9" spans="1:49" x14ac:dyDescent="0.25">
      <c r="A9" s="1345">
        <v>44669</v>
      </c>
      <c r="B9" s="1346" t="s">
        <v>6272</v>
      </c>
      <c r="C9" s="1009">
        <v>954604000</v>
      </c>
      <c r="D9" s="1010">
        <f t="shared" si="0"/>
        <v>44699</v>
      </c>
      <c r="E9" s="1046">
        <f t="shared" si="1"/>
        <v>5</v>
      </c>
      <c r="F9" s="1011">
        <v>954604000</v>
      </c>
      <c r="G9" s="1010">
        <v>44694</v>
      </c>
      <c r="H9" s="1393">
        <f t="shared" ref="H9:H24" si="4">G9-A9</f>
        <v>25</v>
      </c>
      <c r="I9" s="1011">
        <f t="shared" si="2"/>
        <v>0</v>
      </c>
      <c r="J9" s="1011">
        <f t="shared" si="3"/>
        <v>5469085.416666667</v>
      </c>
      <c r="K9" s="1394">
        <v>0.08</v>
      </c>
      <c r="L9" s="1011">
        <v>26</v>
      </c>
      <c r="M9" s="1395">
        <v>44694</v>
      </c>
      <c r="N9" s="1011">
        <f t="shared" ref="N9:N24" si="5">C9/360*L9*K9</f>
        <v>5515489.777777778</v>
      </c>
      <c r="O9" s="1014">
        <v>44694</v>
      </c>
      <c r="P9" s="1014"/>
      <c r="Q9" s="1015"/>
      <c r="R9" s="1016"/>
    </row>
    <row r="10" spans="1:49" x14ac:dyDescent="0.25">
      <c r="A10" s="1345">
        <v>44669</v>
      </c>
      <c r="B10" s="1346" t="s">
        <v>59</v>
      </c>
      <c r="C10" s="1009">
        <v>524766427</v>
      </c>
      <c r="D10" s="1010">
        <f t="shared" si="0"/>
        <v>44699</v>
      </c>
      <c r="E10" s="1046">
        <f t="shared" si="1"/>
        <v>5</v>
      </c>
      <c r="F10" s="1011">
        <v>524766427</v>
      </c>
      <c r="G10" s="1010">
        <v>44694</v>
      </c>
      <c r="H10" s="1393">
        <f t="shared" si="4"/>
        <v>25</v>
      </c>
      <c r="I10" s="1011">
        <f t="shared" si="2"/>
        <v>0</v>
      </c>
      <c r="J10" s="1011">
        <f t="shared" si="3"/>
        <v>3006474.3213541671</v>
      </c>
      <c r="K10" s="1394">
        <v>0.08</v>
      </c>
      <c r="L10" s="1011">
        <v>26</v>
      </c>
      <c r="M10" s="1395">
        <v>44694</v>
      </c>
      <c r="N10" s="1011">
        <f t="shared" si="5"/>
        <v>3031983.8004444446</v>
      </c>
      <c r="O10" s="1014">
        <v>44694</v>
      </c>
      <c r="P10" s="1014"/>
      <c r="Q10" s="1015"/>
      <c r="R10" s="1016"/>
    </row>
    <row r="11" spans="1:49" x14ac:dyDescent="0.25">
      <c r="A11" s="1345">
        <v>44669</v>
      </c>
      <c r="B11" s="1346" t="s">
        <v>59</v>
      </c>
      <c r="C11" s="1009">
        <v>495840373</v>
      </c>
      <c r="D11" s="1010">
        <f t="shared" si="0"/>
        <v>44699</v>
      </c>
      <c r="E11" s="1046">
        <f t="shared" si="1"/>
        <v>5</v>
      </c>
      <c r="F11" s="1011">
        <v>495840373</v>
      </c>
      <c r="G11" s="1010">
        <v>44694</v>
      </c>
      <c r="H11" s="1393">
        <f t="shared" si="4"/>
        <v>25</v>
      </c>
      <c r="I11" s="1011">
        <f t="shared" si="2"/>
        <v>0</v>
      </c>
      <c r="J11" s="1011">
        <f t="shared" si="3"/>
        <v>2840752.1369791669</v>
      </c>
      <c r="K11" s="1394">
        <v>0.08</v>
      </c>
      <c r="L11" s="1011">
        <v>26</v>
      </c>
      <c r="M11" s="1395">
        <v>44694</v>
      </c>
      <c r="N11" s="1011">
        <f t="shared" si="5"/>
        <v>2864855.4884444447</v>
      </c>
      <c r="O11" s="1014">
        <v>44694</v>
      </c>
      <c r="P11" s="1014"/>
      <c r="Q11" s="1015"/>
      <c r="R11" s="1016"/>
    </row>
    <row r="12" spans="1:49" x14ac:dyDescent="0.25">
      <c r="A12" s="1345">
        <v>44671</v>
      </c>
      <c r="B12" s="1346" t="s">
        <v>59</v>
      </c>
      <c r="C12" s="1009">
        <v>1071636837</v>
      </c>
      <c r="D12" s="1010">
        <f t="shared" si="0"/>
        <v>44701</v>
      </c>
      <c r="E12" s="1046">
        <f t="shared" si="1"/>
        <v>3</v>
      </c>
      <c r="F12" s="1011">
        <v>1071636837</v>
      </c>
      <c r="G12" s="1010">
        <v>44698</v>
      </c>
      <c r="H12" s="1393">
        <f t="shared" si="4"/>
        <v>27</v>
      </c>
      <c r="I12" s="1011">
        <f t="shared" si="2"/>
        <v>0</v>
      </c>
      <c r="J12" s="1011">
        <f t="shared" si="3"/>
        <v>6630752.9289375003</v>
      </c>
      <c r="K12" s="1394">
        <v>0.08</v>
      </c>
      <c r="L12" s="1011">
        <v>28</v>
      </c>
      <c r="M12" s="1395">
        <v>44698</v>
      </c>
      <c r="N12" s="1011">
        <f t="shared" si="5"/>
        <v>6667962.5413333336</v>
      </c>
      <c r="O12" s="1014">
        <v>44698</v>
      </c>
      <c r="P12" s="1014"/>
      <c r="Q12" s="1015"/>
      <c r="R12" s="1016"/>
    </row>
    <row r="13" spans="1:49" x14ac:dyDescent="0.25">
      <c r="A13" s="1345">
        <v>44671</v>
      </c>
      <c r="B13" s="1346" t="s">
        <v>59</v>
      </c>
      <c r="C13" s="1009">
        <v>650255051</v>
      </c>
      <c r="D13" s="1010">
        <f t="shared" si="0"/>
        <v>44701</v>
      </c>
      <c r="E13" s="1046">
        <f t="shared" si="1"/>
        <v>3</v>
      </c>
      <c r="F13" s="1011">
        <v>650255051</v>
      </c>
      <c r="G13" s="1010">
        <v>44698</v>
      </c>
      <c r="H13" s="1393">
        <f t="shared" si="4"/>
        <v>27</v>
      </c>
      <c r="I13" s="1011">
        <f t="shared" si="2"/>
        <v>0</v>
      </c>
      <c r="J13" s="1011">
        <f t="shared" si="3"/>
        <v>4023453.1280625006</v>
      </c>
      <c r="K13" s="1394">
        <v>0.08</v>
      </c>
      <c r="L13" s="1011">
        <v>28</v>
      </c>
      <c r="M13" s="1395">
        <v>44698</v>
      </c>
      <c r="N13" s="1011">
        <f t="shared" si="5"/>
        <v>4046031.4284444447</v>
      </c>
      <c r="O13" s="1014">
        <v>44698</v>
      </c>
      <c r="P13" s="1014"/>
      <c r="Q13" s="1015"/>
      <c r="R13" s="1016"/>
    </row>
    <row r="14" spans="1:49" x14ac:dyDescent="0.25">
      <c r="A14" s="1359">
        <v>44673</v>
      </c>
      <c r="B14" s="1346" t="s">
        <v>59</v>
      </c>
      <c r="C14" s="1009">
        <v>731314767</v>
      </c>
      <c r="D14" s="1010">
        <f t="shared" si="0"/>
        <v>44703</v>
      </c>
      <c r="E14" s="1046">
        <f t="shared" si="1"/>
        <v>4</v>
      </c>
      <c r="F14" s="1011">
        <v>731314767</v>
      </c>
      <c r="G14" s="1010">
        <v>44699</v>
      </c>
      <c r="H14" s="1393">
        <f t="shared" si="4"/>
        <v>26</v>
      </c>
      <c r="I14" s="1011">
        <f t="shared" si="2"/>
        <v>0</v>
      </c>
      <c r="J14" s="1011">
        <f t="shared" si="3"/>
        <v>4357417.1533750007</v>
      </c>
      <c r="K14" s="1394">
        <v>0.08</v>
      </c>
      <c r="L14" s="1011">
        <v>27</v>
      </c>
      <c r="M14" s="1395">
        <v>44699</v>
      </c>
      <c r="N14" s="1011">
        <f t="shared" si="5"/>
        <v>4387888.6020000009</v>
      </c>
      <c r="O14" s="1395">
        <v>44699</v>
      </c>
      <c r="P14" s="1014"/>
      <c r="Q14" s="1015"/>
      <c r="R14" s="1016"/>
    </row>
    <row r="15" spans="1:49" x14ac:dyDescent="0.25">
      <c r="A15" s="1359">
        <v>44673</v>
      </c>
      <c r="B15" s="1346" t="s">
        <v>29</v>
      </c>
      <c r="C15" s="1009">
        <v>420211028</v>
      </c>
      <c r="D15" s="1010">
        <f t="shared" si="0"/>
        <v>44703</v>
      </c>
      <c r="E15" s="1046">
        <f t="shared" si="1"/>
        <v>4</v>
      </c>
      <c r="F15" s="1011">
        <v>420211028</v>
      </c>
      <c r="G15" s="1010">
        <v>44699</v>
      </c>
      <c r="H15" s="1393">
        <f t="shared" si="4"/>
        <v>26</v>
      </c>
      <c r="I15" s="1011">
        <f t="shared" si="2"/>
        <v>0</v>
      </c>
      <c r="J15" s="1011">
        <f t="shared" si="3"/>
        <v>2503757.3751666667</v>
      </c>
      <c r="K15" s="1394">
        <v>0.08</v>
      </c>
      <c r="L15" s="1011">
        <v>27</v>
      </c>
      <c r="M15" s="1395">
        <v>44699</v>
      </c>
      <c r="N15" s="1011">
        <f t="shared" si="5"/>
        <v>2521266.1680000001</v>
      </c>
      <c r="O15" s="1395">
        <v>44699</v>
      </c>
      <c r="P15" s="1014"/>
      <c r="Q15" s="1015"/>
      <c r="R15" s="1016"/>
    </row>
    <row r="16" spans="1:49" x14ac:dyDescent="0.25">
      <c r="A16" s="1359">
        <v>44673</v>
      </c>
      <c r="B16" s="1346" t="s">
        <v>52</v>
      </c>
      <c r="C16" s="1009">
        <v>349981197</v>
      </c>
      <c r="D16" s="1010">
        <f t="shared" si="0"/>
        <v>44703</v>
      </c>
      <c r="E16" s="1046">
        <f t="shared" si="1"/>
        <v>4</v>
      </c>
      <c r="F16" s="1011">
        <v>349981197</v>
      </c>
      <c r="G16" s="1010">
        <v>44699</v>
      </c>
      <c r="H16" s="1393">
        <f t="shared" si="4"/>
        <v>26</v>
      </c>
      <c r="I16" s="1011">
        <f t="shared" si="2"/>
        <v>0</v>
      </c>
      <c r="J16" s="1011">
        <f t="shared" si="3"/>
        <v>2085304.6321250002</v>
      </c>
      <c r="K16" s="1394">
        <v>0.08</v>
      </c>
      <c r="L16" s="1011">
        <v>27</v>
      </c>
      <c r="M16" s="1395">
        <v>44699</v>
      </c>
      <c r="N16" s="1011">
        <f t="shared" si="5"/>
        <v>2099887.182</v>
      </c>
      <c r="O16" s="1395">
        <v>44699</v>
      </c>
      <c r="P16" s="1014"/>
      <c r="Q16" s="1015"/>
      <c r="R16" s="1016"/>
    </row>
    <row r="17" spans="1:18" x14ac:dyDescent="0.25">
      <c r="A17" s="1359">
        <v>44673</v>
      </c>
      <c r="B17" s="1346" t="s">
        <v>59</v>
      </c>
      <c r="C17" s="1009">
        <v>274078066</v>
      </c>
      <c r="D17" s="1010">
        <f t="shared" si="0"/>
        <v>44703</v>
      </c>
      <c r="E17" s="1046">
        <f t="shared" si="1"/>
        <v>4</v>
      </c>
      <c r="F17" s="1011">
        <v>274078066</v>
      </c>
      <c r="G17" s="1010">
        <v>44699</v>
      </c>
      <c r="H17" s="1393">
        <f t="shared" si="4"/>
        <v>26</v>
      </c>
      <c r="I17" s="1011">
        <f t="shared" si="2"/>
        <v>0</v>
      </c>
      <c r="J17" s="1011">
        <f t="shared" si="3"/>
        <v>1633048.4765833335</v>
      </c>
      <c r="K17" s="1394">
        <v>0.08</v>
      </c>
      <c r="L17" s="1011">
        <v>27</v>
      </c>
      <c r="M17" s="1395">
        <v>44699</v>
      </c>
      <c r="N17" s="1011">
        <f t="shared" si="5"/>
        <v>1644468.3959999999</v>
      </c>
      <c r="O17" s="1395">
        <v>44699</v>
      </c>
      <c r="P17" s="1014"/>
      <c r="Q17" s="1015"/>
      <c r="R17" s="1016"/>
    </row>
    <row r="18" spans="1:18" x14ac:dyDescent="0.25">
      <c r="A18" s="1360">
        <v>44676</v>
      </c>
      <c r="B18" s="1346" t="s">
        <v>55</v>
      </c>
      <c r="C18" s="1009">
        <v>610744948</v>
      </c>
      <c r="D18" s="1010">
        <f t="shared" si="0"/>
        <v>44706</v>
      </c>
      <c r="E18" s="1046">
        <f t="shared" si="1"/>
        <v>5</v>
      </c>
      <c r="F18" s="1011">
        <v>610744948</v>
      </c>
      <c r="G18" s="1010">
        <v>44701</v>
      </c>
      <c r="H18" s="1393">
        <f t="shared" si="4"/>
        <v>25</v>
      </c>
      <c r="I18" s="1011">
        <f t="shared" si="2"/>
        <v>0</v>
      </c>
      <c r="J18" s="1011">
        <f t="shared" si="3"/>
        <v>3499059.5979166669</v>
      </c>
      <c r="K18" s="1394">
        <v>0.08</v>
      </c>
      <c r="L18" s="1011">
        <v>26</v>
      </c>
      <c r="M18" s="1010">
        <v>44701</v>
      </c>
      <c r="N18" s="1011">
        <f t="shared" si="5"/>
        <v>3528748.5884444448</v>
      </c>
      <c r="O18" s="1010">
        <v>44701</v>
      </c>
      <c r="P18" s="1014"/>
      <c r="Q18" s="1015"/>
      <c r="R18" s="1016"/>
    </row>
    <row r="19" spans="1:18" x14ac:dyDescent="0.25">
      <c r="A19" s="1360">
        <v>44676</v>
      </c>
      <c r="B19" s="1346" t="s">
        <v>6268</v>
      </c>
      <c r="C19" s="1009">
        <v>507683785</v>
      </c>
      <c r="D19" s="1010">
        <f t="shared" si="0"/>
        <v>44706</v>
      </c>
      <c r="E19" s="1046">
        <f t="shared" si="1"/>
        <v>5</v>
      </c>
      <c r="F19" s="1011">
        <v>507683785</v>
      </c>
      <c r="G19" s="1010">
        <v>44701</v>
      </c>
      <c r="H19" s="1393">
        <f t="shared" si="4"/>
        <v>25</v>
      </c>
      <c r="I19" s="1011">
        <f t="shared" si="2"/>
        <v>0</v>
      </c>
      <c r="J19" s="1011">
        <f t="shared" si="3"/>
        <v>2908605.0182291665</v>
      </c>
      <c r="K19" s="1394">
        <v>0.08</v>
      </c>
      <c r="L19" s="1011">
        <v>26</v>
      </c>
      <c r="M19" s="1010">
        <v>44701</v>
      </c>
      <c r="N19" s="1011">
        <f t="shared" si="5"/>
        <v>2933284.091111111</v>
      </c>
      <c r="O19" s="1010">
        <v>44701</v>
      </c>
      <c r="P19" s="1014"/>
      <c r="Q19" s="1015"/>
      <c r="R19" s="1016"/>
    </row>
    <row r="20" spans="1:18" x14ac:dyDescent="0.25">
      <c r="A20" s="1360">
        <v>44678</v>
      </c>
      <c r="B20" s="1346" t="s">
        <v>6268</v>
      </c>
      <c r="C20" s="1009">
        <v>314604474</v>
      </c>
      <c r="D20" s="1010">
        <f t="shared" si="0"/>
        <v>44708</v>
      </c>
      <c r="E20" s="1046">
        <f t="shared" si="1"/>
        <v>4</v>
      </c>
      <c r="F20" s="1011">
        <v>314604474</v>
      </c>
      <c r="G20" s="1010">
        <v>44704</v>
      </c>
      <c r="H20" s="1393">
        <f t="shared" si="4"/>
        <v>26</v>
      </c>
      <c r="I20" s="1011">
        <f t="shared" si="2"/>
        <v>0</v>
      </c>
      <c r="J20" s="1011">
        <f t="shared" si="3"/>
        <v>1874518.3242500001</v>
      </c>
      <c r="K20" s="1394">
        <v>0.08</v>
      </c>
      <c r="L20" s="1011">
        <v>27</v>
      </c>
      <c r="M20" s="1010">
        <v>44704</v>
      </c>
      <c r="N20" s="1011">
        <f t="shared" si="5"/>
        <v>1887626.844</v>
      </c>
      <c r="O20" s="1010">
        <v>44704</v>
      </c>
      <c r="P20" s="1014"/>
      <c r="Q20" s="1015"/>
      <c r="R20" s="1016"/>
    </row>
    <row r="21" spans="1:18" x14ac:dyDescent="0.25">
      <c r="A21" s="1360">
        <v>44692</v>
      </c>
      <c r="B21" s="1346" t="s">
        <v>59</v>
      </c>
      <c r="C21" s="1009">
        <v>1138163847</v>
      </c>
      <c r="D21" s="1010">
        <f t="shared" si="0"/>
        <v>44722</v>
      </c>
      <c r="E21" s="1046">
        <f t="shared" si="1"/>
        <v>10</v>
      </c>
      <c r="F21" s="1011">
        <v>1138163847</v>
      </c>
      <c r="G21" s="1010">
        <v>44712</v>
      </c>
      <c r="H21" s="1393">
        <f t="shared" si="4"/>
        <v>20</v>
      </c>
      <c r="I21" s="1011">
        <f t="shared" si="2"/>
        <v>0</v>
      </c>
      <c r="J21" s="1011">
        <f t="shared" si="3"/>
        <v>5216584.2987500001</v>
      </c>
      <c r="K21" s="1394">
        <v>0.08</v>
      </c>
      <c r="L21" s="1011">
        <v>21</v>
      </c>
      <c r="M21" s="1395">
        <v>44712</v>
      </c>
      <c r="N21" s="1011">
        <f t="shared" si="5"/>
        <v>5311431.2860000003</v>
      </c>
      <c r="O21" s="1395">
        <v>44712</v>
      </c>
      <c r="P21" s="1014"/>
      <c r="Q21" s="1015"/>
      <c r="R21" s="1016"/>
    </row>
    <row r="22" spans="1:18" x14ac:dyDescent="0.25">
      <c r="A22" s="1360">
        <v>44692</v>
      </c>
      <c r="B22" s="1346" t="s">
        <v>6268</v>
      </c>
      <c r="C22" s="1009">
        <v>709753298</v>
      </c>
      <c r="D22" s="1010">
        <f t="shared" si="0"/>
        <v>44722</v>
      </c>
      <c r="E22" s="1046">
        <f t="shared" si="1"/>
        <v>10</v>
      </c>
      <c r="F22" s="1011">
        <v>709753298</v>
      </c>
      <c r="G22" s="1010">
        <v>44712</v>
      </c>
      <c r="H22" s="1393">
        <f t="shared" si="4"/>
        <v>20</v>
      </c>
      <c r="I22" s="1011">
        <f t="shared" si="2"/>
        <v>0</v>
      </c>
      <c r="J22" s="1011">
        <f t="shared" si="3"/>
        <v>3253035.9491666667</v>
      </c>
      <c r="K22" s="1394">
        <v>0.08</v>
      </c>
      <c r="L22" s="1011">
        <v>21</v>
      </c>
      <c r="M22" s="1395">
        <v>44712</v>
      </c>
      <c r="N22" s="1011">
        <f t="shared" si="5"/>
        <v>3312182.0573333334</v>
      </c>
      <c r="O22" s="1395">
        <v>44712</v>
      </c>
      <c r="P22" s="1014"/>
      <c r="Q22" s="1015"/>
      <c r="R22" s="1016"/>
    </row>
    <row r="23" spans="1:18" x14ac:dyDescent="0.25">
      <c r="A23" s="1360">
        <v>44694</v>
      </c>
      <c r="B23" s="1346" t="s">
        <v>6272</v>
      </c>
      <c r="C23" s="1009">
        <v>678438000</v>
      </c>
      <c r="D23" s="1010">
        <f t="shared" si="0"/>
        <v>44724</v>
      </c>
      <c r="E23" s="1046">
        <f t="shared" si="1"/>
        <v>12</v>
      </c>
      <c r="F23" s="1011">
        <v>678438000</v>
      </c>
      <c r="G23" s="1010">
        <v>44712</v>
      </c>
      <c r="H23" s="1393">
        <f t="shared" si="4"/>
        <v>18</v>
      </c>
      <c r="I23" s="1011">
        <f t="shared" si="2"/>
        <v>0</v>
      </c>
      <c r="J23" s="1011">
        <f t="shared" si="3"/>
        <v>2798556.75</v>
      </c>
      <c r="K23" s="1394">
        <v>0.08</v>
      </c>
      <c r="L23" s="1011">
        <v>19</v>
      </c>
      <c r="M23" s="1395">
        <v>44712</v>
      </c>
      <c r="N23" s="1011">
        <f t="shared" si="5"/>
        <v>2864516</v>
      </c>
      <c r="O23" s="1395">
        <v>44712</v>
      </c>
      <c r="P23" s="1014"/>
      <c r="Q23" s="1015"/>
      <c r="R23" s="1016"/>
    </row>
    <row r="24" spans="1:18" x14ac:dyDescent="0.25">
      <c r="A24" s="1360">
        <v>44694</v>
      </c>
      <c r="B24" s="1346" t="s">
        <v>55</v>
      </c>
      <c r="C24" s="1009">
        <v>618019920</v>
      </c>
      <c r="D24" s="1010">
        <f t="shared" si="0"/>
        <v>44724</v>
      </c>
      <c r="E24" s="1046">
        <f t="shared" si="1"/>
        <v>12</v>
      </c>
      <c r="F24" s="1011">
        <v>618019920</v>
      </c>
      <c r="G24" s="1010">
        <v>44712</v>
      </c>
      <c r="H24" s="1393">
        <f t="shared" si="4"/>
        <v>18</v>
      </c>
      <c r="I24" s="1011">
        <f t="shared" si="2"/>
        <v>0</v>
      </c>
      <c r="J24" s="1011">
        <f t="shared" si="3"/>
        <v>2549332.17</v>
      </c>
      <c r="K24" s="1394">
        <v>0.08</v>
      </c>
      <c r="L24" s="1011">
        <v>19</v>
      </c>
      <c r="M24" s="1395">
        <v>44712</v>
      </c>
      <c r="N24" s="1011">
        <f t="shared" si="5"/>
        <v>2609417.44</v>
      </c>
      <c r="O24" s="1395">
        <v>44712</v>
      </c>
      <c r="P24" s="1014"/>
      <c r="Q24" s="1015"/>
      <c r="R24" s="1016"/>
    </row>
    <row r="25" spans="1:18" x14ac:dyDescent="0.25">
      <c r="A25" s="1357">
        <v>44698</v>
      </c>
      <c r="B25" s="986" t="s">
        <v>6268</v>
      </c>
      <c r="C25" s="1342">
        <v>891944798</v>
      </c>
      <c r="D25" s="1010">
        <f t="shared" si="0"/>
        <v>44728</v>
      </c>
      <c r="E25" s="1046">
        <f t="shared" si="1"/>
        <v>44728</v>
      </c>
      <c r="F25" s="1011"/>
      <c r="G25" s="1010"/>
      <c r="H25" s="1012"/>
      <c r="I25" s="1011">
        <f t="shared" si="2"/>
        <v>891944798</v>
      </c>
      <c r="J25" s="1011"/>
      <c r="K25" s="1011"/>
      <c r="L25" s="1011"/>
      <c r="M25" s="1011"/>
      <c r="N25" s="1011"/>
      <c r="O25" s="1014"/>
      <c r="P25" s="1014"/>
      <c r="Q25" s="1015"/>
      <c r="R25" s="1016"/>
    </row>
    <row r="26" spans="1:18" x14ac:dyDescent="0.25">
      <c r="A26" s="1357">
        <v>44698</v>
      </c>
      <c r="B26" s="986" t="s">
        <v>59</v>
      </c>
      <c r="C26" s="1342">
        <v>540278479</v>
      </c>
      <c r="D26" s="1010">
        <f t="shared" si="0"/>
        <v>44728</v>
      </c>
      <c r="E26" s="1046">
        <f t="shared" si="1"/>
        <v>44728</v>
      </c>
      <c r="F26" s="1011"/>
      <c r="G26" s="1010"/>
      <c r="H26" s="1012"/>
      <c r="I26" s="1011">
        <f t="shared" si="2"/>
        <v>540278479</v>
      </c>
      <c r="J26" s="1011"/>
      <c r="K26" s="1011"/>
      <c r="L26" s="1011"/>
      <c r="M26" s="1011"/>
      <c r="N26" s="1011"/>
      <c r="O26" s="1014"/>
      <c r="P26" s="1014"/>
      <c r="Q26" s="1015"/>
      <c r="R26" s="1016"/>
    </row>
    <row r="27" spans="1:18" x14ac:dyDescent="0.25">
      <c r="A27" s="1357">
        <v>44698</v>
      </c>
      <c r="B27" s="986" t="s">
        <v>59</v>
      </c>
      <c r="C27" s="1342">
        <v>450141172</v>
      </c>
      <c r="D27" s="1010">
        <f t="shared" si="0"/>
        <v>44728</v>
      </c>
      <c r="E27" s="1046">
        <f t="shared" si="1"/>
        <v>44728</v>
      </c>
      <c r="F27" s="1011"/>
      <c r="G27" s="1010"/>
      <c r="H27" s="1012"/>
      <c r="I27" s="1011">
        <f t="shared" si="2"/>
        <v>450141172</v>
      </c>
      <c r="J27" s="1011"/>
      <c r="K27" s="1011"/>
      <c r="L27" s="1011"/>
      <c r="M27" s="1011"/>
      <c r="N27" s="1011"/>
      <c r="O27" s="1014"/>
      <c r="P27" s="1014"/>
      <c r="Q27" s="1015"/>
      <c r="R27" s="1016"/>
    </row>
    <row r="28" spans="1:18" x14ac:dyDescent="0.25">
      <c r="A28" s="1357">
        <v>44700</v>
      </c>
      <c r="B28" s="986" t="s">
        <v>6272</v>
      </c>
      <c r="C28" s="1342">
        <v>1000024000</v>
      </c>
      <c r="D28" s="1010">
        <f t="shared" si="0"/>
        <v>44730</v>
      </c>
      <c r="E28" s="1046">
        <f t="shared" si="1"/>
        <v>44730</v>
      </c>
      <c r="F28" s="1011"/>
      <c r="G28" s="1010"/>
      <c r="H28" s="1012"/>
      <c r="I28" s="1011">
        <f t="shared" si="2"/>
        <v>1000024000</v>
      </c>
      <c r="J28" s="1011"/>
      <c r="K28" s="1011"/>
      <c r="L28" s="1011"/>
      <c r="M28" s="1011"/>
      <c r="N28" s="1011"/>
      <c r="O28" s="1014"/>
      <c r="P28" s="1014"/>
      <c r="Q28" s="1015"/>
      <c r="R28" s="1016"/>
    </row>
    <row r="29" spans="1:18" x14ac:dyDescent="0.25">
      <c r="A29" s="1357">
        <v>44700</v>
      </c>
      <c r="B29" s="986" t="s">
        <v>59</v>
      </c>
      <c r="C29" s="1342">
        <v>863015765</v>
      </c>
      <c r="D29" s="1010">
        <f t="shared" si="0"/>
        <v>44730</v>
      </c>
      <c r="E29" s="1046">
        <f t="shared" si="1"/>
        <v>44730</v>
      </c>
      <c r="F29" s="1011"/>
      <c r="G29" s="1010"/>
      <c r="H29" s="1012"/>
      <c r="I29" s="1011">
        <f t="shared" si="2"/>
        <v>863015765</v>
      </c>
      <c r="J29" s="1011"/>
      <c r="K29" s="1011"/>
      <c r="L29" s="1011"/>
      <c r="M29" s="1011"/>
      <c r="N29" s="1011"/>
      <c r="O29" s="1014"/>
      <c r="P29" s="1014"/>
      <c r="Q29" s="1015"/>
      <c r="R29" s="1016"/>
    </row>
    <row r="30" spans="1:18" x14ac:dyDescent="0.25">
      <c r="A30" s="1357">
        <v>44700</v>
      </c>
      <c r="B30" s="986" t="s">
        <v>59</v>
      </c>
      <c r="C30" s="1342">
        <v>834628364</v>
      </c>
      <c r="D30" s="1010">
        <f t="shared" si="0"/>
        <v>44730</v>
      </c>
      <c r="E30" s="1046">
        <f t="shared" si="1"/>
        <v>44730</v>
      </c>
      <c r="F30" s="1011"/>
      <c r="G30" s="1010"/>
      <c r="H30" s="1012"/>
      <c r="I30" s="1011">
        <f t="shared" si="2"/>
        <v>834628364</v>
      </c>
      <c r="J30" s="1011"/>
      <c r="K30" s="1011"/>
      <c r="L30" s="1011"/>
      <c r="M30" s="1011"/>
      <c r="N30" s="1011"/>
      <c r="O30" s="1014"/>
      <c r="P30" s="1014"/>
      <c r="Q30" s="1015"/>
      <c r="R30" s="1016"/>
    </row>
    <row r="31" spans="1:18" x14ac:dyDescent="0.25">
      <c r="A31" s="1357">
        <v>44700</v>
      </c>
      <c r="B31" s="986" t="s">
        <v>29</v>
      </c>
      <c r="C31" s="1342">
        <v>309234955</v>
      </c>
      <c r="D31" s="1010">
        <f t="shared" si="0"/>
        <v>44730</v>
      </c>
      <c r="E31" s="1046">
        <f t="shared" si="1"/>
        <v>44730</v>
      </c>
      <c r="F31" s="1011"/>
      <c r="G31" s="1010"/>
      <c r="H31" s="1012"/>
      <c r="I31" s="1011">
        <f t="shared" si="2"/>
        <v>309234955</v>
      </c>
      <c r="J31" s="1011"/>
      <c r="K31" s="1011"/>
      <c r="L31" s="1011"/>
      <c r="M31" s="1011"/>
      <c r="N31" s="1011"/>
      <c r="O31" s="1014"/>
      <c r="P31" s="1014"/>
      <c r="Q31" s="1015"/>
      <c r="R31" s="1016"/>
    </row>
    <row r="32" spans="1:18" x14ac:dyDescent="0.25">
      <c r="A32" s="1357">
        <v>44700</v>
      </c>
      <c r="B32" s="986" t="s">
        <v>55</v>
      </c>
      <c r="C32" s="1342">
        <v>281806445</v>
      </c>
      <c r="D32" s="1010">
        <f t="shared" si="0"/>
        <v>44730</v>
      </c>
      <c r="E32" s="1046">
        <f t="shared" si="1"/>
        <v>44730</v>
      </c>
      <c r="F32" s="1011"/>
      <c r="G32" s="1010"/>
      <c r="H32" s="1012"/>
      <c r="I32" s="1011">
        <f t="shared" si="2"/>
        <v>281806445</v>
      </c>
      <c r="J32" s="1011"/>
      <c r="K32" s="1011"/>
      <c r="L32" s="1011"/>
      <c r="M32" s="1011"/>
      <c r="N32" s="1011"/>
      <c r="O32" s="1014"/>
      <c r="P32" s="1014"/>
      <c r="Q32" s="1015"/>
      <c r="R32" s="1016"/>
    </row>
    <row r="33" spans="1:18" x14ac:dyDescent="0.25">
      <c r="A33" s="1357">
        <v>44700</v>
      </c>
      <c r="B33" s="986" t="s">
        <v>59</v>
      </c>
      <c r="C33" s="1342">
        <v>250309381</v>
      </c>
      <c r="D33" s="1010">
        <f t="shared" si="0"/>
        <v>44730</v>
      </c>
      <c r="E33" s="1046">
        <f t="shared" si="1"/>
        <v>44730</v>
      </c>
      <c r="F33" s="1011"/>
      <c r="G33" s="1010"/>
      <c r="H33" s="1012"/>
      <c r="I33" s="1011">
        <f t="shared" si="2"/>
        <v>250309381</v>
      </c>
      <c r="J33" s="1011"/>
      <c r="K33" s="1011"/>
      <c r="L33" s="1011"/>
      <c r="M33" s="1011"/>
      <c r="N33" s="1011"/>
      <c r="O33" s="1014"/>
      <c r="P33" s="1014"/>
      <c r="Q33" s="1015"/>
      <c r="R33" s="1016"/>
    </row>
    <row r="34" spans="1:18" x14ac:dyDescent="0.25">
      <c r="A34" s="1357">
        <v>44706</v>
      </c>
      <c r="B34" s="986" t="s">
        <v>52</v>
      </c>
      <c r="C34" s="1342">
        <v>1147504739</v>
      </c>
      <c r="D34" s="1010">
        <f t="shared" si="0"/>
        <v>44736</v>
      </c>
      <c r="E34" s="1046">
        <f t="shared" si="1"/>
        <v>44736</v>
      </c>
      <c r="F34" s="1011"/>
      <c r="G34" s="1010"/>
      <c r="H34" s="1012"/>
      <c r="I34" s="1011">
        <f t="shared" si="2"/>
        <v>1147504739</v>
      </c>
      <c r="J34" s="1011"/>
      <c r="K34" s="1011"/>
      <c r="L34" s="1011"/>
      <c r="M34" s="1011"/>
      <c r="N34" s="1011"/>
      <c r="O34" s="1014"/>
      <c r="P34" s="1014"/>
      <c r="Q34" s="1015"/>
      <c r="R34" s="1016"/>
    </row>
    <row r="35" spans="1:18" x14ac:dyDescent="0.25">
      <c r="A35" s="1357">
        <v>44706</v>
      </c>
      <c r="B35" s="986" t="s">
        <v>59</v>
      </c>
      <c r="C35" s="1342">
        <v>735031564</v>
      </c>
      <c r="D35" s="1010">
        <f t="shared" si="0"/>
        <v>44736</v>
      </c>
      <c r="E35" s="1046">
        <f t="shared" si="1"/>
        <v>44736</v>
      </c>
      <c r="F35" s="1011"/>
      <c r="G35" s="1010"/>
      <c r="H35" s="1012"/>
      <c r="I35" s="1011">
        <f t="shared" si="2"/>
        <v>735031564</v>
      </c>
      <c r="J35" s="1011"/>
      <c r="K35" s="1011"/>
      <c r="L35" s="1011"/>
      <c r="M35" s="1011"/>
      <c r="N35" s="1011"/>
      <c r="O35" s="1014"/>
      <c r="P35" s="1014"/>
      <c r="Q35" s="1015"/>
      <c r="R35" s="1016"/>
    </row>
    <row r="36" spans="1:18" x14ac:dyDescent="0.25">
      <c r="A36" s="1357">
        <v>44706</v>
      </c>
      <c r="B36" s="986" t="s">
        <v>59</v>
      </c>
      <c r="C36" s="1342">
        <v>360040265</v>
      </c>
      <c r="D36" s="1010">
        <f t="shared" si="0"/>
        <v>44736</v>
      </c>
      <c r="E36" s="1046">
        <f t="shared" si="1"/>
        <v>44736</v>
      </c>
      <c r="F36" s="1011"/>
      <c r="G36" s="1010"/>
      <c r="H36" s="1012"/>
      <c r="I36" s="1011">
        <f t="shared" si="2"/>
        <v>360040265</v>
      </c>
      <c r="J36" s="1011"/>
      <c r="K36" s="1011"/>
      <c r="L36" s="1011"/>
      <c r="M36" s="1011"/>
      <c r="N36" s="1011"/>
      <c r="O36" s="1014"/>
      <c r="P36" s="1014"/>
      <c r="Q36" s="1015"/>
      <c r="R36" s="1016"/>
    </row>
    <row r="37" spans="1:18" x14ac:dyDescent="0.25">
      <c r="A37" s="1357">
        <v>44708</v>
      </c>
      <c r="B37" s="986" t="s">
        <v>6268</v>
      </c>
      <c r="C37" s="1342">
        <v>627818880</v>
      </c>
      <c r="D37" s="1010">
        <f t="shared" si="0"/>
        <v>44738</v>
      </c>
      <c r="E37" s="1046">
        <f t="shared" si="1"/>
        <v>44738</v>
      </c>
      <c r="F37" s="1011"/>
      <c r="G37" s="1010"/>
      <c r="H37" s="1012"/>
      <c r="I37" s="1011">
        <f t="shared" si="2"/>
        <v>627818880</v>
      </c>
      <c r="J37" s="1011"/>
      <c r="K37" s="1011"/>
      <c r="L37" s="1011"/>
      <c r="M37" s="1011"/>
      <c r="N37" s="1011"/>
      <c r="O37" s="1014"/>
      <c r="P37" s="1014"/>
      <c r="Q37" s="1015"/>
      <c r="R37" s="1016"/>
    </row>
    <row r="38" spans="1:18" x14ac:dyDescent="0.25">
      <c r="A38" s="1357">
        <v>44708</v>
      </c>
      <c r="B38" s="986" t="s">
        <v>59</v>
      </c>
      <c r="C38" s="1342">
        <v>564531928</v>
      </c>
      <c r="D38" s="1010">
        <f t="shared" si="0"/>
        <v>44738</v>
      </c>
      <c r="E38" s="1046">
        <f t="shared" si="1"/>
        <v>44738</v>
      </c>
      <c r="F38" s="1011"/>
      <c r="G38" s="1010"/>
      <c r="H38" s="1012"/>
      <c r="I38" s="1011">
        <f t="shared" si="2"/>
        <v>564531928</v>
      </c>
      <c r="J38" s="1011"/>
      <c r="K38" s="1011"/>
      <c r="L38" s="1011"/>
      <c r="M38" s="1011"/>
      <c r="N38" s="1011"/>
      <c r="O38" s="1014"/>
      <c r="P38" s="1014"/>
      <c r="Q38" s="1015"/>
      <c r="R38" s="1016"/>
    </row>
    <row r="39" spans="1:18" x14ac:dyDescent="0.25">
      <c r="A39" s="1357">
        <v>44711</v>
      </c>
      <c r="B39" s="986" t="s">
        <v>52</v>
      </c>
      <c r="C39" s="1342">
        <v>683513311</v>
      </c>
      <c r="D39" s="1010">
        <f t="shared" si="0"/>
        <v>44741</v>
      </c>
      <c r="E39" s="1046">
        <f t="shared" si="1"/>
        <v>44741</v>
      </c>
      <c r="F39" s="1011"/>
      <c r="G39" s="1010"/>
      <c r="H39" s="1012"/>
      <c r="I39" s="1011">
        <f t="shared" si="2"/>
        <v>683513311</v>
      </c>
      <c r="J39" s="1011"/>
      <c r="K39" s="1011"/>
      <c r="L39" s="1011"/>
      <c r="M39" s="1011"/>
      <c r="N39" s="1011"/>
      <c r="O39" s="1014"/>
      <c r="P39" s="1014"/>
      <c r="Q39" s="1015"/>
      <c r="R39" s="1016"/>
    </row>
    <row r="40" spans="1:18" x14ac:dyDescent="0.25">
      <c r="A40" s="1357">
        <v>44711</v>
      </c>
      <c r="B40" s="986" t="s">
        <v>59</v>
      </c>
      <c r="C40" s="1342">
        <v>288413088</v>
      </c>
      <c r="D40" s="1010">
        <f t="shared" si="0"/>
        <v>44741</v>
      </c>
      <c r="E40" s="1046">
        <f t="shared" si="1"/>
        <v>44741</v>
      </c>
      <c r="F40" s="1011"/>
      <c r="G40" s="1010"/>
      <c r="H40" s="1012"/>
      <c r="I40" s="1011">
        <f t="shared" si="2"/>
        <v>288413088</v>
      </c>
      <c r="J40" s="1011"/>
      <c r="K40" s="1011"/>
      <c r="L40" s="1011"/>
      <c r="M40" s="1011"/>
      <c r="N40" s="1011"/>
      <c r="O40" s="1014"/>
      <c r="P40" s="1014"/>
      <c r="Q40" s="1015"/>
      <c r="R40" s="1016"/>
    </row>
    <row r="41" spans="1:18" x14ac:dyDescent="0.25">
      <c r="A41" s="1357"/>
      <c r="B41" s="986"/>
      <c r="C41" s="1342"/>
      <c r="D41" s="1010"/>
      <c r="E41" s="1358"/>
      <c r="F41" s="1011"/>
      <c r="G41" s="1010"/>
      <c r="H41" s="1012"/>
      <c r="I41" s="1011"/>
      <c r="J41" s="1011"/>
      <c r="K41" s="1011"/>
      <c r="L41" s="1011"/>
      <c r="M41" s="1011"/>
      <c r="N41" s="1011"/>
      <c r="O41" s="1014"/>
      <c r="P41" s="1014"/>
      <c r="Q41" s="1015"/>
      <c r="R41" s="1016"/>
    </row>
    <row r="42" spans="1:18" s="1019" customFormat="1" ht="16.5" thickBot="1" x14ac:dyDescent="0.3">
      <c r="A42" s="1499" t="s">
        <v>24</v>
      </c>
      <c r="B42" s="1500"/>
      <c r="C42" s="1017">
        <f>SUM(C8:C40)</f>
        <v>21660283624</v>
      </c>
      <c r="D42" s="1017"/>
      <c r="E42" s="1017"/>
      <c r="F42" s="1017">
        <f>SUM(F8:F27)</f>
        <v>11832046490</v>
      </c>
      <c r="G42" s="1018"/>
      <c r="H42" s="1323"/>
      <c r="I42" s="1017">
        <f>SUM(I8:I40)</f>
        <v>9828237134</v>
      </c>
      <c r="J42" s="1017" t="e">
        <f>SUM(#REF!)</f>
        <v>#REF!</v>
      </c>
      <c r="K42" s="1017"/>
      <c r="L42" s="1017"/>
      <c r="M42" s="1017"/>
      <c r="N42" s="1017" t="e">
        <f>SUM(#REF!)</f>
        <v>#REF!</v>
      </c>
      <c r="O42" s="1017"/>
      <c r="P42" s="1017"/>
      <c r="Q42" s="1017" t="e">
        <f>SUM(#REF!)</f>
        <v>#REF!</v>
      </c>
      <c r="R42" s="1017" t="e">
        <f>SUM(#REF!)</f>
        <v>#REF!</v>
      </c>
    </row>
    <row r="43" spans="1:18" x14ac:dyDescent="0.25">
      <c r="N43" s="996"/>
      <c r="O43" s="996"/>
      <c r="P43" s="996"/>
      <c r="Q43" s="1023"/>
    </row>
    <row r="44" spans="1:18" x14ac:dyDescent="0.25">
      <c r="A44" s="1497" t="s">
        <v>6279</v>
      </c>
      <c r="B44" s="1498"/>
      <c r="C44" s="1497"/>
      <c r="D44" s="1497"/>
      <c r="E44" s="1025"/>
      <c r="F44" s="1026">
        <f>SUM(C8:C20)</f>
        <v>8687671425</v>
      </c>
    </row>
    <row r="45" spans="1:18" x14ac:dyDescent="0.25">
      <c r="A45" s="1497" t="s">
        <v>6280</v>
      </c>
      <c r="B45" s="1497"/>
      <c r="C45" s="1497"/>
      <c r="D45" s="1497"/>
      <c r="E45" s="1028"/>
      <c r="F45" s="1029">
        <f>SUM(C21:C41)</f>
        <v>12972612199</v>
      </c>
    </row>
    <row r="46" spans="1:18" x14ac:dyDescent="0.25">
      <c r="A46" s="1497" t="s">
        <v>6281</v>
      </c>
      <c r="B46" s="1498"/>
      <c r="C46" s="1497"/>
      <c r="D46" s="1497"/>
      <c r="E46" s="1028"/>
      <c r="F46" s="1029">
        <f>F42</f>
        <v>11832046490</v>
      </c>
    </row>
    <row r="47" spans="1:18" x14ac:dyDescent="0.25">
      <c r="A47" s="1497" t="s">
        <v>6282</v>
      </c>
      <c r="B47" s="1498"/>
      <c r="C47" s="1497"/>
      <c r="D47" s="1497"/>
      <c r="E47" s="1028"/>
      <c r="F47" s="1030">
        <f>F44+F45-F46</f>
        <v>9828237134</v>
      </c>
      <c r="I47" s="1144"/>
    </row>
    <row r="50" spans="20:20" x14ac:dyDescent="0.25">
      <c r="T50" s="1031"/>
    </row>
    <row r="51" spans="20:20" x14ac:dyDescent="0.25">
      <c r="T51" s="1031"/>
    </row>
    <row r="52" spans="20:20" x14ac:dyDescent="0.25">
      <c r="T52" s="1031"/>
    </row>
    <row r="53" spans="20:20" x14ac:dyDescent="0.25">
      <c r="T53" s="1031"/>
    </row>
    <row r="54" spans="20:20" x14ac:dyDescent="0.25">
      <c r="T54" s="1031"/>
    </row>
    <row r="55" spans="20:20" x14ac:dyDescent="0.25">
      <c r="T55" s="1031"/>
    </row>
    <row r="56" spans="20:20" x14ac:dyDescent="0.25">
      <c r="T56" s="1031"/>
    </row>
    <row r="57" spans="20:20" x14ac:dyDescent="0.25">
      <c r="T57" s="1031"/>
    </row>
    <row r="58" spans="20:20" x14ac:dyDescent="0.25">
      <c r="T58" s="1031"/>
    </row>
    <row r="59" spans="20:20" x14ac:dyDescent="0.25">
      <c r="T59" s="1031"/>
    </row>
    <row r="60" spans="20:20" x14ac:dyDescent="0.25">
      <c r="T60" s="1031"/>
    </row>
  </sheetData>
  <mergeCells count="10">
    <mergeCell ref="D5:D6"/>
    <mergeCell ref="I5:I6"/>
    <mergeCell ref="J5:J6"/>
    <mergeCell ref="A47:D47"/>
    <mergeCell ref="A42:B42"/>
    <mergeCell ref="A5:C5"/>
    <mergeCell ref="E5:H5"/>
    <mergeCell ref="A44:D44"/>
    <mergeCell ref="A45:D45"/>
    <mergeCell ref="A46:D46"/>
  </mergeCells>
  <pageMargins left="0.16" right="0.16" top="0.75" bottom="0.75" header="0.3" footer="0.3"/>
  <pageSetup paperSize="9" scale="68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512" t="s">
        <v>102</v>
      </c>
      <c r="B2" s="1513"/>
      <c r="C2" s="1514"/>
      <c r="D2" s="1515" t="s">
        <v>103</v>
      </c>
      <c r="E2" s="1517"/>
      <c r="F2" s="1518"/>
      <c r="G2" s="1518"/>
      <c r="H2" s="1518"/>
      <c r="I2" s="1519"/>
      <c r="J2" s="1518"/>
      <c r="K2" s="1520"/>
      <c r="L2" s="1521" t="s">
        <v>104</v>
      </c>
      <c r="M2" s="1523" t="s">
        <v>105</v>
      </c>
      <c r="N2" s="1525" t="s">
        <v>106</v>
      </c>
      <c r="O2" s="1526"/>
      <c r="P2" s="1526"/>
      <c r="Q2" s="1526"/>
      <c r="R2" s="1504" t="s">
        <v>24</v>
      </c>
      <c r="S2" s="1507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516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522"/>
      <c r="M3" s="1524"/>
      <c r="N3" s="1510" t="s">
        <v>117</v>
      </c>
      <c r="O3" s="1511"/>
      <c r="P3" s="1511"/>
      <c r="Q3" s="1511"/>
      <c r="R3" s="1505"/>
      <c r="S3" s="1508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506"/>
      <c r="S4" s="1509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 x14ac:dyDescent="0.25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 x14ac:dyDescent="0.25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 x14ac:dyDescent="0.25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 x14ac:dyDescent="0.25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 x14ac:dyDescent="0.25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 x14ac:dyDescent="0.2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 x14ac:dyDescent="0.2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 x14ac:dyDescent="0.2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2" customWidth="1"/>
    <col min="2" max="2" width="12.140625" style="755" bestFit="1" customWidth="1"/>
    <col min="3" max="3" width="20.85546875" style="754" bestFit="1" customWidth="1"/>
    <col min="4" max="4" width="17" style="470" bestFit="1" customWidth="1"/>
    <col min="5" max="5" width="15.85546875" style="526" bestFit="1" customWidth="1"/>
    <col min="6" max="6" width="20.140625" style="470" bestFit="1" customWidth="1"/>
    <col min="7" max="7" width="15.85546875" style="470" bestFit="1" customWidth="1"/>
    <col min="8" max="8" width="17" style="470" bestFit="1" customWidth="1"/>
    <col min="9" max="9" width="11.5703125" style="502" bestFit="1" customWidth="1"/>
    <col min="10" max="10" width="15.140625" style="470" bestFit="1" customWidth="1"/>
    <col min="11" max="11" width="13.7109375" style="527"/>
    <col min="12" max="12" width="17" style="470" bestFit="1" customWidth="1"/>
    <col min="13" max="16" width="13.7109375" style="470"/>
    <col min="17" max="17" width="13.7109375" style="470" customWidth="1"/>
    <col min="18" max="19" width="13.7109375" style="470"/>
    <col min="20" max="20" width="20.140625" style="470" bestFit="1" customWidth="1"/>
    <col min="21" max="21" width="10" style="502" bestFit="1" customWidth="1"/>
    <col min="22" max="22" width="11.28515625" style="502" bestFit="1" customWidth="1"/>
    <col min="23" max="23" width="5.140625" style="470" bestFit="1" customWidth="1"/>
    <col min="24" max="25" width="13.7109375" style="470"/>
    <col min="26" max="26" width="19.5703125" style="470" bestFit="1" customWidth="1"/>
    <col min="27" max="255" width="13.7109375" style="470"/>
    <col min="256" max="16384" width="13.7109375" style="471"/>
  </cols>
  <sheetData>
    <row r="2" spans="1:255" x14ac:dyDescent="0.25">
      <c r="B2" s="473"/>
      <c r="C2" s="474"/>
      <c r="D2" s="475"/>
      <c r="E2" s="476"/>
      <c r="F2" s="475"/>
      <c r="G2" s="475"/>
      <c r="H2" s="475"/>
      <c r="I2" s="477"/>
      <c r="J2" s="475"/>
      <c r="K2" s="478"/>
      <c r="L2" s="475"/>
      <c r="M2" s="475"/>
      <c r="N2" s="475"/>
      <c r="O2" s="475"/>
      <c r="P2" s="475"/>
      <c r="Q2" s="475"/>
      <c r="R2" s="475"/>
      <c r="S2" s="475"/>
      <c r="T2" s="475"/>
      <c r="U2" s="477"/>
      <c r="V2" s="477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</row>
    <row r="3" spans="1:255" x14ac:dyDescent="0.25">
      <c r="B3" s="473"/>
      <c r="C3" s="474"/>
      <c r="D3" s="475"/>
      <c r="E3" s="476"/>
      <c r="F3" s="475"/>
      <c r="G3" s="475"/>
      <c r="H3" s="475"/>
      <c r="I3" s="477"/>
      <c r="J3" s="475"/>
      <c r="K3" s="478"/>
      <c r="L3" s="475"/>
      <c r="M3" s="475"/>
      <c r="N3" s="475"/>
      <c r="O3" s="475"/>
      <c r="P3" s="475"/>
      <c r="Q3" s="475"/>
      <c r="R3" s="475"/>
      <c r="S3" s="475"/>
      <c r="T3" s="475"/>
      <c r="U3" s="477"/>
      <c r="V3" s="477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75"/>
      <c r="BB3" s="475"/>
      <c r="BC3" s="475"/>
      <c r="BD3" s="475"/>
      <c r="BE3" s="475"/>
      <c r="BF3" s="475"/>
      <c r="BG3" s="475"/>
      <c r="BH3" s="475"/>
      <c r="BI3" s="475"/>
      <c r="BJ3" s="475"/>
      <c r="BK3" s="475"/>
      <c r="BL3" s="475"/>
      <c r="BM3" s="475"/>
      <c r="BN3" s="475"/>
    </row>
    <row r="4" spans="1:255" ht="16.5" thickBot="1" x14ac:dyDescent="0.3">
      <c r="A4" s="472" t="s">
        <v>22</v>
      </c>
      <c r="B4" s="479"/>
      <c r="C4" s="480"/>
      <c r="D4" s="475"/>
      <c r="E4" s="476">
        <v>59</v>
      </c>
      <c r="F4" s="475">
        <v>50</v>
      </c>
      <c r="G4" s="475">
        <v>45</v>
      </c>
      <c r="H4" s="475">
        <v>5</v>
      </c>
      <c r="I4" s="604">
        <v>25</v>
      </c>
      <c r="J4" s="475">
        <v>15</v>
      </c>
      <c r="K4" s="478"/>
      <c r="L4" s="481">
        <v>0.1</v>
      </c>
      <c r="M4" s="481"/>
      <c r="N4" s="481"/>
      <c r="O4" s="481"/>
      <c r="P4" s="475"/>
      <c r="Q4" s="475"/>
      <c r="R4" s="475"/>
      <c r="S4" s="475"/>
      <c r="T4" s="475"/>
      <c r="U4" s="477"/>
      <c r="V4" s="477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475"/>
      <c r="BG4" s="475"/>
      <c r="BH4" s="475"/>
      <c r="BI4" s="475"/>
      <c r="BJ4" s="475"/>
      <c r="BK4" s="475"/>
      <c r="BL4" s="475"/>
      <c r="BM4" s="475"/>
      <c r="BN4" s="475"/>
    </row>
    <row r="5" spans="1:255" s="470" customFormat="1" ht="15" customHeight="1" thickBot="1" x14ac:dyDescent="0.3">
      <c r="A5" s="1540" t="s">
        <v>102</v>
      </c>
      <c r="B5" s="1541"/>
      <c r="C5" s="1542"/>
      <c r="D5" s="1543" t="s">
        <v>103</v>
      </c>
      <c r="E5" s="1545"/>
      <c r="F5" s="1546"/>
      <c r="G5" s="1546"/>
      <c r="H5" s="1546"/>
      <c r="I5" s="1547"/>
      <c r="J5" s="1546"/>
      <c r="K5" s="1548"/>
      <c r="L5" s="1549" t="s">
        <v>104</v>
      </c>
      <c r="M5" s="1551" t="s">
        <v>105</v>
      </c>
      <c r="N5" s="1553" t="s">
        <v>106</v>
      </c>
      <c r="O5" s="1554"/>
      <c r="P5" s="1554"/>
      <c r="Q5" s="1554"/>
      <c r="R5" s="1529" t="s">
        <v>24</v>
      </c>
      <c r="S5" s="1532" t="s">
        <v>107</v>
      </c>
      <c r="T5" s="470" t="s">
        <v>108</v>
      </c>
    </row>
    <row r="6" spans="1:255" s="470" customFormat="1" ht="16.5" thickBot="1" x14ac:dyDescent="0.3">
      <c r="A6" s="482" t="s">
        <v>109</v>
      </c>
      <c r="B6" s="483" t="s">
        <v>110</v>
      </c>
      <c r="C6" s="484" t="s">
        <v>111</v>
      </c>
      <c r="D6" s="1544"/>
      <c r="E6" s="485" t="s">
        <v>112</v>
      </c>
      <c r="F6" s="486" t="s">
        <v>113</v>
      </c>
      <c r="G6" s="487" t="s">
        <v>114</v>
      </c>
      <c r="H6" s="756" t="s">
        <v>115</v>
      </c>
      <c r="I6" s="488" t="s">
        <v>109</v>
      </c>
      <c r="J6" s="488" t="s">
        <v>116</v>
      </c>
      <c r="K6" s="757" t="s">
        <v>109</v>
      </c>
      <c r="L6" s="1550"/>
      <c r="M6" s="1552"/>
      <c r="N6" s="1535" t="s">
        <v>117</v>
      </c>
      <c r="O6" s="1536"/>
      <c r="P6" s="1536"/>
      <c r="Q6" s="1536"/>
      <c r="R6" s="1530"/>
      <c r="S6" s="1533"/>
    </row>
    <row r="7" spans="1:255" s="497" customFormat="1" ht="16.5" thickBot="1" x14ac:dyDescent="0.3">
      <c r="A7" s="489"/>
      <c r="B7" s="490"/>
      <c r="C7" s="491"/>
      <c r="D7" s="491"/>
      <c r="E7" s="492"/>
      <c r="F7" s="491"/>
      <c r="G7" s="491"/>
      <c r="H7" s="491"/>
      <c r="I7" s="493"/>
      <c r="J7" s="491"/>
      <c r="K7" s="494"/>
      <c r="L7" s="491"/>
      <c r="M7" s="491"/>
      <c r="N7" s="495" t="s">
        <v>118</v>
      </c>
      <c r="O7" s="496" t="s">
        <v>114</v>
      </c>
      <c r="P7" s="496" t="s">
        <v>119</v>
      </c>
      <c r="Q7" s="496" t="s">
        <v>114</v>
      </c>
      <c r="R7" s="1531"/>
      <c r="S7" s="1534"/>
    </row>
    <row r="8" spans="1:255" s="813" customFormat="1" ht="15" customHeight="1" x14ac:dyDescent="0.25">
      <c r="A8" s="797">
        <v>43922</v>
      </c>
      <c r="B8" s="798" t="s">
        <v>4003</v>
      </c>
      <c r="C8" s="799">
        <v>1245547676</v>
      </c>
      <c r="D8" s="800">
        <f>A8+$H$4</f>
        <v>43927</v>
      </c>
      <c r="E8" s="801">
        <f t="shared" ref="E8:E40" si="0">D8-G8</f>
        <v>0</v>
      </c>
      <c r="F8" s="802">
        <v>1245547676</v>
      </c>
      <c r="G8" s="800">
        <v>43927</v>
      </c>
      <c r="H8" s="802"/>
      <c r="I8" s="803"/>
      <c r="J8" s="802"/>
      <c r="K8" s="804"/>
      <c r="L8" s="805">
        <f t="shared" ref="L8:L16" si="1">C8-F8-H8-J8</f>
        <v>0</v>
      </c>
      <c r="M8" s="806">
        <f>(E$4/360)*C8*10%</f>
        <v>20413142.467777777</v>
      </c>
      <c r="N8" s="806"/>
      <c r="O8" s="807"/>
      <c r="P8" s="806">
        <v>2378304</v>
      </c>
      <c r="Q8" s="807">
        <v>43927</v>
      </c>
      <c r="R8" s="806"/>
      <c r="S8" s="806"/>
      <c r="T8" s="808"/>
      <c r="U8" s="809"/>
      <c r="V8" s="809"/>
      <c r="W8" s="810"/>
      <c r="X8" s="811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2"/>
      <c r="BS8" s="812"/>
      <c r="BT8" s="812"/>
      <c r="BU8" s="812"/>
      <c r="BV8" s="812"/>
      <c r="BW8" s="812"/>
      <c r="BX8" s="812"/>
      <c r="BY8" s="812"/>
      <c r="BZ8" s="812"/>
      <c r="CA8" s="812"/>
      <c r="CB8" s="812"/>
      <c r="CC8" s="812"/>
      <c r="CD8" s="812"/>
      <c r="CE8" s="812"/>
      <c r="CF8" s="812"/>
      <c r="CG8" s="812"/>
      <c r="CH8" s="812"/>
      <c r="CI8" s="812"/>
      <c r="CJ8" s="812"/>
      <c r="CK8" s="812"/>
      <c r="CL8" s="812"/>
      <c r="CM8" s="812"/>
      <c r="CN8" s="812"/>
      <c r="CO8" s="812"/>
      <c r="CP8" s="812"/>
      <c r="CQ8" s="812"/>
      <c r="CR8" s="812"/>
      <c r="CS8" s="812"/>
      <c r="CT8" s="812"/>
      <c r="CU8" s="812"/>
      <c r="CV8" s="812"/>
      <c r="CW8" s="812"/>
      <c r="CX8" s="812"/>
      <c r="CY8" s="812"/>
      <c r="CZ8" s="812"/>
      <c r="DA8" s="812"/>
      <c r="DB8" s="812"/>
      <c r="DC8" s="812"/>
      <c r="DD8" s="812"/>
      <c r="DE8" s="812"/>
      <c r="DF8" s="812"/>
      <c r="DG8" s="812"/>
      <c r="DH8" s="812"/>
      <c r="DI8" s="812"/>
      <c r="DJ8" s="812"/>
      <c r="DK8" s="812"/>
      <c r="DL8" s="812"/>
      <c r="DM8" s="812"/>
      <c r="DN8" s="812"/>
      <c r="DO8" s="812"/>
      <c r="DP8" s="812"/>
      <c r="DQ8" s="812"/>
      <c r="DR8" s="812"/>
      <c r="DS8" s="812"/>
      <c r="DT8" s="812"/>
      <c r="DU8" s="812"/>
      <c r="DV8" s="812"/>
      <c r="DW8" s="812"/>
      <c r="DX8" s="812"/>
      <c r="DY8" s="812"/>
      <c r="DZ8" s="812"/>
      <c r="EA8" s="812"/>
      <c r="EB8" s="812"/>
      <c r="EC8" s="812"/>
      <c r="ED8" s="812"/>
      <c r="EE8" s="812"/>
      <c r="EF8" s="812"/>
      <c r="EG8" s="812"/>
      <c r="EH8" s="812"/>
      <c r="EI8" s="812"/>
      <c r="EJ8" s="812"/>
      <c r="EK8" s="812"/>
      <c r="EL8" s="812"/>
      <c r="EM8" s="812"/>
      <c r="EN8" s="812"/>
      <c r="EO8" s="812"/>
      <c r="EP8" s="812"/>
      <c r="EQ8" s="812"/>
      <c r="ER8" s="812"/>
      <c r="ES8" s="812"/>
      <c r="ET8" s="812"/>
      <c r="EU8" s="812"/>
      <c r="EV8" s="812"/>
      <c r="EW8" s="812"/>
      <c r="EX8" s="812"/>
      <c r="EY8" s="812"/>
      <c r="EZ8" s="812"/>
      <c r="FA8" s="812"/>
      <c r="FB8" s="812"/>
      <c r="FC8" s="812"/>
      <c r="FD8" s="812"/>
      <c r="FE8" s="812"/>
      <c r="FF8" s="812"/>
      <c r="FG8" s="812"/>
      <c r="FH8" s="812"/>
      <c r="FI8" s="812"/>
      <c r="FJ8" s="812"/>
      <c r="FK8" s="812"/>
      <c r="FL8" s="812"/>
      <c r="FM8" s="812"/>
      <c r="FN8" s="812"/>
      <c r="FO8" s="812"/>
      <c r="FP8" s="812"/>
      <c r="FQ8" s="812"/>
      <c r="FR8" s="812"/>
      <c r="FS8" s="812"/>
      <c r="FT8" s="812"/>
      <c r="FU8" s="812"/>
      <c r="FV8" s="812"/>
      <c r="FW8" s="812"/>
      <c r="FX8" s="812"/>
      <c r="FY8" s="812"/>
      <c r="FZ8" s="812"/>
      <c r="GA8" s="812"/>
      <c r="GB8" s="812"/>
      <c r="GC8" s="812"/>
      <c r="GD8" s="812"/>
      <c r="GE8" s="812"/>
      <c r="GF8" s="812"/>
      <c r="GG8" s="812"/>
      <c r="GH8" s="812"/>
      <c r="GI8" s="812"/>
      <c r="GJ8" s="812"/>
      <c r="GK8" s="812"/>
      <c r="GL8" s="812"/>
      <c r="GM8" s="812"/>
      <c r="GN8" s="812"/>
      <c r="GO8" s="812"/>
      <c r="GP8" s="812"/>
      <c r="GQ8" s="812"/>
      <c r="GR8" s="812"/>
      <c r="GS8" s="812"/>
      <c r="GT8" s="812"/>
      <c r="GU8" s="812"/>
      <c r="GV8" s="812"/>
      <c r="GW8" s="812"/>
      <c r="GX8" s="812"/>
      <c r="GY8" s="812"/>
      <c r="GZ8" s="812"/>
      <c r="HA8" s="812"/>
      <c r="HB8" s="812"/>
      <c r="HC8" s="812"/>
      <c r="HD8" s="812"/>
      <c r="HE8" s="812"/>
      <c r="HF8" s="812"/>
      <c r="HG8" s="812"/>
      <c r="HH8" s="812"/>
      <c r="HI8" s="812"/>
      <c r="HJ8" s="812"/>
      <c r="HK8" s="812"/>
      <c r="HL8" s="812"/>
      <c r="HM8" s="812"/>
      <c r="HN8" s="812"/>
      <c r="HO8" s="812"/>
      <c r="HP8" s="812"/>
      <c r="HQ8" s="812"/>
      <c r="HR8" s="812"/>
      <c r="HS8" s="812"/>
      <c r="HT8" s="812"/>
      <c r="HU8" s="812"/>
      <c r="HV8" s="812"/>
      <c r="HW8" s="812"/>
      <c r="HX8" s="812"/>
      <c r="HY8" s="812"/>
      <c r="HZ8" s="812"/>
      <c r="IA8" s="812"/>
      <c r="IB8" s="812"/>
      <c r="IC8" s="812"/>
      <c r="ID8" s="812"/>
      <c r="IE8" s="812"/>
      <c r="IF8" s="812"/>
      <c r="IG8" s="812"/>
      <c r="IH8" s="812"/>
      <c r="II8" s="812"/>
      <c r="IJ8" s="812"/>
      <c r="IK8" s="812"/>
      <c r="IL8" s="812"/>
      <c r="IM8" s="812"/>
      <c r="IN8" s="812"/>
      <c r="IO8" s="812"/>
      <c r="IP8" s="812"/>
      <c r="IQ8" s="812"/>
      <c r="IR8" s="812"/>
      <c r="IS8" s="812"/>
      <c r="IT8" s="812"/>
      <c r="IU8" s="812"/>
    </row>
    <row r="9" spans="1:255" s="813" customFormat="1" ht="15" customHeight="1" x14ac:dyDescent="0.25">
      <c r="A9" s="797">
        <v>43924</v>
      </c>
      <c r="B9" s="798" t="s">
        <v>4003</v>
      </c>
      <c r="C9" s="799">
        <v>348518733</v>
      </c>
      <c r="D9" s="800">
        <f t="shared" ref="D9:D19" si="2">A9+$H$4</f>
        <v>43929</v>
      </c>
      <c r="E9" s="801">
        <f t="shared" si="0"/>
        <v>0</v>
      </c>
      <c r="F9" s="802">
        <v>348518733</v>
      </c>
      <c r="G9" s="800">
        <v>43929</v>
      </c>
      <c r="H9" s="802"/>
      <c r="I9" s="803"/>
      <c r="J9" s="802"/>
      <c r="K9" s="804"/>
      <c r="L9" s="814">
        <f t="shared" si="1"/>
        <v>0</v>
      </c>
      <c r="M9" s="815">
        <f>(E$4/360)*C9*10%</f>
        <v>5711834.7908333335</v>
      </c>
      <c r="N9" s="806"/>
      <c r="O9" s="807"/>
      <c r="P9" s="806">
        <v>665473</v>
      </c>
      <c r="Q9" s="807">
        <v>43929</v>
      </c>
      <c r="R9" s="806"/>
      <c r="S9" s="806"/>
      <c r="T9" s="808"/>
      <c r="U9" s="809"/>
      <c r="V9" s="809"/>
      <c r="W9" s="810"/>
      <c r="X9" s="811"/>
      <c r="Y9" s="812"/>
      <c r="Z9" s="812"/>
      <c r="AA9" s="812"/>
      <c r="AB9" s="812"/>
      <c r="AC9" s="812"/>
      <c r="AD9" s="812"/>
      <c r="AE9" s="812"/>
      <c r="AF9" s="812"/>
      <c r="AG9" s="812"/>
      <c r="AH9" s="812"/>
      <c r="AI9" s="812"/>
      <c r="AJ9" s="812"/>
      <c r="AK9" s="812"/>
      <c r="AL9" s="812"/>
      <c r="AM9" s="812"/>
      <c r="AN9" s="812"/>
      <c r="AO9" s="812"/>
      <c r="AP9" s="812"/>
      <c r="AQ9" s="812"/>
      <c r="AR9" s="812"/>
      <c r="AS9" s="812"/>
      <c r="AT9" s="812"/>
      <c r="AU9" s="812"/>
      <c r="AV9" s="812"/>
      <c r="AW9" s="812"/>
      <c r="AX9" s="812"/>
      <c r="AY9" s="812"/>
      <c r="AZ9" s="812"/>
      <c r="BA9" s="812"/>
      <c r="BB9" s="812"/>
      <c r="BC9" s="812"/>
      <c r="BD9" s="812"/>
      <c r="BE9" s="812"/>
      <c r="BF9" s="812"/>
      <c r="BG9" s="812"/>
      <c r="BH9" s="812"/>
      <c r="BI9" s="812"/>
      <c r="BJ9" s="812"/>
      <c r="BK9" s="812"/>
      <c r="BL9" s="812"/>
      <c r="BM9" s="812"/>
      <c r="BN9" s="812"/>
      <c r="BO9" s="812"/>
      <c r="BP9" s="812"/>
      <c r="BQ9" s="812"/>
      <c r="BR9" s="812"/>
      <c r="BS9" s="812"/>
      <c r="BT9" s="812"/>
      <c r="BU9" s="812"/>
      <c r="BV9" s="812"/>
      <c r="BW9" s="812"/>
      <c r="BX9" s="812"/>
      <c r="BY9" s="812"/>
      <c r="BZ9" s="812"/>
      <c r="CA9" s="812"/>
      <c r="CB9" s="812"/>
      <c r="CC9" s="812"/>
      <c r="CD9" s="812"/>
      <c r="CE9" s="812"/>
      <c r="CF9" s="812"/>
      <c r="CG9" s="812"/>
      <c r="CH9" s="812"/>
      <c r="CI9" s="812"/>
      <c r="CJ9" s="812"/>
      <c r="CK9" s="812"/>
      <c r="CL9" s="812"/>
      <c r="CM9" s="812"/>
      <c r="CN9" s="812"/>
      <c r="CO9" s="812"/>
      <c r="CP9" s="812"/>
      <c r="CQ9" s="812"/>
      <c r="CR9" s="812"/>
      <c r="CS9" s="812"/>
      <c r="CT9" s="812"/>
      <c r="CU9" s="812"/>
      <c r="CV9" s="812"/>
      <c r="CW9" s="812"/>
      <c r="CX9" s="812"/>
      <c r="CY9" s="812"/>
      <c r="CZ9" s="812"/>
      <c r="DA9" s="812"/>
      <c r="DB9" s="812"/>
      <c r="DC9" s="812"/>
      <c r="DD9" s="812"/>
      <c r="DE9" s="812"/>
      <c r="DF9" s="812"/>
      <c r="DG9" s="812"/>
      <c r="DH9" s="812"/>
      <c r="DI9" s="812"/>
      <c r="DJ9" s="812"/>
      <c r="DK9" s="812"/>
      <c r="DL9" s="812"/>
      <c r="DM9" s="812"/>
      <c r="DN9" s="812"/>
      <c r="DO9" s="812"/>
      <c r="DP9" s="812"/>
      <c r="DQ9" s="812"/>
      <c r="DR9" s="812"/>
      <c r="DS9" s="812"/>
      <c r="DT9" s="812"/>
      <c r="DU9" s="812"/>
      <c r="DV9" s="812"/>
      <c r="DW9" s="812"/>
      <c r="DX9" s="812"/>
      <c r="DY9" s="812"/>
      <c r="DZ9" s="812"/>
      <c r="EA9" s="812"/>
      <c r="EB9" s="812"/>
      <c r="EC9" s="812"/>
      <c r="ED9" s="812"/>
      <c r="EE9" s="812"/>
      <c r="EF9" s="812"/>
      <c r="EG9" s="812"/>
      <c r="EH9" s="812"/>
      <c r="EI9" s="812"/>
      <c r="EJ9" s="812"/>
      <c r="EK9" s="812"/>
      <c r="EL9" s="812"/>
      <c r="EM9" s="812"/>
      <c r="EN9" s="812"/>
      <c r="EO9" s="812"/>
      <c r="EP9" s="812"/>
      <c r="EQ9" s="812"/>
      <c r="ER9" s="812"/>
      <c r="ES9" s="812"/>
      <c r="ET9" s="812"/>
      <c r="EU9" s="812"/>
      <c r="EV9" s="812"/>
      <c r="EW9" s="812"/>
      <c r="EX9" s="812"/>
      <c r="EY9" s="812"/>
      <c r="EZ9" s="812"/>
      <c r="FA9" s="812"/>
      <c r="FB9" s="812"/>
      <c r="FC9" s="812"/>
      <c r="FD9" s="812"/>
      <c r="FE9" s="812"/>
      <c r="FF9" s="812"/>
      <c r="FG9" s="812"/>
      <c r="FH9" s="812"/>
      <c r="FI9" s="812"/>
      <c r="FJ9" s="812"/>
      <c r="FK9" s="812"/>
      <c r="FL9" s="812"/>
      <c r="FM9" s="812"/>
      <c r="FN9" s="812"/>
      <c r="FO9" s="812"/>
      <c r="FP9" s="812"/>
      <c r="FQ9" s="812"/>
      <c r="FR9" s="812"/>
      <c r="FS9" s="812"/>
      <c r="FT9" s="812"/>
      <c r="FU9" s="812"/>
      <c r="FV9" s="812"/>
      <c r="FW9" s="812"/>
      <c r="FX9" s="812"/>
      <c r="FY9" s="812"/>
      <c r="FZ9" s="812"/>
      <c r="GA9" s="812"/>
      <c r="GB9" s="812"/>
      <c r="GC9" s="812"/>
      <c r="GD9" s="812"/>
      <c r="GE9" s="812"/>
      <c r="GF9" s="812"/>
      <c r="GG9" s="812"/>
      <c r="GH9" s="812"/>
      <c r="GI9" s="812"/>
      <c r="GJ9" s="812"/>
      <c r="GK9" s="812"/>
      <c r="GL9" s="812"/>
      <c r="GM9" s="812"/>
      <c r="GN9" s="812"/>
      <c r="GO9" s="812"/>
      <c r="GP9" s="812"/>
      <c r="GQ9" s="812"/>
      <c r="GR9" s="812"/>
      <c r="GS9" s="812"/>
      <c r="GT9" s="812"/>
      <c r="GU9" s="812"/>
      <c r="GV9" s="812"/>
      <c r="GW9" s="812"/>
      <c r="GX9" s="812"/>
      <c r="GY9" s="812"/>
      <c r="GZ9" s="812"/>
      <c r="HA9" s="812"/>
      <c r="HB9" s="812"/>
      <c r="HC9" s="812"/>
      <c r="HD9" s="812"/>
      <c r="HE9" s="812"/>
      <c r="HF9" s="812"/>
      <c r="HG9" s="812"/>
      <c r="HH9" s="812"/>
      <c r="HI9" s="812"/>
      <c r="HJ9" s="812"/>
      <c r="HK9" s="812"/>
      <c r="HL9" s="812"/>
      <c r="HM9" s="812"/>
      <c r="HN9" s="812"/>
      <c r="HO9" s="812"/>
      <c r="HP9" s="812"/>
      <c r="HQ9" s="812"/>
      <c r="HR9" s="812"/>
      <c r="HS9" s="812"/>
      <c r="HT9" s="812"/>
      <c r="HU9" s="812"/>
      <c r="HV9" s="812"/>
      <c r="HW9" s="812"/>
      <c r="HX9" s="812"/>
      <c r="HY9" s="812"/>
      <c r="HZ9" s="812"/>
      <c r="IA9" s="812"/>
      <c r="IB9" s="812"/>
      <c r="IC9" s="812"/>
      <c r="ID9" s="812"/>
      <c r="IE9" s="812"/>
      <c r="IF9" s="812"/>
      <c r="IG9" s="812"/>
      <c r="IH9" s="812"/>
      <c r="II9" s="812"/>
      <c r="IJ9" s="812"/>
      <c r="IK9" s="812"/>
      <c r="IL9" s="812"/>
      <c r="IM9" s="812"/>
      <c r="IN9" s="812"/>
      <c r="IO9" s="812"/>
      <c r="IP9" s="812"/>
      <c r="IQ9" s="812"/>
      <c r="IR9" s="812"/>
      <c r="IS9" s="812"/>
      <c r="IT9" s="812"/>
      <c r="IU9" s="812"/>
    </row>
    <row r="10" spans="1:255" s="813" customFormat="1" ht="15" customHeight="1" x14ac:dyDescent="0.25">
      <c r="A10" s="797">
        <v>43929</v>
      </c>
      <c r="B10" s="798" t="s">
        <v>4003</v>
      </c>
      <c r="C10" s="799">
        <v>1488745261</v>
      </c>
      <c r="D10" s="800">
        <f t="shared" si="2"/>
        <v>43934</v>
      </c>
      <c r="E10" s="801">
        <f t="shared" si="0"/>
        <v>0</v>
      </c>
      <c r="F10" s="802">
        <v>1488745261</v>
      </c>
      <c r="G10" s="800">
        <v>43934</v>
      </c>
      <c r="H10" s="802"/>
      <c r="I10" s="803"/>
      <c r="J10" s="802"/>
      <c r="K10" s="804"/>
      <c r="L10" s="814">
        <f t="shared" si="1"/>
        <v>0</v>
      </c>
      <c r="M10" s="815">
        <f>(E$4/360)*C10*10%</f>
        <v>24398880.666388892</v>
      </c>
      <c r="N10" s="806"/>
      <c r="O10" s="807"/>
      <c r="P10" s="806">
        <v>2842676</v>
      </c>
      <c r="Q10" s="807">
        <v>43934</v>
      </c>
      <c r="R10" s="806"/>
      <c r="S10" s="816"/>
      <c r="T10" s="808"/>
      <c r="U10" s="809"/>
      <c r="V10" s="809"/>
      <c r="W10" s="810"/>
      <c r="X10" s="811"/>
      <c r="Y10" s="812"/>
      <c r="Z10" s="812"/>
      <c r="AA10" s="812"/>
      <c r="AB10" s="812"/>
      <c r="AC10" s="812"/>
      <c r="AD10" s="812"/>
      <c r="AE10" s="812"/>
      <c r="AF10" s="812"/>
      <c r="AG10" s="812"/>
      <c r="AH10" s="812"/>
      <c r="AI10" s="812"/>
      <c r="AJ10" s="812"/>
      <c r="AK10" s="812"/>
      <c r="AL10" s="812"/>
      <c r="AM10" s="812"/>
      <c r="AN10" s="812"/>
      <c r="AO10" s="812"/>
      <c r="AP10" s="812"/>
      <c r="AQ10" s="812"/>
      <c r="AR10" s="812"/>
      <c r="AS10" s="812"/>
      <c r="AT10" s="812"/>
      <c r="AU10" s="812"/>
      <c r="AV10" s="812"/>
      <c r="AW10" s="812"/>
      <c r="AX10" s="812"/>
      <c r="AY10" s="812"/>
      <c r="AZ10" s="812"/>
      <c r="BA10" s="812"/>
      <c r="BB10" s="812"/>
      <c r="BC10" s="812"/>
      <c r="BD10" s="812"/>
      <c r="BE10" s="812"/>
      <c r="BF10" s="812"/>
      <c r="BG10" s="812"/>
      <c r="BH10" s="812"/>
      <c r="BI10" s="812"/>
      <c r="BJ10" s="812"/>
      <c r="BK10" s="812"/>
      <c r="BL10" s="812"/>
      <c r="BM10" s="812"/>
      <c r="BN10" s="812"/>
      <c r="BO10" s="812"/>
      <c r="BP10" s="812"/>
      <c r="BQ10" s="812"/>
      <c r="BR10" s="812"/>
      <c r="BS10" s="812"/>
      <c r="BT10" s="812"/>
      <c r="BU10" s="812"/>
      <c r="BV10" s="812"/>
      <c r="BW10" s="812"/>
      <c r="BX10" s="812"/>
      <c r="BY10" s="812"/>
      <c r="BZ10" s="812"/>
      <c r="CA10" s="812"/>
      <c r="CB10" s="812"/>
      <c r="CC10" s="812"/>
      <c r="CD10" s="812"/>
      <c r="CE10" s="812"/>
      <c r="CF10" s="812"/>
      <c r="CG10" s="812"/>
      <c r="CH10" s="812"/>
      <c r="CI10" s="812"/>
      <c r="CJ10" s="812"/>
      <c r="CK10" s="812"/>
      <c r="CL10" s="812"/>
      <c r="CM10" s="812"/>
      <c r="CN10" s="812"/>
      <c r="CO10" s="812"/>
      <c r="CP10" s="812"/>
      <c r="CQ10" s="812"/>
      <c r="CR10" s="812"/>
      <c r="CS10" s="812"/>
      <c r="CT10" s="812"/>
      <c r="CU10" s="812"/>
      <c r="CV10" s="812"/>
      <c r="CW10" s="812"/>
      <c r="CX10" s="812"/>
      <c r="CY10" s="812"/>
      <c r="CZ10" s="812"/>
      <c r="DA10" s="812"/>
      <c r="DB10" s="812"/>
      <c r="DC10" s="812"/>
      <c r="DD10" s="812"/>
      <c r="DE10" s="812"/>
      <c r="DF10" s="812"/>
      <c r="DG10" s="812"/>
      <c r="DH10" s="812"/>
      <c r="DI10" s="812"/>
      <c r="DJ10" s="812"/>
      <c r="DK10" s="812"/>
      <c r="DL10" s="812"/>
      <c r="DM10" s="812"/>
      <c r="DN10" s="812"/>
      <c r="DO10" s="812"/>
      <c r="DP10" s="812"/>
      <c r="DQ10" s="812"/>
      <c r="DR10" s="812"/>
      <c r="DS10" s="812"/>
      <c r="DT10" s="812"/>
      <c r="DU10" s="812"/>
      <c r="DV10" s="812"/>
      <c r="DW10" s="812"/>
      <c r="DX10" s="812"/>
      <c r="DY10" s="812"/>
      <c r="DZ10" s="812"/>
      <c r="EA10" s="812"/>
      <c r="EB10" s="812"/>
      <c r="EC10" s="812"/>
      <c r="ED10" s="812"/>
      <c r="EE10" s="812"/>
      <c r="EF10" s="812"/>
      <c r="EG10" s="812"/>
      <c r="EH10" s="812"/>
      <c r="EI10" s="812"/>
      <c r="EJ10" s="812"/>
      <c r="EK10" s="812"/>
      <c r="EL10" s="812"/>
      <c r="EM10" s="812"/>
      <c r="EN10" s="812"/>
      <c r="EO10" s="812"/>
      <c r="EP10" s="812"/>
      <c r="EQ10" s="812"/>
      <c r="ER10" s="812"/>
      <c r="ES10" s="812"/>
      <c r="ET10" s="812"/>
      <c r="EU10" s="812"/>
      <c r="EV10" s="812"/>
      <c r="EW10" s="812"/>
      <c r="EX10" s="812"/>
      <c r="EY10" s="812"/>
      <c r="EZ10" s="812"/>
      <c r="FA10" s="812"/>
      <c r="FB10" s="812"/>
      <c r="FC10" s="812"/>
      <c r="FD10" s="812"/>
      <c r="FE10" s="812"/>
      <c r="FF10" s="812"/>
      <c r="FG10" s="812"/>
      <c r="FH10" s="812"/>
      <c r="FI10" s="812"/>
      <c r="FJ10" s="812"/>
      <c r="FK10" s="812"/>
      <c r="FL10" s="812"/>
      <c r="FM10" s="812"/>
      <c r="FN10" s="812"/>
      <c r="FO10" s="812"/>
      <c r="FP10" s="812"/>
      <c r="FQ10" s="812"/>
      <c r="FR10" s="812"/>
      <c r="FS10" s="812"/>
      <c r="FT10" s="812"/>
      <c r="FU10" s="812"/>
      <c r="FV10" s="812"/>
      <c r="FW10" s="812"/>
      <c r="FX10" s="812"/>
      <c r="FY10" s="812"/>
      <c r="FZ10" s="812"/>
      <c r="GA10" s="812"/>
      <c r="GB10" s="812"/>
      <c r="GC10" s="812"/>
      <c r="GD10" s="812"/>
      <c r="GE10" s="812"/>
      <c r="GF10" s="812"/>
      <c r="GG10" s="812"/>
      <c r="GH10" s="812"/>
      <c r="GI10" s="812"/>
      <c r="GJ10" s="812"/>
      <c r="GK10" s="812"/>
      <c r="GL10" s="812"/>
      <c r="GM10" s="812"/>
      <c r="GN10" s="812"/>
      <c r="GO10" s="812"/>
      <c r="GP10" s="812"/>
      <c r="GQ10" s="812"/>
      <c r="GR10" s="812"/>
      <c r="GS10" s="812"/>
      <c r="GT10" s="812"/>
      <c r="GU10" s="812"/>
      <c r="GV10" s="812"/>
      <c r="GW10" s="812"/>
      <c r="GX10" s="812"/>
      <c r="GY10" s="812"/>
      <c r="GZ10" s="812"/>
      <c r="HA10" s="812"/>
      <c r="HB10" s="812"/>
      <c r="HC10" s="812"/>
      <c r="HD10" s="812"/>
      <c r="HE10" s="812"/>
      <c r="HF10" s="812"/>
      <c r="HG10" s="812"/>
      <c r="HH10" s="812"/>
      <c r="HI10" s="812"/>
      <c r="HJ10" s="812"/>
      <c r="HK10" s="812"/>
      <c r="HL10" s="812"/>
      <c r="HM10" s="812"/>
      <c r="HN10" s="812"/>
      <c r="HO10" s="812"/>
      <c r="HP10" s="812"/>
      <c r="HQ10" s="812"/>
      <c r="HR10" s="812"/>
      <c r="HS10" s="812"/>
      <c r="HT10" s="812"/>
      <c r="HU10" s="812"/>
      <c r="HV10" s="812"/>
      <c r="HW10" s="812"/>
      <c r="HX10" s="812"/>
      <c r="HY10" s="812"/>
      <c r="HZ10" s="812"/>
      <c r="IA10" s="812"/>
      <c r="IB10" s="812"/>
      <c r="IC10" s="812"/>
      <c r="ID10" s="812"/>
      <c r="IE10" s="812"/>
      <c r="IF10" s="812"/>
      <c r="IG10" s="812"/>
      <c r="IH10" s="812"/>
      <c r="II10" s="812"/>
      <c r="IJ10" s="812"/>
      <c r="IK10" s="812"/>
      <c r="IL10" s="812"/>
      <c r="IM10" s="812"/>
      <c r="IN10" s="812"/>
      <c r="IO10" s="812"/>
      <c r="IP10" s="812"/>
      <c r="IQ10" s="812"/>
      <c r="IR10" s="812"/>
      <c r="IS10" s="812"/>
      <c r="IT10" s="812"/>
      <c r="IU10" s="812"/>
    </row>
    <row r="11" spans="1:255" s="813" customFormat="1" ht="15" customHeight="1" x14ac:dyDescent="0.25">
      <c r="A11" s="797">
        <v>43936</v>
      </c>
      <c r="B11" s="798" t="s">
        <v>4003</v>
      </c>
      <c r="C11" s="799">
        <v>410403120</v>
      </c>
      <c r="D11" s="800">
        <f t="shared" si="2"/>
        <v>43941</v>
      </c>
      <c r="E11" s="817">
        <f t="shared" si="0"/>
        <v>-1</v>
      </c>
      <c r="F11" s="802">
        <v>410403120</v>
      </c>
      <c r="G11" s="800">
        <v>43942</v>
      </c>
      <c r="H11" s="802"/>
      <c r="I11" s="803"/>
      <c r="J11" s="802"/>
      <c r="K11" s="804"/>
      <c r="L11" s="805">
        <f t="shared" si="1"/>
        <v>0</v>
      </c>
      <c r="M11" s="815">
        <f t="shared" ref="M11:M29" si="3">(E$4/360)*C11*10%</f>
        <v>6726051.1333333328</v>
      </c>
      <c r="N11" s="806"/>
      <c r="O11" s="807"/>
      <c r="P11" s="806">
        <v>895591</v>
      </c>
      <c r="Q11" s="807">
        <v>43942</v>
      </c>
      <c r="R11" s="806"/>
      <c r="S11" s="816"/>
      <c r="T11" s="808"/>
      <c r="U11" s="809"/>
      <c r="V11" s="809"/>
      <c r="W11" s="810"/>
      <c r="X11" s="818"/>
      <c r="Y11" s="812"/>
      <c r="Z11" s="812"/>
      <c r="AA11" s="812"/>
      <c r="AB11" s="812"/>
      <c r="AC11" s="812"/>
      <c r="AD11" s="812"/>
      <c r="AE11" s="812"/>
      <c r="AF11" s="812"/>
      <c r="AG11" s="812"/>
      <c r="AH11" s="812"/>
      <c r="AI11" s="812"/>
      <c r="AJ11" s="812"/>
      <c r="AK11" s="812"/>
      <c r="AL11" s="812"/>
      <c r="AM11" s="812"/>
      <c r="AN11" s="812"/>
      <c r="AO11" s="812"/>
      <c r="AP11" s="812"/>
      <c r="AQ11" s="812"/>
      <c r="AR11" s="812"/>
      <c r="AS11" s="812"/>
      <c r="AT11" s="812"/>
      <c r="AU11" s="812"/>
      <c r="AV11" s="812"/>
      <c r="AW11" s="812"/>
      <c r="AX11" s="812"/>
      <c r="AY11" s="812"/>
      <c r="AZ11" s="812"/>
      <c r="BA11" s="812"/>
      <c r="BB11" s="812"/>
      <c r="BC11" s="812"/>
      <c r="BD11" s="812"/>
      <c r="BE11" s="812"/>
      <c r="BF11" s="812"/>
      <c r="BG11" s="812"/>
      <c r="BH11" s="812"/>
      <c r="BI11" s="812"/>
      <c r="BJ11" s="812"/>
      <c r="BK11" s="812"/>
      <c r="BL11" s="812"/>
      <c r="BM11" s="812"/>
      <c r="BN11" s="812"/>
      <c r="BO11" s="812"/>
      <c r="BP11" s="812"/>
      <c r="BQ11" s="812"/>
      <c r="BR11" s="812"/>
      <c r="BS11" s="812"/>
      <c r="BT11" s="812"/>
      <c r="BU11" s="812"/>
      <c r="BV11" s="812"/>
      <c r="BW11" s="812"/>
      <c r="BX11" s="812"/>
      <c r="BY11" s="812"/>
      <c r="BZ11" s="812"/>
      <c r="CA11" s="812"/>
      <c r="CB11" s="812"/>
      <c r="CC11" s="812"/>
      <c r="CD11" s="812"/>
      <c r="CE11" s="812"/>
      <c r="CF11" s="812"/>
      <c r="CG11" s="812"/>
      <c r="CH11" s="812"/>
      <c r="CI11" s="812"/>
      <c r="CJ11" s="812"/>
      <c r="CK11" s="812"/>
      <c r="CL11" s="812"/>
      <c r="CM11" s="812"/>
      <c r="CN11" s="812"/>
      <c r="CO11" s="812"/>
      <c r="CP11" s="812"/>
      <c r="CQ11" s="812"/>
      <c r="CR11" s="812"/>
      <c r="CS11" s="812"/>
      <c r="CT11" s="812"/>
      <c r="CU11" s="812"/>
      <c r="CV11" s="812"/>
      <c r="CW11" s="812"/>
      <c r="CX11" s="812"/>
      <c r="CY11" s="812"/>
      <c r="CZ11" s="812"/>
      <c r="DA11" s="812"/>
      <c r="DB11" s="812"/>
      <c r="DC11" s="812"/>
      <c r="DD11" s="812"/>
      <c r="DE11" s="812"/>
      <c r="DF11" s="812"/>
      <c r="DG11" s="812"/>
      <c r="DH11" s="812"/>
      <c r="DI11" s="812"/>
      <c r="DJ11" s="812"/>
      <c r="DK11" s="812"/>
      <c r="DL11" s="812"/>
      <c r="DM11" s="812"/>
      <c r="DN11" s="812"/>
      <c r="DO11" s="812"/>
      <c r="DP11" s="812"/>
      <c r="DQ11" s="812"/>
      <c r="DR11" s="812"/>
      <c r="DS11" s="812"/>
      <c r="DT11" s="812"/>
      <c r="DU11" s="812"/>
      <c r="DV11" s="812"/>
      <c r="DW11" s="812"/>
      <c r="DX11" s="812"/>
      <c r="DY11" s="812"/>
      <c r="DZ11" s="812"/>
      <c r="EA11" s="812"/>
      <c r="EB11" s="812"/>
      <c r="EC11" s="812"/>
      <c r="ED11" s="812"/>
      <c r="EE11" s="812"/>
      <c r="EF11" s="812"/>
      <c r="EG11" s="812"/>
      <c r="EH11" s="812"/>
      <c r="EI11" s="812"/>
      <c r="EJ11" s="812"/>
      <c r="EK11" s="812"/>
      <c r="EL11" s="812"/>
      <c r="EM11" s="812"/>
      <c r="EN11" s="812"/>
      <c r="EO11" s="812"/>
      <c r="EP11" s="812"/>
      <c r="EQ11" s="812"/>
      <c r="ER11" s="812"/>
      <c r="ES11" s="812"/>
      <c r="ET11" s="812"/>
      <c r="EU11" s="812"/>
      <c r="EV11" s="812"/>
      <c r="EW11" s="812"/>
      <c r="EX11" s="812"/>
      <c r="EY11" s="812"/>
      <c r="EZ11" s="812"/>
      <c r="FA11" s="812"/>
      <c r="FB11" s="812"/>
      <c r="FC11" s="812"/>
      <c r="FD11" s="812"/>
      <c r="FE11" s="812"/>
      <c r="FF11" s="812"/>
      <c r="FG11" s="812"/>
      <c r="FH11" s="812"/>
      <c r="FI11" s="812"/>
      <c r="FJ11" s="812"/>
      <c r="FK11" s="812"/>
      <c r="FL11" s="812"/>
      <c r="FM11" s="812"/>
      <c r="FN11" s="812"/>
      <c r="FO11" s="812"/>
      <c r="FP11" s="812"/>
      <c r="FQ11" s="812"/>
      <c r="FR11" s="812"/>
      <c r="FS11" s="812"/>
      <c r="FT11" s="812"/>
      <c r="FU11" s="812"/>
      <c r="FV11" s="812"/>
      <c r="FW11" s="812"/>
      <c r="FX11" s="812"/>
      <c r="FY11" s="812"/>
      <c r="FZ11" s="812"/>
      <c r="GA11" s="812"/>
      <c r="GB11" s="812"/>
      <c r="GC11" s="812"/>
      <c r="GD11" s="812"/>
      <c r="GE11" s="812"/>
      <c r="GF11" s="812"/>
      <c r="GG11" s="812"/>
      <c r="GH11" s="812"/>
      <c r="GI11" s="812"/>
      <c r="GJ11" s="812"/>
      <c r="GK11" s="812"/>
      <c r="GL11" s="812"/>
      <c r="GM11" s="812"/>
      <c r="GN11" s="812"/>
      <c r="GO11" s="812"/>
      <c r="GP11" s="812"/>
      <c r="GQ11" s="812"/>
      <c r="GR11" s="812"/>
      <c r="GS11" s="812"/>
      <c r="GT11" s="812"/>
      <c r="GU11" s="812"/>
      <c r="GV11" s="812"/>
      <c r="GW11" s="812"/>
      <c r="GX11" s="812"/>
      <c r="GY11" s="812"/>
      <c r="GZ11" s="812"/>
      <c r="HA11" s="812"/>
      <c r="HB11" s="812"/>
      <c r="HC11" s="812"/>
      <c r="HD11" s="812"/>
      <c r="HE11" s="812"/>
      <c r="HF11" s="812"/>
      <c r="HG11" s="812"/>
      <c r="HH11" s="812"/>
      <c r="HI11" s="812"/>
      <c r="HJ11" s="812"/>
      <c r="HK11" s="812"/>
      <c r="HL11" s="812"/>
      <c r="HM11" s="812"/>
      <c r="HN11" s="812"/>
      <c r="HO11" s="812"/>
      <c r="HP11" s="812"/>
      <c r="HQ11" s="812"/>
      <c r="HR11" s="812"/>
      <c r="HS11" s="812"/>
      <c r="HT11" s="812"/>
      <c r="HU11" s="812"/>
      <c r="HV11" s="812"/>
      <c r="HW11" s="812"/>
      <c r="HX11" s="812"/>
      <c r="HY11" s="812"/>
      <c r="HZ11" s="812"/>
      <c r="IA11" s="812"/>
      <c r="IB11" s="812"/>
      <c r="IC11" s="812"/>
      <c r="ID11" s="812"/>
      <c r="IE11" s="812"/>
      <c r="IF11" s="812"/>
      <c r="IG11" s="812"/>
      <c r="IH11" s="812"/>
      <c r="II11" s="812"/>
      <c r="IJ11" s="812"/>
      <c r="IK11" s="812"/>
      <c r="IL11" s="812"/>
      <c r="IM11" s="812"/>
      <c r="IN11" s="812"/>
      <c r="IO11" s="812"/>
      <c r="IP11" s="812"/>
      <c r="IQ11" s="812"/>
      <c r="IR11" s="812"/>
      <c r="IS11" s="812"/>
      <c r="IT11" s="812"/>
      <c r="IU11" s="812"/>
    </row>
    <row r="12" spans="1:255" s="813" customFormat="1" ht="15" customHeight="1" x14ac:dyDescent="0.25">
      <c r="A12" s="797">
        <v>43938</v>
      </c>
      <c r="B12" s="798" t="s">
        <v>4003</v>
      </c>
      <c r="C12" s="799">
        <v>446382666</v>
      </c>
      <c r="D12" s="800">
        <f t="shared" si="2"/>
        <v>43943</v>
      </c>
      <c r="E12" s="817">
        <f t="shared" si="0"/>
        <v>0</v>
      </c>
      <c r="F12" s="802">
        <v>446382666</v>
      </c>
      <c r="G12" s="800">
        <v>43943</v>
      </c>
      <c r="H12" s="802"/>
      <c r="I12" s="803"/>
      <c r="J12" s="802"/>
      <c r="K12" s="804"/>
      <c r="L12" s="805">
        <f t="shared" si="1"/>
        <v>0</v>
      </c>
      <c r="M12" s="815">
        <f t="shared" si="3"/>
        <v>7315715.915000001</v>
      </c>
      <c r="N12" s="806"/>
      <c r="O12" s="807"/>
      <c r="P12" s="806">
        <v>852343</v>
      </c>
      <c r="Q12" s="807">
        <v>43943</v>
      </c>
      <c r="R12" s="806"/>
      <c r="S12" s="806"/>
      <c r="T12" s="808"/>
      <c r="U12" s="809"/>
      <c r="V12" s="809"/>
      <c r="W12" s="810"/>
      <c r="X12" s="811"/>
      <c r="Y12" s="812"/>
      <c r="Z12" s="812"/>
      <c r="AA12" s="812"/>
      <c r="AB12" s="812"/>
      <c r="AC12" s="812"/>
      <c r="AD12" s="812"/>
      <c r="AE12" s="812"/>
      <c r="AF12" s="812"/>
      <c r="AG12" s="812"/>
      <c r="AH12" s="812"/>
      <c r="AI12" s="812"/>
      <c r="AJ12" s="812"/>
      <c r="AK12" s="812"/>
      <c r="AL12" s="812"/>
      <c r="AM12" s="812"/>
      <c r="AN12" s="812"/>
      <c r="AO12" s="812"/>
      <c r="AP12" s="812"/>
      <c r="AQ12" s="812"/>
      <c r="AR12" s="812"/>
      <c r="AS12" s="812"/>
      <c r="AT12" s="812"/>
      <c r="AU12" s="812"/>
      <c r="AV12" s="812"/>
      <c r="AW12" s="812"/>
      <c r="AX12" s="812"/>
      <c r="AY12" s="812"/>
      <c r="AZ12" s="812"/>
      <c r="BA12" s="812"/>
      <c r="BB12" s="812"/>
      <c r="BC12" s="812"/>
      <c r="BD12" s="812"/>
      <c r="BE12" s="812"/>
      <c r="BF12" s="812"/>
      <c r="BG12" s="812"/>
      <c r="BH12" s="812"/>
      <c r="BI12" s="812"/>
      <c r="BJ12" s="812"/>
      <c r="BK12" s="812"/>
      <c r="BL12" s="812"/>
      <c r="BM12" s="812"/>
      <c r="BN12" s="812"/>
      <c r="BO12" s="812"/>
      <c r="BP12" s="812"/>
      <c r="BQ12" s="812"/>
      <c r="BR12" s="812"/>
      <c r="BS12" s="812"/>
      <c r="BT12" s="812"/>
      <c r="BU12" s="812"/>
      <c r="BV12" s="812"/>
      <c r="BW12" s="812"/>
      <c r="BX12" s="812"/>
      <c r="BY12" s="812"/>
      <c r="BZ12" s="812"/>
      <c r="CA12" s="812"/>
      <c r="CB12" s="812"/>
      <c r="CC12" s="812"/>
      <c r="CD12" s="812"/>
      <c r="CE12" s="812"/>
      <c r="CF12" s="812"/>
      <c r="CG12" s="812"/>
      <c r="CH12" s="812"/>
      <c r="CI12" s="812"/>
      <c r="CJ12" s="812"/>
      <c r="CK12" s="812"/>
      <c r="CL12" s="812"/>
      <c r="CM12" s="812"/>
      <c r="CN12" s="812"/>
      <c r="CO12" s="812"/>
      <c r="CP12" s="812"/>
      <c r="CQ12" s="812"/>
      <c r="CR12" s="812"/>
      <c r="CS12" s="812"/>
      <c r="CT12" s="812"/>
      <c r="CU12" s="812"/>
      <c r="CV12" s="812"/>
      <c r="CW12" s="812"/>
      <c r="CX12" s="812"/>
      <c r="CY12" s="812"/>
      <c r="CZ12" s="812"/>
      <c r="DA12" s="812"/>
      <c r="DB12" s="812"/>
      <c r="DC12" s="812"/>
      <c r="DD12" s="812"/>
      <c r="DE12" s="812"/>
      <c r="DF12" s="812"/>
      <c r="DG12" s="812"/>
      <c r="DH12" s="812"/>
      <c r="DI12" s="812"/>
      <c r="DJ12" s="812"/>
      <c r="DK12" s="812"/>
      <c r="DL12" s="812"/>
      <c r="DM12" s="812"/>
      <c r="DN12" s="812"/>
      <c r="DO12" s="812"/>
      <c r="DP12" s="812"/>
      <c r="DQ12" s="812"/>
      <c r="DR12" s="812"/>
      <c r="DS12" s="812"/>
      <c r="DT12" s="812"/>
      <c r="DU12" s="812"/>
      <c r="DV12" s="812"/>
      <c r="DW12" s="812"/>
      <c r="DX12" s="812"/>
      <c r="DY12" s="812"/>
      <c r="DZ12" s="812"/>
      <c r="EA12" s="812"/>
      <c r="EB12" s="812"/>
      <c r="EC12" s="812"/>
      <c r="ED12" s="812"/>
      <c r="EE12" s="812"/>
      <c r="EF12" s="812"/>
      <c r="EG12" s="812"/>
      <c r="EH12" s="812"/>
      <c r="EI12" s="812"/>
      <c r="EJ12" s="812"/>
      <c r="EK12" s="812"/>
      <c r="EL12" s="812"/>
      <c r="EM12" s="812"/>
      <c r="EN12" s="812"/>
      <c r="EO12" s="812"/>
      <c r="EP12" s="812"/>
      <c r="EQ12" s="812"/>
      <c r="ER12" s="812"/>
      <c r="ES12" s="812"/>
      <c r="ET12" s="812"/>
      <c r="EU12" s="812"/>
      <c r="EV12" s="812"/>
      <c r="EW12" s="812"/>
      <c r="EX12" s="812"/>
      <c r="EY12" s="812"/>
      <c r="EZ12" s="812"/>
      <c r="FA12" s="812"/>
      <c r="FB12" s="812"/>
      <c r="FC12" s="812"/>
      <c r="FD12" s="812"/>
      <c r="FE12" s="812"/>
      <c r="FF12" s="812"/>
      <c r="FG12" s="812"/>
      <c r="FH12" s="812"/>
      <c r="FI12" s="812"/>
      <c r="FJ12" s="812"/>
      <c r="FK12" s="812"/>
      <c r="FL12" s="812"/>
      <c r="FM12" s="812"/>
      <c r="FN12" s="812"/>
      <c r="FO12" s="812"/>
      <c r="FP12" s="812"/>
      <c r="FQ12" s="812"/>
      <c r="FR12" s="812"/>
      <c r="FS12" s="812"/>
      <c r="FT12" s="812"/>
      <c r="FU12" s="812"/>
      <c r="FV12" s="812"/>
      <c r="FW12" s="812"/>
      <c r="FX12" s="812"/>
      <c r="FY12" s="812"/>
      <c r="FZ12" s="812"/>
      <c r="GA12" s="812"/>
      <c r="GB12" s="812"/>
      <c r="GC12" s="812"/>
      <c r="GD12" s="812"/>
      <c r="GE12" s="812"/>
      <c r="GF12" s="812"/>
      <c r="GG12" s="812"/>
      <c r="GH12" s="812"/>
      <c r="GI12" s="812"/>
      <c r="GJ12" s="812"/>
      <c r="GK12" s="812"/>
      <c r="GL12" s="812"/>
      <c r="GM12" s="812"/>
      <c r="GN12" s="812"/>
      <c r="GO12" s="812"/>
      <c r="GP12" s="812"/>
      <c r="GQ12" s="812"/>
      <c r="GR12" s="812"/>
      <c r="GS12" s="812"/>
      <c r="GT12" s="812"/>
      <c r="GU12" s="812"/>
      <c r="GV12" s="812"/>
      <c r="GW12" s="812"/>
      <c r="GX12" s="812"/>
      <c r="GY12" s="812"/>
      <c r="GZ12" s="812"/>
      <c r="HA12" s="812"/>
      <c r="HB12" s="812"/>
      <c r="HC12" s="812"/>
      <c r="HD12" s="812"/>
      <c r="HE12" s="812"/>
      <c r="HF12" s="812"/>
      <c r="HG12" s="812"/>
      <c r="HH12" s="812"/>
      <c r="HI12" s="812"/>
      <c r="HJ12" s="812"/>
      <c r="HK12" s="812"/>
      <c r="HL12" s="812"/>
      <c r="HM12" s="812"/>
      <c r="HN12" s="812"/>
      <c r="HO12" s="812"/>
      <c r="HP12" s="812"/>
      <c r="HQ12" s="812"/>
      <c r="HR12" s="812"/>
      <c r="HS12" s="812"/>
      <c r="HT12" s="812"/>
      <c r="HU12" s="812"/>
      <c r="HV12" s="812"/>
      <c r="HW12" s="812"/>
      <c r="HX12" s="812"/>
      <c r="HY12" s="812"/>
      <c r="HZ12" s="812"/>
      <c r="IA12" s="812"/>
      <c r="IB12" s="812"/>
      <c r="IC12" s="812"/>
      <c r="ID12" s="812"/>
      <c r="IE12" s="812"/>
      <c r="IF12" s="812"/>
      <c r="IG12" s="812"/>
      <c r="IH12" s="812"/>
      <c r="II12" s="812"/>
      <c r="IJ12" s="812"/>
      <c r="IK12" s="812"/>
      <c r="IL12" s="812"/>
      <c r="IM12" s="812"/>
      <c r="IN12" s="812"/>
      <c r="IO12" s="812"/>
      <c r="IP12" s="812"/>
      <c r="IQ12" s="812"/>
      <c r="IR12" s="812"/>
      <c r="IS12" s="812"/>
      <c r="IT12" s="812"/>
      <c r="IU12" s="812"/>
    </row>
    <row r="13" spans="1:255" s="813" customFormat="1" ht="15" customHeight="1" x14ac:dyDescent="0.25">
      <c r="A13" s="797">
        <v>43943</v>
      </c>
      <c r="B13" s="798" t="s">
        <v>4003</v>
      </c>
      <c r="C13" s="799">
        <v>746535565</v>
      </c>
      <c r="D13" s="800">
        <f t="shared" si="2"/>
        <v>43948</v>
      </c>
      <c r="E13" s="801">
        <f t="shared" si="0"/>
        <v>0</v>
      </c>
      <c r="F13" s="802">
        <v>746535565</v>
      </c>
      <c r="G13" s="800">
        <v>43948</v>
      </c>
      <c r="H13" s="802"/>
      <c r="I13" s="803"/>
      <c r="J13" s="802"/>
      <c r="K13" s="804"/>
      <c r="L13" s="805">
        <f t="shared" si="1"/>
        <v>0</v>
      </c>
      <c r="M13" s="815">
        <f t="shared" si="3"/>
        <v>12234888.42638889</v>
      </c>
      <c r="N13" s="806"/>
      <c r="O13" s="807"/>
      <c r="P13" s="806">
        <v>1221830</v>
      </c>
      <c r="Q13" s="807">
        <v>43948</v>
      </c>
      <c r="R13" s="806"/>
      <c r="S13" s="806"/>
      <c r="T13" s="808"/>
      <c r="U13" s="809"/>
      <c r="V13" s="809"/>
      <c r="W13" s="810"/>
      <c r="X13" s="811"/>
      <c r="Y13" s="812"/>
      <c r="Z13" s="812"/>
      <c r="AA13" s="812"/>
      <c r="AB13" s="812"/>
      <c r="AC13" s="812"/>
      <c r="AD13" s="812"/>
      <c r="AE13" s="812"/>
      <c r="AF13" s="812"/>
      <c r="AG13" s="812"/>
      <c r="AH13" s="812"/>
      <c r="AI13" s="812"/>
      <c r="AJ13" s="812"/>
      <c r="AK13" s="812"/>
      <c r="AL13" s="812"/>
      <c r="AM13" s="812"/>
      <c r="AN13" s="812"/>
      <c r="AO13" s="812"/>
      <c r="AP13" s="812"/>
      <c r="AQ13" s="812"/>
      <c r="AR13" s="812"/>
      <c r="AS13" s="812"/>
      <c r="AT13" s="812"/>
      <c r="AU13" s="812"/>
      <c r="AV13" s="812"/>
      <c r="AW13" s="812"/>
      <c r="AX13" s="812"/>
      <c r="AY13" s="812"/>
      <c r="AZ13" s="812"/>
      <c r="BA13" s="812"/>
      <c r="BB13" s="812"/>
      <c r="BC13" s="812"/>
      <c r="BD13" s="812"/>
      <c r="BE13" s="812"/>
      <c r="BF13" s="812"/>
      <c r="BG13" s="812"/>
      <c r="BH13" s="812"/>
      <c r="BI13" s="812"/>
      <c r="BJ13" s="812"/>
      <c r="BK13" s="812"/>
      <c r="BL13" s="812"/>
      <c r="BM13" s="812"/>
      <c r="BN13" s="812"/>
      <c r="BO13" s="812"/>
      <c r="BP13" s="812"/>
      <c r="BQ13" s="812"/>
      <c r="BR13" s="812"/>
      <c r="BS13" s="812"/>
      <c r="BT13" s="812"/>
      <c r="BU13" s="812"/>
      <c r="BV13" s="812"/>
      <c r="BW13" s="812"/>
      <c r="BX13" s="812"/>
      <c r="BY13" s="812"/>
      <c r="BZ13" s="812"/>
      <c r="CA13" s="812"/>
      <c r="CB13" s="812"/>
      <c r="CC13" s="812"/>
      <c r="CD13" s="812"/>
      <c r="CE13" s="812"/>
      <c r="CF13" s="812"/>
      <c r="CG13" s="812"/>
      <c r="CH13" s="812"/>
      <c r="CI13" s="812"/>
      <c r="CJ13" s="812"/>
      <c r="CK13" s="812"/>
      <c r="CL13" s="812"/>
      <c r="CM13" s="812"/>
      <c r="CN13" s="812"/>
      <c r="CO13" s="812"/>
      <c r="CP13" s="812"/>
      <c r="CQ13" s="812"/>
      <c r="CR13" s="812"/>
      <c r="CS13" s="812"/>
      <c r="CT13" s="812"/>
      <c r="CU13" s="812"/>
      <c r="CV13" s="812"/>
      <c r="CW13" s="812"/>
      <c r="CX13" s="812"/>
      <c r="CY13" s="812"/>
      <c r="CZ13" s="812"/>
      <c r="DA13" s="812"/>
      <c r="DB13" s="812"/>
      <c r="DC13" s="812"/>
      <c r="DD13" s="812"/>
      <c r="DE13" s="812"/>
      <c r="DF13" s="812"/>
      <c r="DG13" s="812"/>
      <c r="DH13" s="812"/>
      <c r="DI13" s="812"/>
      <c r="DJ13" s="812"/>
      <c r="DK13" s="812"/>
      <c r="DL13" s="812"/>
      <c r="DM13" s="812"/>
      <c r="DN13" s="812"/>
      <c r="DO13" s="812"/>
      <c r="DP13" s="812"/>
      <c r="DQ13" s="812"/>
      <c r="DR13" s="812"/>
      <c r="DS13" s="812"/>
      <c r="DT13" s="812"/>
      <c r="DU13" s="812"/>
      <c r="DV13" s="812"/>
      <c r="DW13" s="812"/>
      <c r="DX13" s="812"/>
      <c r="DY13" s="812"/>
      <c r="DZ13" s="812"/>
      <c r="EA13" s="812"/>
      <c r="EB13" s="812"/>
      <c r="EC13" s="812"/>
      <c r="ED13" s="812"/>
      <c r="EE13" s="812"/>
      <c r="EF13" s="812"/>
      <c r="EG13" s="812"/>
      <c r="EH13" s="812"/>
      <c r="EI13" s="812"/>
      <c r="EJ13" s="812"/>
      <c r="EK13" s="812"/>
      <c r="EL13" s="812"/>
      <c r="EM13" s="812"/>
      <c r="EN13" s="812"/>
      <c r="EO13" s="812"/>
      <c r="EP13" s="812"/>
      <c r="EQ13" s="812"/>
      <c r="ER13" s="812"/>
      <c r="ES13" s="812"/>
      <c r="ET13" s="812"/>
      <c r="EU13" s="812"/>
      <c r="EV13" s="812"/>
      <c r="EW13" s="812"/>
      <c r="EX13" s="812"/>
      <c r="EY13" s="812"/>
      <c r="EZ13" s="812"/>
      <c r="FA13" s="812"/>
      <c r="FB13" s="812"/>
      <c r="FC13" s="812"/>
      <c r="FD13" s="812"/>
      <c r="FE13" s="812"/>
      <c r="FF13" s="812"/>
      <c r="FG13" s="812"/>
      <c r="FH13" s="812"/>
      <c r="FI13" s="812"/>
      <c r="FJ13" s="812"/>
      <c r="FK13" s="812"/>
      <c r="FL13" s="812"/>
      <c r="FM13" s="812"/>
      <c r="FN13" s="812"/>
      <c r="FO13" s="812"/>
      <c r="FP13" s="812"/>
      <c r="FQ13" s="812"/>
      <c r="FR13" s="812"/>
      <c r="FS13" s="812"/>
      <c r="FT13" s="812"/>
      <c r="FU13" s="812"/>
      <c r="FV13" s="812"/>
      <c r="FW13" s="812"/>
      <c r="FX13" s="812"/>
      <c r="FY13" s="812"/>
      <c r="FZ13" s="812"/>
      <c r="GA13" s="812"/>
      <c r="GB13" s="812"/>
      <c r="GC13" s="812"/>
      <c r="GD13" s="812"/>
      <c r="GE13" s="812"/>
      <c r="GF13" s="812"/>
      <c r="GG13" s="812"/>
      <c r="GH13" s="812"/>
      <c r="GI13" s="812"/>
      <c r="GJ13" s="812"/>
      <c r="GK13" s="812"/>
      <c r="GL13" s="812"/>
      <c r="GM13" s="812"/>
      <c r="GN13" s="812"/>
      <c r="GO13" s="812"/>
      <c r="GP13" s="812"/>
      <c r="GQ13" s="812"/>
      <c r="GR13" s="812"/>
      <c r="GS13" s="812"/>
      <c r="GT13" s="812"/>
      <c r="GU13" s="812"/>
      <c r="GV13" s="812"/>
      <c r="GW13" s="812"/>
      <c r="GX13" s="812"/>
      <c r="GY13" s="812"/>
      <c r="GZ13" s="812"/>
      <c r="HA13" s="812"/>
      <c r="HB13" s="812"/>
      <c r="HC13" s="812"/>
      <c r="HD13" s="812"/>
      <c r="HE13" s="812"/>
      <c r="HF13" s="812"/>
      <c r="HG13" s="812"/>
      <c r="HH13" s="812"/>
      <c r="HI13" s="812"/>
      <c r="HJ13" s="812"/>
      <c r="HK13" s="812"/>
      <c r="HL13" s="812"/>
      <c r="HM13" s="812"/>
      <c r="HN13" s="812"/>
      <c r="HO13" s="812"/>
      <c r="HP13" s="812"/>
      <c r="HQ13" s="812"/>
      <c r="HR13" s="812"/>
      <c r="HS13" s="812"/>
      <c r="HT13" s="812"/>
      <c r="HU13" s="812"/>
      <c r="HV13" s="812"/>
      <c r="HW13" s="812"/>
      <c r="HX13" s="812"/>
      <c r="HY13" s="812"/>
      <c r="HZ13" s="812"/>
      <c r="IA13" s="812"/>
      <c r="IB13" s="812"/>
      <c r="IC13" s="812"/>
      <c r="ID13" s="812"/>
      <c r="IE13" s="812"/>
      <c r="IF13" s="812"/>
      <c r="IG13" s="812"/>
      <c r="IH13" s="812"/>
      <c r="II13" s="812"/>
      <c r="IJ13" s="812"/>
      <c r="IK13" s="812"/>
      <c r="IL13" s="812"/>
      <c r="IM13" s="812"/>
      <c r="IN13" s="812"/>
      <c r="IO13" s="812"/>
      <c r="IP13" s="812"/>
      <c r="IQ13" s="812"/>
      <c r="IR13" s="812"/>
      <c r="IS13" s="812"/>
      <c r="IT13" s="812"/>
      <c r="IU13" s="812"/>
    </row>
    <row r="14" spans="1:255" s="813" customFormat="1" ht="15" customHeight="1" x14ac:dyDescent="0.25">
      <c r="A14" s="819">
        <v>43945</v>
      </c>
      <c r="B14" s="798" t="s">
        <v>4003</v>
      </c>
      <c r="C14" s="799">
        <v>1114356343</v>
      </c>
      <c r="D14" s="800">
        <f t="shared" si="2"/>
        <v>43950</v>
      </c>
      <c r="E14" s="801">
        <f t="shared" si="0"/>
        <v>0</v>
      </c>
      <c r="F14" s="820">
        <v>1114356343</v>
      </c>
      <c r="G14" s="821">
        <v>43950</v>
      </c>
      <c r="H14" s="816"/>
      <c r="I14" s="816"/>
      <c r="J14" s="816"/>
      <c r="K14" s="816"/>
      <c r="L14" s="805">
        <f t="shared" si="1"/>
        <v>0</v>
      </c>
      <c r="M14" s="815">
        <f t="shared" si="3"/>
        <v>18263062.288055558</v>
      </c>
      <c r="N14" s="816"/>
      <c r="O14" s="816"/>
      <c r="P14" s="820">
        <v>2127802</v>
      </c>
      <c r="Q14" s="821">
        <v>43950</v>
      </c>
      <c r="R14" s="816"/>
      <c r="S14" s="806"/>
      <c r="T14" s="808"/>
      <c r="U14" s="809"/>
      <c r="V14" s="809"/>
      <c r="W14" s="810"/>
      <c r="X14" s="818"/>
      <c r="Y14" s="812"/>
      <c r="Z14" s="812"/>
      <c r="AA14" s="812"/>
      <c r="AB14" s="812"/>
      <c r="AC14" s="812"/>
      <c r="AD14" s="812"/>
      <c r="AE14" s="812"/>
      <c r="AF14" s="812"/>
      <c r="AG14" s="812"/>
      <c r="AH14" s="812"/>
      <c r="AI14" s="812"/>
      <c r="AJ14" s="812"/>
      <c r="AK14" s="812"/>
      <c r="AL14" s="812"/>
      <c r="AM14" s="812"/>
      <c r="AN14" s="812"/>
      <c r="AO14" s="812"/>
      <c r="AP14" s="812"/>
      <c r="AQ14" s="812"/>
      <c r="AR14" s="812"/>
      <c r="AS14" s="812"/>
      <c r="AT14" s="812"/>
      <c r="AU14" s="812"/>
      <c r="AV14" s="812"/>
      <c r="AW14" s="812"/>
      <c r="AX14" s="812"/>
      <c r="AY14" s="812"/>
      <c r="AZ14" s="812"/>
      <c r="BA14" s="812"/>
      <c r="BB14" s="812"/>
      <c r="BC14" s="812"/>
      <c r="BD14" s="812"/>
      <c r="BE14" s="812"/>
      <c r="BF14" s="812"/>
      <c r="BG14" s="812"/>
      <c r="BH14" s="812"/>
      <c r="BI14" s="812"/>
      <c r="BJ14" s="812"/>
      <c r="BK14" s="812"/>
      <c r="BL14" s="812"/>
      <c r="BM14" s="812"/>
      <c r="BN14" s="812"/>
      <c r="BO14" s="812"/>
      <c r="BP14" s="812"/>
      <c r="BQ14" s="812"/>
      <c r="BR14" s="812"/>
      <c r="BS14" s="812"/>
      <c r="BT14" s="812"/>
      <c r="BU14" s="812"/>
      <c r="BV14" s="812"/>
      <c r="BW14" s="812"/>
      <c r="BX14" s="812"/>
      <c r="BY14" s="812"/>
      <c r="BZ14" s="812"/>
      <c r="CA14" s="812"/>
      <c r="CB14" s="812"/>
      <c r="CC14" s="812"/>
      <c r="CD14" s="812"/>
      <c r="CE14" s="812"/>
      <c r="CF14" s="812"/>
      <c r="CG14" s="812"/>
      <c r="CH14" s="812"/>
      <c r="CI14" s="812"/>
      <c r="CJ14" s="812"/>
      <c r="CK14" s="812"/>
      <c r="CL14" s="812"/>
      <c r="CM14" s="812"/>
      <c r="CN14" s="812"/>
      <c r="CO14" s="812"/>
      <c r="CP14" s="812"/>
      <c r="CQ14" s="812"/>
      <c r="CR14" s="812"/>
      <c r="CS14" s="812"/>
      <c r="CT14" s="812"/>
      <c r="CU14" s="812"/>
      <c r="CV14" s="812"/>
      <c r="CW14" s="812"/>
      <c r="CX14" s="812"/>
      <c r="CY14" s="812"/>
      <c r="CZ14" s="812"/>
      <c r="DA14" s="812"/>
      <c r="DB14" s="812"/>
      <c r="DC14" s="812"/>
      <c r="DD14" s="812"/>
      <c r="DE14" s="812"/>
      <c r="DF14" s="812"/>
      <c r="DG14" s="812"/>
      <c r="DH14" s="812"/>
      <c r="DI14" s="812"/>
      <c r="DJ14" s="812"/>
      <c r="DK14" s="812"/>
      <c r="DL14" s="812"/>
      <c r="DM14" s="812"/>
      <c r="DN14" s="812"/>
      <c r="DO14" s="812"/>
      <c r="DP14" s="812"/>
      <c r="DQ14" s="812"/>
      <c r="DR14" s="812"/>
      <c r="DS14" s="812"/>
      <c r="DT14" s="812"/>
      <c r="DU14" s="812"/>
      <c r="DV14" s="812"/>
      <c r="DW14" s="812"/>
      <c r="DX14" s="812"/>
      <c r="DY14" s="812"/>
      <c r="DZ14" s="812"/>
      <c r="EA14" s="812"/>
      <c r="EB14" s="812"/>
      <c r="EC14" s="812"/>
      <c r="ED14" s="812"/>
      <c r="EE14" s="812"/>
      <c r="EF14" s="812"/>
      <c r="EG14" s="812"/>
      <c r="EH14" s="812"/>
      <c r="EI14" s="812"/>
      <c r="EJ14" s="812"/>
      <c r="EK14" s="812"/>
      <c r="EL14" s="812"/>
      <c r="EM14" s="812"/>
      <c r="EN14" s="812"/>
      <c r="EO14" s="812"/>
      <c r="EP14" s="812"/>
      <c r="EQ14" s="812"/>
      <c r="ER14" s="812"/>
      <c r="ES14" s="812"/>
      <c r="ET14" s="812"/>
      <c r="EU14" s="812"/>
      <c r="EV14" s="812"/>
      <c r="EW14" s="812"/>
      <c r="EX14" s="812"/>
      <c r="EY14" s="812"/>
      <c r="EZ14" s="812"/>
      <c r="FA14" s="812"/>
      <c r="FB14" s="812"/>
      <c r="FC14" s="812"/>
      <c r="FD14" s="812"/>
      <c r="FE14" s="812"/>
      <c r="FF14" s="812"/>
      <c r="FG14" s="812"/>
      <c r="FH14" s="812"/>
      <c r="FI14" s="812"/>
      <c r="FJ14" s="812"/>
      <c r="FK14" s="812"/>
      <c r="FL14" s="812"/>
      <c r="FM14" s="812"/>
      <c r="FN14" s="812"/>
      <c r="FO14" s="812"/>
      <c r="FP14" s="812"/>
      <c r="FQ14" s="812"/>
      <c r="FR14" s="812"/>
      <c r="FS14" s="812"/>
      <c r="FT14" s="812"/>
      <c r="FU14" s="812"/>
      <c r="FV14" s="812"/>
      <c r="FW14" s="812"/>
      <c r="FX14" s="812"/>
      <c r="FY14" s="812"/>
      <c r="FZ14" s="812"/>
      <c r="GA14" s="812"/>
      <c r="GB14" s="812"/>
      <c r="GC14" s="812"/>
      <c r="GD14" s="812"/>
      <c r="GE14" s="812"/>
      <c r="GF14" s="812"/>
      <c r="GG14" s="812"/>
      <c r="GH14" s="812"/>
      <c r="GI14" s="812"/>
      <c r="GJ14" s="812"/>
      <c r="GK14" s="812"/>
      <c r="GL14" s="812"/>
      <c r="GM14" s="812"/>
      <c r="GN14" s="812"/>
      <c r="GO14" s="812"/>
      <c r="GP14" s="812"/>
      <c r="GQ14" s="812"/>
      <c r="GR14" s="812"/>
      <c r="GS14" s="812"/>
      <c r="GT14" s="812"/>
      <c r="GU14" s="812"/>
      <c r="GV14" s="812"/>
      <c r="GW14" s="812"/>
      <c r="GX14" s="812"/>
      <c r="GY14" s="812"/>
      <c r="GZ14" s="812"/>
      <c r="HA14" s="812"/>
      <c r="HB14" s="812"/>
      <c r="HC14" s="812"/>
      <c r="HD14" s="812"/>
      <c r="HE14" s="812"/>
      <c r="HF14" s="812"/>
      <c r="HG14" s="812"/>
      <c r="HH14" s="812"/>
      <c r="HI14" s="812"/>
      <c r="HJ14" s="812"/>
      <c r="HK14" s="812"/>
      <c r="HL14" s="812"/>
      <c r="HM14" s="812"/>
      <c r="HN14" s="812"/>
      <c r="HO14" s="812"/>
      <c r="HP14" s="812"/>
      <c r="HQ14" s="812"/>
      <c r="HR14" s="812"/>
      <c r="HS14" s="812"/>
      <c r="HT14" s="812"/>
      <c r="HU14" s="812"/>
      <c r="HV14" s="812"/>
      <c r="HW14" s="812"/>
      <c r="HX14" s="812"/>
      <c r="HY14" s="812"/>
      <c r="HZ14" s="812"/>
      <c r="IA14" s="812"/>
      <c r="IB14" s="812"/>
      <c r="IC14" s="812"/>
      <c r="ID14" s="812"/>
      <c r="IE14" s="812"/>
      <c r="IF14" s="812"/>
      <c r="IG14" s="812"/>
      <c r="IH14" s="812"/>
      <c r="II14" s="812"/>
      <c r="IJ14" s="812"/>
      <c r="IK14" s="812"/>
      <c r="IL14" s="812"/>
      <c r="IM14" s="812"/>
      <c r="IN14" s="812"/>
      <c r="IO14" s="812"/>
      <c r="IP14" s="812"/>
      <c r="IQ14" s="812"/>
      <c r="IR14" s="812"/>
      <c r="IS14" s="812"/>
      <c r="IT14" s="812"/>
      <c r="IU14" s="812"/>
    </row>
    <row r="15" spans="1:255" s="813" customFormat="1" ht="15" customHeight="1" x14ac:dyDescent="0.25">
      <c r="A15" s="819">
        <v>43950</v>
      </c>
      <c r="B15" s="822" t="s">
        <v>4003</v>
      </c>
      <c r="C15" s="820">
        <v>588217903</v>
      </c>
      <c r="D15" s="800">
        <f t="shared" si="2"/>
        <v>43955</v>
      </c>
      <c r="E15" s="822">
        <f t="shared" si="0"/>
        <v>0</v>
      </c>
      <c r="F15" s="820">
        <v>588217903</v>
      </c>
      <c r="G15" s="821">
        <v>43955</v>
      </c>
      <c r="H15" s="816"/>
      <c r="I15" s="816"/>
      <c r="J15" s="816"/>
      <c r="K15" s="816"/>
      <c r="L15" s="816">
        <f t="shared" si="1"/>
        <v>0</v>
      </c>
      <c r="M15" s="815">
        <f t="shared" si="3"/>
        <v>9640237.8547222223</v>
      </c>
      <c r="N15" s="816"/>
      <c r="O15" s="816"/>
      <c r="P15" s="820">
        <v>1123169</v>
      </c>
      <c r="Q15" s="821">
        <v>43955</v>
      </c>
      <c r="R15" s="816"/>
      <c r="S15" s="806"/>
      <c r="T15" s="808"/>
      <c r="U15" s="809"/>
      <c r="V15" s="809"/>
      <c r="W15" s="810"/>
      <c r="X15" s="818"/>
      <c r="Y15" s="812"/>
      <c r="Z15" s="812"/>
      <c r="AA15" s="812"/>
      <c r="AB15" s="812"/>
      <c r="AC15" s="812"/>
      <c r="AD15" s="812"/>
      <c r="AE15" s="812"/>
      <c r="AF15" s="812"/>
      <c r="AG15" s="812"/>
      <c r="AH15" s="812"/>
      <c r="AI15" s="812"/>
      <c r="AJ15" s="812"/>
      <c r="AK15" s="812"/>
      <c r="AL15" s="812"/>
      <c r="AM15" s="812"/>
      <c r="AN15" s="812"/>
      <c r="AO15" s="812"/>
      <c r="AP15" s="812"/>
      <c r="AQ15" s="812"/>
      <c r="AR15" s="812"/>
      <c r="AS15" s="812"/>
      <c r="AT15" s="812"/>
      <c r="AU15" s="812"/>
      <c r="AV15" s="812"/>
      <c r="AW15" s="812"/>
      <c r="AX15" s="812"/>
      <c r="AY15" s="812"/>
      <c r="AZ15" s="812"/>
      <c r="BA15" s="812"/>
      <c r="BB15" s="812"/>
      <c r="BC15" s="812"/>
      <c r="BD15" s="812"/>
      <c r="BE15" s="812"/>
      <c r="BF15" s="812"/>
      <c r="BG15" s="812"/>
      <c r="BH15" s="812"/>
      <c r="BI15" s="812"/>
      <c r="BJ15" s="812"/>
      <c r="BK15" s="812"/>
      <c r="BL15" s="812"/>
      <c r="BM15" s="812"/>
      <c r="BN15" s="812"/>
      <c r="BO15" s="812"/>
      <c r="BP15" s="812"/>
      <c r="BQ15" s="812"/>
      <c r="BR15" s="812"/>
      <c r="BS15" s="812"/>
      <c r="BT15" s="812"/>
      <c r="BU15" s="812"/>
      <c r="BV15" s="812"/>
      <c r="BW15" s="812"/>
      <c r="BX15" s="812"/>
      <c r="BY15" s="812"/>
      <c r="BZ15" s="812"/>
      <c r="CA15" s="812"/>
      <c r="CB15" s="812"/>
      <c r="CC15" s="812"/>
      <c r="CD15" s="812"/>
      <c r="CE15" s="812"/>
      <c r="CF15" s="812"/>
      <c r="CG15" s="812"/>
      <c r="CH15" s="812"/>
      <c r="CI15" s="812"/>
      <c r="CJ15" s="812"/>
      <c r="CK15" s="812"/>
      <c r="CL15" s="812"/>
      <c r="CM15" s="812"/>
      <c r="CN15" s="812"/>
      <c r="CO15" s="812"/>
      <c r="CP15" s="812"/>
      <c r="CQ15" s="812"/>
      <c r="CR15" s="812"/>
      <c r="CS15" s="812"/>
      <c r="CT15" s="812"/>
      <c r="CU15" s="812"/>
      <c r="CV15" s="812"/>
      <c r="CW15" s="812"/>
      <c r="CX15" s="812"/>
      <c r="CY15" s="812"/>
      <c r="CZ15" s="812"/>
      <c r="DA15" s="812"/>
      <c r="DB15" s="812"/>
      <c r="DC15" s="812"/>
      <c r="DD15" s="812"/>
      <c r="DE15" s="812"/>
      <c r="DF15" s="812"/>
      <c r="DG15" s="812"/>
      <c r="DH15" s="812"/>
      <c r="DI15" s="812"/>
      <c r="DJ15" s="812"/>
      <c r="DK15" s="812"/>
      <c r="DL15" s="812"/>
      <c r="DM15" s="812"/>
      <c r="DN15" s="812"/>
      <c r="DO15" s="812"/>
      <c r="DP15" s="812"/>
      <c r="DQ15" s="812"/>
      <c r="DR15" s="812"/>
      <c r="DS15" s="812"/>
      <c r="DT15" s="812"/>
      <c r="DU15" s="812"/>
      <c r="DV15" s="812"/>
      <c r="DW15" s="812"/>
      <c r="DX15" s="812"/>
      <c r="DY15" s="812"/>
      <c r="DZ15" s="812"/>
      <c r="EA15" s="812"/>
      <c r="EB15" s="812"/>
      <c r="EC15" s="812"/>
      <c r="ED15" s="812"/>
      <c r="EE15" s="812"/>
      <c r="EF15" s="812"/>
      <c r="EG15" s="812"/>
      <c r="EH15" s="812"/>
      <c r="EI15" s="812"/>
      <c r="EJ15" s="812"/>
      <c r="EK15" s="812"/>
      <c r="EL15" s="812"/>
      <c r="EM15" s="812"/>
      <c r="EN15" s="812"/>
      <c r="EO15" s="812"/>
      <c r="EP15" s="812"/>
      <c r="EQ15" s="812"/>
      <c r="ER15" s="812"/>
      <c r="ES15" s="812"/>
      <c r="ET15" s="812"/>
      <c r="EU15" s="812"/>
      <c r="EV15" s="812"/>
      <c r="EW15" s="812"/>
      <c r="EX15" s="812"/>
      <c r="EY15" s="812"/>
      <c r="EZ15" s="812"/>
      <c r="FA15" s="812"/>
      <c r="FB15" s="812"/>
      <c r="FC15" s="812"/>
      <c r="FD15" s="812"/>
      <c r="FE15" s="812"/>
      <c r="FF15" s="812"/>
      <c r="FG15" s="812"/>
      <c r="FH15" s="812"/>
      <c r="FI15" s="812"/>
      <c r="FJ15" s="812"/>
      <c r="FK15" s="812"/>
      <c r="FL15" s="812"/>
      <c r="FM15" s="812"/>
      <c r="FN15" s="812"/>
      <c r="FO15" s="812"/>
      <c r="FP15" s="812"/>
      <c r="FQ15" s="812"/>
      <c r="FR15" s="812"/>
      <c r="FS15" s="812"/>
      <c r="FT15" s="812"/>
      <c r="FU15" s="812"/>
      <c r="FV15" s="812"/>
      <c r="FW15" s="812"/>
      <c r="FX15" s="812"/>
      <c r="FY15" s="812"/>
      <c r="FZ15" s="812"/>
      <c r="GA15" s="812"/>
      <c r="GB15" s="812"/>
      <c r="GC15" s="812"/>
      <c r="GD15" s="812"/>
      <c r="GE15" s="812"/>
      <c r="GF15" s="812"/>
      <c r="GG15" s="812"/>
      <c r="GH15" s="812"/>
      <c r="GI15" s="812"/>
      <c r="GJ15" s="812"/>
      <c r="GK15" s="812"/>
      <c r="GL15" s="812"/>
      <c r="GM15" s="812"/>
      <c r="GN15" s="812"/>
      <c r="GO15" s="812"/>
      <c r="GP15" s="812"/>
      <c r="GQ15" s="812"/>
      <c r="GR15" s="812"/>
      <c r="GS15" s="812"/>
      <c r="GT15" s="812"/>
      <c r="GU15" s="812"/>
      <c r="GV15" s="812"/>
      <c r="GW15" s="812"/>
      <c r="GX15" s="812"/>
      <c r="GY15" s="812"/>
      <c r="GZ15" s="812"/>
      <c r="HA15" s="812"/>
      <c r="HB15" s="812"/>
      <c r="HC15" s="812"/>
      <c r="HD15" s="812"/>
      <c r="HE15" s="812"/>
      <c r="HF15" s="812"/>
      <c r="HG15" s="812"/>
      <c r="HH15" s="812"/>
      <c r="HI15" s="812"/>
      <c r="HJ15" s="812"/>
      <c r="HK15" s="812"/>
      <c r="HL15" s="812"/>
      <c r="HM15" s="812"/>
      <c r="HN15" s="812"/>
      <c r="HO15" s="812"/>
      <c r="HP15" s="812"/>
      <c r="HQ15" s="812"/>
      <c r="HR15" s="812"/>
      <c r="HS15" s="812"/>
      <c r="HT15" s="812"/>
      <c r="HU15" s="812"/>
      <c r="HV15" s="812"/>
      <c r="HW15" s="812"/>
      <c r="HX15" s="812"/>
      <c r="HY15" s="812"/>
      <c r="HZ15" s="812"/>
      <c r="IA15" s="812"/>
      <c r="IB15" s="812"/>
      <c r="IC15" s="812"/>
      <c r="ID15" s="812"/>
      <c r="IE15" s="812"/>
      <c r="IF15" s="812"/>
      <c r="IG15" s="812"/>
      <c r="IH15" s="812"/>
      <c r="II15" s="812"/>
      <c r="IJ15" s="812"/>
      <c r="IK15" s="812"/>
      <c r="IL15" s="812"/>
      <c r="IM15" s="812"/>
      <c r="IN15" s="812"/>
      <c r="IO15" s="812"/>
      <c r="IP15" s="812"/>
      <c r="IQ15" s="812"/>
      <c r="IR15" s="812"/>
      <c r="IS15" s="812"/>
      <c r="IT15" s="812"/>
      <c r="IU15" s="812"/>
    </row>
    <row r="16" spans="1:255" s="813" customFormat="1" ht="15" customHeight="1" x14ac:dyDescent="0.25">
      <c r="A16" s="819">
        <v>43955</v>
      </c>
      <c r="B16" s="822" t="s">
        <v>4003</v>
      </c>
      <c r="C16" s="823">
        <v>567077065</v>
      </c>
      <c r="D16" s="800">
        <f t="shared" si="2"/>
        <v>43960</v>
      </c>
      <c r="E16" s="822">
        <f t="shared" si="0"/>
        <v>1</v>
      </c>
      <c r="F16" s="820">
        <v>567077065</v>
      </c>
      <c r="G16" s="821">
        <v>43959</v>
      </c>
      <c r="H16" s="816"/>
      <c r="I16" s="816"/>
      <c r="J16" s="816"/>
      <c r="K16" s="816"/>
      <c r="L16" s="820">
        <f t="shared" si="1"/>
        <v>0</v>
      </c>
      <c r="M16" s="815">
        <f t="shared" si="3"/>
        <v>9293763.0097222235</v>
      </c>
      <c r="N16" s="816"/>
      <c r="O16" s="816"/>
      <c r="P16" s="820">
        <v>508479</v>
      </c>
      <c r="Q16" s="821">
        <v>43959</v>
      </c>
      <c r="R16" s="816"/>
      <c r="S16" s="806"/>
      <c r="T16" s="808"/>
      <c r="U16" s="809"/>
      <c r="V16" s="809"/>
      <c r="W16" s="810"/>
      <c r="X16" s="818"/>
      <c r="Y16" s="812"/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  <c r="BB16" s="812"/>
      <c r="BC16" s="812"/>
      <c r="BD16" s="812"/>
      <c r="BE16" s="812"/>
      <c r="BF16" s="812"/>
      <c r="BG16" s="812"/>
      <c r="BH16" s="812"/>
      <c r="BI16" s="812"/>
      <c r="BJ16" s="812"/>
      <c r="BK16" s="812"/>
      <c r="BL16" s="812"/>
      <c r="BM16" s="812"/>
      <c r="BN16" s="812"/>
      <c r="BO16" s="812"/>
      <c r="BP16" s="812"/>
      <c r="BQ16" s="812"/>
      <c r="BR16" s="812"/>
      <c r="BS16" s="812"/>
      <c r="BT16" s="812"/>
      <c r="BU16" s="812"/>
      <c r="BV16" s="812"/>
      <c r="BW16" s="812"/>
      <c r="BX16" s="812"/>
      <c r="BY16" s="812"/>
      <c r="BZ16" s="812"/>
      <c r="CA16" s="812"/>
      <c r="CB16" s="812"/>
      <c r="CC16" s="812"/>
      <c r="CD16" s="812"/>
      <c r="CE16" s="812"/>
      <c r="CF16" s="812"/>
      <c r="CG16" s="812"/>
      <c r="CH16" s="812"/>
      <c r="CI16" s="812"/>
      <c r="CJ16" s="812"/>
      <c r="CK16" s="812"/>
      <c r="CL16" s="812"/>
      <c r="CM16" s="812"/>
      <c r="CN16" s="812"/>
      <c r="CO16" s="812"/>
      <c r="CP16" s="812"/>
      <c r="CQ16" s="812"/>
      <c r="CR16" s="812"/>
      <c r="CS16" s="812"/>
      <c r="CT16" s="812"/>
      <c r="CU16" s="812"/>
      <c r="CV16" s="812"/>
      <c r="CW16" s="812"/>
      <c r="CX16" s="812"/>
      <c r="CY16" s="812"/>
      <c r="CZ16" s="812"/>
      <c r="DA16" s="812"/>
      <c r="DB16" s="812"/>
      <c r="DC16" s="812"/>
      <c r="DD16" s="812"/>
      <c r="DE16" s="812"/>
      <c r="DF16" s="812"/>
      <c r="DG16" s="812"/>
      <c r="DH16" s="812"/>
      <c r="DI16" s="812"/>
      <c r="DJ16" s="812"/>
      <c r="DK16" s="812"/>
      <c r="DL16" s="812"/>
      <c r="DM16" s="812"/>
      <c r="DN16" s="812"/>
      <c r="DO16" s="812"/>
      <c r="DP16" s="812"/>
      <c r="DQ16" s="812"/>
      <c r="DR16" s="812"/>
      <c r="DS16" s="812"/>
      <c r="DT16" s="812"/>
      <c r="DU16" s="812"/>
      <c r="DV16" s="812"/>
      <c r="DW16" s="812"/>
      <c r="DX16" s="812"/>
      <c r="DY16" s="812"/>
      <c r="DZ16" s="812"/>
      <c r="EA16" s="812"/>
      <c r="EB16" s="812"/>
      <c r="EC16" s="812"/>
      <c r="ED16" s="812"/>
      <c r="EE16" s="812"/>
      <c r="EF16" s="812"/>
      <c r="EG16" s="812"/>
      <c r="EH16" s="812"/>
      <c r="EI16" s="812"/>
      <c r="EJ16" s="812"/>
      <c r="EK16" s="812"/>
      <c r="EL16" s="812"/>
      <c r="EM16" s="812"/>
      <c r="EN16" s="812"/>
      <c r="EO16" s="812"/>
      <c r="EP16" s="812"/>
      <c r="EQ16" s="812"/>
      <c r="ER16" s="812"/>
      <c r="ES16" s="812"/>
      <c r="ET16" s="812"/>
      <c r="EU16" s="812"/>
      <c r="EV16" s="812"/>
      <c r="EW16" s="812"/>
      <c r="EX16" s="812"/>
      <c r="EY16" s="812"/>
      <c r="EZ16" s="812"/>
      <c r="FA16" s="812"/>
      <c r="FB16" s="812"/>
      <c r="FC16" s="812"/>
      <c r="FD16" s="812"/>
      <c r="FE16" s="812"/>
      <c r="FF16" s="812"/>
      <c r="FG16" s="812"/>
      <c r="FH16" s="812"/>
      <c r="FI16" s="812"/>
      <c r="FJ16" s="812"/>
      <c r="FK16" s="812"/>
      <c r="FL16" s="812"/>
      <c r="FM16" s="812"/>
      <c r="FN16" s="812"/>
      <c r="FO16" s="812"/>
      <c r="FP16" s="812"/>
      <c r="FQ16" s="812"/>
      <c r="FR16" s="812"/>
      <c r="FS16" s="812"/>
      <c r="FT16" s="812"/>
      <c r="FU16" s="812"/>
      <c r="FV16" s="812"/>
      <c r="FW16" s="812"/>
      <c r="FX16" s="812"/>
      <c r="FY16" s="812"/>
      <c r="FZ16" s="812"/>
      <c r="GA16" s="812"/>
      <c r="GB16" s="812"/>
      <c r="GC16" s="812"/>
      <c r="GD16" s="812"/>
      <c r="GE16" s="812"/>
      <c r="GF16" s="812"/>
      <c r="GG16" s="812"/>
      <c r="GH16" s="812"/>
      <c r="GI16" s="812"/>
      <c r="GJ16" s="812"/>
      <c r="GK16" s="812"/>
      <c r="GL16" s="812"/>
      <c r="GM16" s="812"/>
      <c r="GN16" s="812"/>
      <c r="GO16" s="812"/>
      <c r="GP16" s="812"/>
      <c r="GQ16" s="812"/>
      <c r="GR16" s="812"/>
      <c r="GS16" s="812"/>
      <c r="GT16" s="812"/>
      <c r="GU16" s="812"/>
      <c r="GV16" s="812"/>
      <c r="GW16" s="812"/>
      <c r="GX16" s="812"/>
      <c r="GY16" s="812"/>
      <c r="GZ16" s="812"/>
      <c r="HA16" s="812"/>
      <c r="HB16" s="812"/>
      <c r="HC16" s="812"/>
      <c r="HD16" s="812"/>
      <c r="HE16" s="812"/>
      <c r="HF16" s="812"/>
      <c r="HG16" s="812"/>
      <c r="HH16" s="812"/>
      <c r="HI16" s="812"/>
      <c r="HJ16" s="812"/>
      <c r="HK16" s="812"/>
      <c r="HL16" s="812"/>
      <c r="HM16" s="812"/>
      <c r="HN16" s="812"/>
      <c r="HO16" s="812"/>
      <c r="HP16" s="812"/>
      <c r="HQ16" s="812"/>
      <c r="HR16" s="812"/>
      <c r="HS16" s="812"/>
      <c r="HT16" s="812"/>
      <c r="HU16" s="812"/>
      <c r="HV16" s="812"/>
      <c r="HW16" s="812"/>
      <c r="HX16" s="812"/>
      <c r="HY16" s="812"/>
      <c r="HZ16" s="812"/>
      <c r="IA16" s="812"/>
      <c r="IB16" s="812"/>
      <c r="IC16" s="812"/>
      <c r="ID16" s="812"/>
      <c r="IE16" s="812"/>
      <c r="IF16" s="812"/>
      <c r="IG16" s="812"/>
      <c r="IH16" s="812"/>
      <c r="II16" s="812"/>
      <c r="IJ16" s="812"/>
      <c r="IK16" s="812"/>
      <c r="IL16" s="812"/>
      <c r="IM16" s="812"/>
      <c r="IN16" s="812"/>
      <c r="IO16" s="812"/>
      <c r="IP16" s="812"/>
      <c r="IQ16" s="812"/>
      <c r="IR16" s="812"/>
      <c r="IS16" s="812"/>
      <c r="IT16" s="812"/>
      <c r="IU16" s="812"/>
    </row>
    <row r="17" spans="1:255" s="813" customFormat="1" ht="15" customHeight="1" x14ac:dyDescent="0.25">
      <c r="A17" s="819">
        <v>43957</v>
      </c>
      <c r="B17" s="822" t="s">
        <v>4003</v>
      </c>
      <c r="C17" s="823">
        <f>SUM('[4]ROLL OVER ITF'!$M$65:$M$69)</f>
        <v>743459715</v>
      </c>
      <c r="D17" s="800">
        <f t="shared" si="2"/>
        <v>43962</v>
      </c>
      <c r="E17" s="822">
        <f t="shared" si="0"/>
        <v>0</v>
      </c>
      <c r="F17" s="820">
        <v>743459715</v>
      </c>
      <c r="G17" s="821">
        <v>43962</v>
      </c>
      <c r="H17" s="816"/>
      <c r="I17" s="816"/>
      <c r="J17" s="816"/>
      <c r="K17" s="816"/>
      <c r="L17" s="816"/>
      <c r="M17" s="815">
        <f t="shared" si="3"/>
        <v>12184478.662500001</v>
      </c>
      <c r="N17" s="816"/>
      <c r="O17" s="816"/>
      <c r="P17" s="820">
        <v>1166612</v>
      </c>
      <c r="Q17" s="821">
        <v>43962</v>
      </c>
      <c r="R17" s="816"/>
      <c r="S17" s="806"/>
      <c r="T17" s="808"/>
      <c r="U17" s="809"/>
      <c r="V17" s="809"/>
      <c r="W17" s="810"/>
      <c r="X17" s="818"/>
      <c r="Y17" s="812"/>
      <c r="Z17" s="812"/>
      <c r="AA17" s="812"/>
      <c r="AB17" s="812"/>
      <c r="AC17" s="812"/>
      <c r="AD17" s="812"/>
      <c r="AE17" s="812"/>
      <c r="AF17" s="812"/>
      <c r="AG17" s="812"/>
      <c r="AH17" s="812"/>
      <c r="AI17" s="812"/>
      <c r="AJ17" s="812"/>
      <c r="AK17" s="812"/>
      <c r="AL17" s="812"/>
      <c r="AM17" s="812"/>
      <c r="AN17" s="812"/>
      <c r="AO17" s="812"/>
      <c r="AP17" s="812"/>
      <c r="AQ17" s="812"/>
      <c r="AR17" s="812"/>
      <c r="AS17" s="812"/>
      <c r="AT17" s="812"/>
      <c r="AU17" s="812"/>
      <c r="AV17" s="812"/>
      <c r="AW17" s="812"/>
      <c r="AX17" s="812"/>
      <c r="AY17" s="812"/>
      <c r="AZ17" s="812"/>
      <c r="BA17" s="812"/>
      <c r="BB17" s="812"/>
      <c r="BC17" s="812"/>
      <c r="BD17" s="812"/>
      <c r="BE17" s="812"/>
      <c r="BF17" s="812"/>
      <c r="BG17" s="812"/>
      <c r="BH17" s="812"/>
      <c r="BI17" s="812"/>
      <c r="BJ17" s="812"/>
      <c r="BK17" s="812"/>
      <c r="BL17" s="812"/>
      <c r="BM17" s="812"/>
      <c r="BN17" s="812"/>
      <c r="BO17" s="812"/>
      <c r="BP17" s="812"/>
      <c r="BQ17" s="812"/>
      <c r="BR17" s="812"/>
      <c r="BS17" s="812"/>
      <c r="BT17" s="812"/>
      <c r="BU17" s="812"/>
      <c r="BV17" s="812"/>
      <c r="BW17" s="812"/>
      <c r="BX17" s="812"/>
      <c r="BY17" s="812"/>
      <c r="BZ17" s="812"/>
      <c r="CA17" s="812"/>
      <c r="CB17" s="812"/>
      <c r="CC17" s="812"/>
      <c r="CD17" s="812"/>
      <c r="CE17" s="812"/>
      <c r="CF17" s="812"/>
      <c r="CG17" s="812"/>
      <c r="CH17" s="812"/>
      <c r="CI17" s="812"/>
      <c r="CJ17" s="812"/>
      <c r="CK17" s="812"/>
      <c r="CL17" s="812"/>
      <c r="CM17" s="812"/>
      <c r="CN17" s="812"/>
      <c r="CO17" s="812"/>
      <c r="CP17" s="812"/>
      <c r="CQ17" s="812"/>
      <c r="CR17" s="812"/>
      <c r="CS17" s="812"/>
      <c r="CT17" s="812"/>
      <c r="CU17" s="812"/>
      <c r="CV17" s="812"/>
      <c r="CW17" s="812"/>
      <c r="CX17" s="812"/>
      <c r="CY17" s="812"/>
      <c r="CZ17" s="812"/>
      <c r="DA17" s="812"/>
      <c r="DB17" s="812"/>
      <c r="DC17" s="812"/>
      <c r="DD17" s="812"/>
      <c r="DE17" s="812"/>
      <c r="DF17" s="812"/>
      <c r="DG17" s="812"/>
      <c r="DH17" s="812"/>
      <c r="DI17" s="812"/>
      <c r="DJ17" s="812"/>
      <c r="DK17" s="812"/>
      <c r="DL17" s="812"/>
      <c r="DM17" s="812"/>
      <c r="DN17" s="812"/>
      <c r="DO17" s="812"/>
      <c r="DP17" s="812"/>
      <c r="DQ17" s="812"/>
      <c r="DR17" s="812"/>
      <c r="DS17" s="812"/>
      <c r="DT17" s="812"/>
      <c r="DU17" s="812"/>
      <c r="DV17" s="812"/>
      <c r="DW17" s="812"/>
      <c r="DX17" s="812"/>
      <c r="DY17" s="812"/>
      <c r="DZ17" s="812"/>
      <c r="EA17" s="812"/>
      <c r="EB17" s="812"/>
      <c r="EC17" s="812"/>
      <c r="ED17" s="812"/>
      <c r="EE17" s="812"/>
      <c r="EF17" s="812"/>
      <c r="EG17" s="812"/>
      <c r="EH17" s="812"/>
      <c r="EI17" s="812"/>
      <c r="EJ17" s="812"/>
      <c r="EK17" s="812"/>
      <c r="EL17" s="812"/>
      <c r="EM17" s="812"/>
      <c r="EN17" s="812"/>
      <c r="EO17" s="812"/>
      <c r="EP17" s="812"/>
      <c r="EQ17" s="812"/>
      <c r="ER17" s="812"/>
      <c r="ES17" s="812"/>
      <c r="ET17" s="812"/>
      <c r="EU17" s="812"/>
      <c r="EV17" s="812"/>
      <c r="EW17" s="812"/>
      <c r="EX17" s="812"/>
      <c r="EY17" s="812"/>
      <c r="EZ17" s="812"/>
      <c r="FA17" s="812"/>
      <c r="FB17" s="812"/>
      <c r="FC17" s="812"/>
      <c r="FD17" s="812"/>
      <c r="FE17" s="812"/>
      <c r="FF17" s="812"/>
      <c r="FG17" s="812"/>
      <c r="FH17" s="812"/>
      <c r="FI17" s="812"/>
      <c r="FJ17" s="812"/>
      <c r="FK17" s="812"/>
      <c r="FL17" s="812"/>
      <c r="FM17" s="812"/>
      <c r="FN17" s="812"/>
      <c r="FO17" s="812"/>
      <c r="FP17" s="812"/>
      <c r="FQ17" s="812"/>
      <c r="FR17" s="812"/>
      <c r="FS17" s="812"/>
      <c r="FT17" s="812"/>
      <c r="FU17" s="812"/>
      <c r="FV17" s="812"/>
      <c r="FW17" s="812"/>
      <c r="FX17" s="812"/>
      <c r="FY17" s="812"/>
      <c r="FZ17" s="812"/>
      <c r="GA17" s="812"/>
      <c r="GB17" s="812"/>
      <c r="GC17" s="812"/>
      <c r="GD17" s="812"/>
      <c r="GE17" s="812"/>
      <c r="GF17" s="812"/>
      <c r="GG17" s="812"/>
      <c r="GH17" s="812"/>
      <c r="GI17" s="812"/>
      <c r="GJ17" s="812"/>
      <c r="GK17" s="812"/>
      <c r="GL17" s="812"/>
      <c r="GM17" s="812"/>
      <c r="GN17" s="812"/>
      <c r="GO17" s="812"/>
      <c r="GP17" s="812"/>
      <c r="GQ17" s="812"/>
      <c r="GR17" s="812"/>
      <c r="GS17" s="812"/>
      <c r="GT17" s="812"/>
      <c r="GU17" s="812"/>
      <c r="GV17" s="812"/>
      <c r="GW17" s="812"/>
      <c r="GX17" s="812"/>
      <c r="GY17" s="812"/>
      <c r="GZ17" s="812"/>
      <c r="HA17" s="812"/>
      <c r="HB17" s="812"/>
      <c r="HC17" s="812"/>
      <c r="HD17" s="812"/>
      <c r="HE17" s="812"/>
      <c r="HF17" s="812"/>
      <c r="HG17" s="812"/>
      <c r="HH17" s="812"/>
      <c r="HI17" s="812"/>
      <c r="HJ17" s="812"/>
      <c r="HK17" s="812"/>
      <c r="HL17" s="812"/>
      <c r="HM17" s="812"/>
      <c r="HN17" s="812"/>
      <c r="HO17" s="812"/>
      <c r="HP17" s="812"/>
      <c r="HQ17" s="812"/>
      <c r="HR17" s="812"/>
      <c r="HS17" s="812"/>
      <c r="HT17" s="812"/>
      <c r="HU17" s="812"/>
      <c r="HV17" s="812"/>
      <c r="HW17" s="812"/>
      <c r="HX17" s="812"/>
      <c r="HY17" s="812"/>
      <c r="HZ17" s="812"/>
      <c r="IA17" s="812"/>
      <c r="IB17" s="812"/>
      <c r="IC17" s="812"/>
      <c r="ID17" s="812"/>
      <c r="IE17" s="812"/>
      <c r="IF17" s="812"/>
      <c r="IG17" s="812"/>
      <c r="IH17" s="812"/>
      <c r="II17" s="812"/>
      <c r="IJ17" s="812"/>
      <c r="IK17" s="812"/>
      <c r="IL17" s="812"/>
      <c r="IM17" s="812"/>
      <c r="IN17" s="812"/>
      <c r="IO17" s="812"/>
      <c r="IP17" s="812"/>
      <c r="IQ17" s="812"/>
      <c r="IR17" s="812"/>
      <c r="IS17" s="812"/>
      <c r="IT17" s="812"/>
      <c r="IU17" s="812"/>
    </row>
    <row r="18" spans="1:255" s="813" customFormat="1" ht="15" customHeight="1" x14ac:dyDescent="0.25">
      <c r="A18" s="819">
        <v>43959</v>
      </c>
      <c r="B18" s="822" t="s">
        <v>4003</v>
      </c>
      <c r="C18" s="823">
        <f>SUM('[4]ROLL OVER ITF'!$M$70:$M$73)</f>
        <v>542504717</v>
      </c>
      <c r="D18" s="800">
        <f t="shared" si="2"/>
        <v>43964</v>
      </c>
      <c r="E18" s="822">
        <f t="shared" si="0"/>
        <v>0</v>
      </c>
      <c r="F18" s="820">
        <v>542504717</v>
      </c>
      <c r="G18" s="821">
        <v>43964</v>
      </c>
      <c r="H18" s="816"/>
      <c r="I18" s="816"/>
      <c r="J18" s="816"/>
      <c r="K18" s="816"/>
      <c r="L18" s="816"/>
      <c r="M18" s="815">
        <f t="shared" si="3"/>
        <v>8891049.5286111124</v>
      </c>
      <c r="N18" s="816"/>
      <c r="O18" s="816"/>
      <c r="P18" s="820">
        <v>851280</v>
      </c>
      <c r="Q18" s="824">
        <v>43964</v>
      </c>
      <c r="R18" s="816"/>
      <c r="S18" s="806"/>
      <c r="T18" s="808"/>
      <c r="U18" s="809"/>
      <c r="V18" s="809"/>
      <c r="W18" s="810"/>
      <c r="X18" s="811"/>
      <c r="Y18" s="812"/>
      <c r="Z18" s="812"/>
      <c r="AA18" s="812"/>
      <c r="AB18" s="812"/>
      <c r="AC18" s="812"/>
      <c r="AD18" s="812"/>
      <c r="AE18" s="812"/>
      <c r="AF18" s="812"/>
      <c r="AG18" s="812"/>
      <c r="AH18" s="812"/>
      <c r="AI18" s="812"/>
      <c r="AJ18" s="812"/>
      <c r="AK18" s="812"/>
      <c r="AL18" s="812"/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2"/>
      <c r="BB18" s="812"/>
      <c r="BC18" s="812"/>
      <c r="BD18" s="812"/>
      <c r="BE18" s="812"/>
      <c r="BF18" s="812"/>
      <c r="BG18" s="812"/>
      <c r="BH18" s="812"/>
      <c r="BI18" s="812"/>
      <c r="BJ18" s="812"/>
      <c r="BK18" s="812"/>
      <c r="BL18" s="812"/>
      <c r="BM18" s="812"/>
      <c r="BN18" s="812"/>
      <c r="BO18" s="812"/>
      <c r="BP18" s="812"/>
      <c r="BQ18" s="812"/>
      <c r="BR18" s="812"/>
      <c r="BS18" s="812"/>
      <c r="BT18" s="812"/>
      <c r="BU18" s="812"/>
      <c r="BV18" s="812"/>
      <c r="BW18" s="812"/>
      <c r="BX18" s="812"/>
      <c r="BY18" s="812"/>
      <c r="BZ18" s="812"/>
      <c r="CA18" s="812"/>
      <c r="CB18" s="812"/>
      <c r="CC18" s="812"/>
      <c r="CD18" s="812"/>
      <c r="CE18" s="812"/>
      <c r="CF18" s="812"/>
      <c r="CG18" s="812"/>
      <c r="CH18" s="812"/>
      <c r="CI18" s="812"/>
      <c r="CJ18" s="812"/>
      <c r="CK18" s="812"/>
      <c r="CL18" s="812"/>
      <c r="CM18" s="812"/>
      <c r="CN18" s="812"/>
      <c r="CO18" s="812"/>
      <c r="CP18" s="812"/>
      <c r="CQ18" s="812"/>
      <c r="CR18" s="812"/>
      <c r="CS18" s="812"/>
      <c r="CT18" s="812"/>
      <c r="CU18" s="812"/>
      <c r="CV18" s="812"/>
      <c r="CW18" s="812"/>
      <c r="CX18" s="812"/>
      <c r="CY18" s="812"/>
      <c r="CZ18" s="812"/>
      <c r="DA18" s="812"/>
      <c r="DB18" s="812"/>
      <c r="DC18" s="812"/>
      <c r="DD18" s="812"/>
      <c r="DE18" s="812"/>
      <c r="DF18" s="812"/>
      <c r="DG18" s="812"/>
      <c r="DH18" s="812"/>
      <c r="DI18" s="812"/>
      <c r="DJ18" s="812"/>
      <c r="DK18" s="812"/>
      <c r="DL18" s="812"/>
      <c r="DM18" s="812"/>
      <c r="DN18" s="812"/>
      <c r="DO18" s="812"/>
      <c r="DP18" s="812"/>
      <c r="DQ18" s="812"/>
      <c r="DR18" s="812"/>
      <c r="DS18" s="812"/>
      <c r="DT18" s="812"/>
      <c r="DU18" s="812"/>
      <c r="DV18" s="812"/>
      <c r="DW18" s="812"/>
      <c r="DX18" s="812"/>
      <c r="DY18" s="812"/>
      <c r="DZ18" s="812"/>
      <c r="EA18" s="812"/>
      <c r="EB18" s="812"/>
      <c r="EC18" s="812"/>
      <c r="ED18" s="812"/>
      <c r="EE18" s="812"/>
      <c r="EF18" s="812"/>
      <c r="EG18" s="812"/>
      <c r="EH18" s="812"/>
      <c r="EI18" s="812"/>
      <c r="EJ18" s="812"/>
      <c r="EK18" s="812"/>
      <c r="EL18" s="812"/>
      <c r="EM18" s="812"/>
      <c r="EN18" s="812"/>
      <c r="EO18" s="812"/>
      <c r="EP18" s="812"/>
      <c r="EQ18" s="812"/>
      <c r="ER18" s="812"/>
      <c r="ES18" s="812"/>
      <c r="ET18" s="812"/>
      <c r="EU18" s="812"/>
      <c r="EV18" s="812"/>
      <c r="EW18" s="812"/>
      <c r="EX18" s="812"/>
      <c r="EY18" s="812"/>
      <c r="EZ18" s="812"/>
      <c r="FA18" s="812"/>
      <c r="FB18" s="812"/>
      <c r="FC18" s="812"/>
      <c r="FD18" s="812"/>
      <c r="FE18" s="812"/>
      <c r="FF18" s="812"/>
      <c r="FG18" s="812"/>
      <c r="FH18" s="812"/>
      <c r="FI18" s="812"/>
      <c r="FJ18" s="812"/>
      <c r="FK18" s="812"/>
      <c r="FL18" s="812"/>
      <c r="FM18" s="812"/>
      <c r="FN18" s="812"/>
      <c r="FO18" s="812"/>
      <c r="FP18" s="812"/>
      <c r="FQ18" s="812"/>
      <c r="FR18" s="812"/>
      <c r="FS18" s="812"/>
      <c r="FT18" s="812"/>
      <c r="FU18" s="812"/>
      <c r="FV18" s="812"/>
      <c r="FW18" s="812"/>
      <c r="FX18" s="812"/>
      <c r="FY18" s="812"/>
      <c r="FZ18" s="812"/>
      <c r="GA18" s="812"/>
      <c r="GB18" s="812"/>
      <c r="GC18" s="812"/>
      <c r="GD18" s="812"/>
      <c r="GE18" s="812"/>
      <c r="GF18" s="812"/>
      <c r="GG18" s="812"/>
      <c r="GH18" s="812"/>
      <c r="GI18" s="812"/>
      <c r="GJ18" s="812"/>
      <c r="GK18" s="812"/>
      <c r="GL18" s="812"/>
      <c r="GM18" s="812"/>
      <c r="GN18" s="812"/>
      <c r="GO18" s="812"/>
      <c r="GP18" s="812"/>
      <c r="GQ18" s="812"/>
      <c r="GR18" s="812"/>
      <c r="GS18" s="812"/>
      <c r="GT18" s="812"/>
      <c r="GU18" s="812"/>
      <c r="GV18" s="812"/>
      <c r="GW18" s="812"/>
      <c r="GX18" s="812"/>
      <c r="GY18" s="812"/>
      <c r="GZ18" s="812"/>
      <c r="HA18" s="812"/>
      <c r="HB18" s="812"/>
      <c r="HC18" s="812"/>
      <c r="HD18" s="812"/>
      <c r="HE18" s="812"/>
      <c r="HF18" s="812"/>
      <c r="HG18" s="812"/>
      <c r="HH18" s="812"/>
      <c r="HI18" s="812"/>
      <c r="HJ18" s="812"/>
      <c r="HK18" s="812"/>
      <c r="HL18" s="812"/>
      <c r="HM18" s="812"/>
      <c r="HN18" s="812"/>
      <c r="HO18" s="812"/>
      <c r="HP18" s="812"/>
      <c r="HQ18" s="812"/>
      <c r="HR18" s="812"/>
      <c r="HS18" s="812"/>
      <c r="HT18" s="812"/>
      <c r="HU18" s="812"/>
      <c r="HV18" s="812"/>
      <c r="HW18" s="812"/>
      <c r="HX18" s="812"/>
      <c r="HY18" s="812"/>
      <c r="HZ18" s="812"/>
      <c r="IA18" s="812"/>
      <c r="IB18" s="812"/>
      <c r="IC18" s="812"/>
      <c r="ID18" s="812"/>
      <c r="IE18" s="812"/>
      <c r="IF18" s="812"/>
      <c r="IG18" s="812"/>
      <c r="IH18" s="812"/>
      <c r="II18" s="812"/>
      <c r="IJ18" s="812"/>
      <c r="IK18" s="812"/>
      <c r="IL18" s="812"/>
      <c r="IM18" s="812"/>
      <c r="IN18" s="812"/>
      <c r="IO18" s="812"/>
      <c r="IP18" s="812"/>
      <c r="IQ18" s="812"/>
      <c r="IR18" s="812"/>
      <c r="IS18" s="812"/>
      <c r="IT18" s="812"/>
      <c r="IU18" s="812"/>
    </row>
    <row r="19" spans="1:255" s="813" customFormat="1" ht="15" customHeight="1" x14ac:dyDescent="0.25">
      <c r="A19" s="819">
        <v>43962</v>
      </c>
      <c r="B19" s="822" t="s">
        <v>4003</v>
      </c>
      <c r="C19" s="823">
        <f>SUM('[4]ROLL OVER ITF'!$M$74:$M$76)</f>
        <v>343667204</v>
      </c>
      <c r="D19" s="800">
        <f t="shared" si="2"/>
        <v>43967</v>
      </c>
      <c r="E19" s="822">
        <f t="shared" si="0"/>
        <v>-2</v>
      </c>
      <c r="F19" s="820">
        <v>343667204</v>
      </c>
      <c r="G19" s="821">
        <v>43969</v>
      </c>
      <c r="H19" s="816"/>
      <c r="I19" s="816"/>
      <c r="J19" s="816"/>
      <c r="K19" s="816"/>
      <c r="L19" s="816"/>
      <c r="M19" s="815">
        <f t="shared" si="3"/>
        <v>5632323.6211111117</v>
      </c>
      <c r="N19" s="816"/>
      <c r="O19" s="816"/>
      <c r="P19" s="820">
        <v>693349</v>
      </c>
      <c r="Q19" s="824">
        <v>43969</v>
      </c>
      <c r="R19" s="816"/>
      <c r="S19" s="806"/>
      <c r="T19" s="808"/>
      <c r="U19" s="809"/>
      <c r="V19" s="809"/>
      <c r="W19" s="810"/>
      <c r="X19" s="811"/>
      <c r="Y19" s="812"/>
      <c r="Z19" s="812"/>
      <c r="AA19" s="812"/>
      <c r="AB19" s="812"/>
      <c r="AC19" s="812"/>
      <c r="AD19" s="812"/>
      <c r="AE19" s="812"/>
      <c r="AF19" s="812"/>
      <c r="AG19" s="812"/>
      <c r="AH19" s="812"/>
      <c r="AI19" s="812"/>
      <c r="AJ19" s="812"/>
      <c r="AK19" s="812"/>
      <c r="AL19" s="812"/>
      <c r="AM19" s="812"/>
      <c r="AN19" s="812"/>
      <c r="AO19" s="812"/>
      <c r="AP19" s="812"/>
      <c r="AQ19" s="812"/>
      <c r="AR19" s="812"/>
      <c r="AS19" s="812"/>
      <c r="AT19" s="812"/>
      <c r="AU19" s="812"/>
      <c r="AV19" s="812"/>
      <c r="AW19" s="812"/>
      <c r="AX19" s="812"/>
      <c r="AY19" s="812"/>
      <c r="AZ19" s="812"/>
      <c r="BA19" s="812"/>
      <c r="BB19" s="812"/>
      <c r="BC19" s="812"/>
      <c r="BD19" s="812"/>
      <c r="BE19" s="812"/>
      <c r="BF19" s="812"/>
      <c r="BG19" s="812"/>
      <c r="BH19" s="812"/>
      <c r="BI19" s="812"/>
      <c r="BJ19" s="812"/>
      <c r="BK19" s="812"/>
      <c r="BL19" s="812"/>
      <c r="BM19" s="812"/>
      <c r="BN19" s="812"/>
      <c r="BO19" s="812"/>
      <c r="BP19" s="812"/>
      <c r="BQ19" s="812"/>
      <c r="BR19" s="812"/>
      <c r="BS19" s="812"/>
      <c r="BT19" s="812"/>
      <c r="BU19" s="812"/>
      <c r="BV19" s="812"/>
      <c r="BW19" s="812"/>
      <c r="BX19" s="812"/>
      <c r="BY19" s="812"/>
      <c r="BZ19" s="812"/>
      <c r="CA19" s="812"/>
      <c r="CB19" s="812"/>
      <c r="CC19" s="812"/>
      <c r="CD19" s="812"/>
      <c r="CE19" s="812"/>
      <c r="CF19" s="812"/>
      <c r="CG19" s="812"/>
      <c r="CH19" s="812"/>
      <c r="CI19" s="812"/>
      <c r="CJ19" s="812"/>
      <c r="CK19" s="812"/>
      <c r="CL19" s="812"/>
      <c r="CM19" s="812"/>
      <c r="CN19" s="812"/>
      <c r="CO19" s="812"/>
      <c r="CP19" s="812"/>
      <c r="CQ19" s="812"/>
      <c r="CR19" s="812"/>
      <c r="CS19" s="812"/>
      <c r="CT19" s="812"/>
      <c r="CU19" s="812"/>
      <c r="CV19" s="812"/>
      <c r="CW19" s="812"/>
      <c r="CX19" s="812"/>
      <c r="CY19" s="812"/>
      <c r="CZ19" s="812"/>
      <c r="DA19" s="812"/>
      <c r="DB19" s="812"/>
      <c r="DC19" s="812"/>
      <c r="DD19" s="812"/>
      <c r="DE19" s="812"/>
      <c r="DF19" s="812"/>
      <c r="DG19" s="812"/>
      <c r="DH19" s="812"/>
      <c r="DI19" s="812"/>
      <c r="DJ19" s="812"/>
      <c r="DK19" s="812"/>
      <c r="DL19" s="812"/>
      <c r="DM19" s="812"/>
      <c r="DN19" s="812"/>
      <c r="DO19" s="812"/>
      <c r="DP19" s="812"/>
      <c r="DQ19" s="812"/>
      <c r="DR19" s="812"/>
      <c r="DS19" s="812"/>
      <c r="DT19" s="812"/>
      <c r="DU19" s="812"/>
      <c r="DV19" s="812"/>
      <c r="DW19" s="812"/>
      <c r="DX19" s="812"/>
      <c r="DY19" s="812"/>
      <c r="DZ19" s="812"/>
      <c r="EA19" s="812"/>
      <c r="EB19" s="812"/>
      <c r="EC19" s="812"/>
      <c r="ED19" s="812"/>
      <c r="EE19" s="812"/>
      <c r="EF19" s="812"/>
      <c r="EG19" s="812"/>
      <c r="EH19" s="812"/>
      <c r="EI19" s="812"/>
      <c r="EJ19" s="812"/>
      <c r="EK19" s="812"/>
      <c r="EL19" s="812"/>
      <c r="EM19" s="812"/>
      <c r="EN19" s="812"/>
      <c r="EO19" s="812"/>
      <c r="EP19" s="812"/>
      <c r="EQ19" s="812"/>
      <c r="ER19" s="812"/>
      <c r="ES19" s="812"/>
      <c r="ET19" s="812"/>
      <c r="EU19" s="812"/>
      <c r="EV19" s="812"/>
      <c r="EW19" s="812"/>
      <c r="EX19" s="812"/>
      <c r="EY19" s="812"/>
      <c r="EZ19" s="812"/>
      <c r="FA19" s="812"/>
      <c r="FB19" s="812"/>
      <c r="FC19" s="812"/>
      <c r="FD19" s="812"/>
      <c r="FE19" s="812"/>
      <c r="FF19" s="812"/>
      <c r="FG19" s="812"/>
      <c r="FH19" s="812"/>
      <c r="FI19" s="812"/>
      <c r="FJ19" s="812"/>
      <c r="FK19" s="812"/>
      <c r="FL19" s="812"/>
      <c r="FM19" s="812"/>
      <c r="FN19" s="812"/>
      <c r="FO19" s="812"/>
      <c r="FP19" s="812"/>
      <c r="FQ19" s="812"/>
      <c r="FR19" s="812"/>
      <c r="FS19" s="812"/>
      <c r="FT19" s="812"/>
      <c r="FU19" s="812"/>
      <c r="FV19" s="812"/>
      <c r="FW19" s="812"/>
      <c r="FX19" s="812"/>
      <c r="FY19" s="812"/>
      <c r="FZ19" s="812"/>
      <c r="GA19" s="812"/>
      <c r="GB19" s="812"/>
      <c r="GC19" s="812"/>
      <c r="GD19" s="812"/>
      <c r="GE19" s="812"/>
      <c r="GF19" s="812"/>
      <c r="GG19" s="812"/>
      <c r="GH19" s="812"/>
      <c r="GI19" s="812"/>
      <c r="GJ19" s="812"/>
      <c r="GK19" s="812"/>
      <c r="GL19" s="812"/>
      <c r="GM19" s="812"/>
      <c r="GN19" s="812"/>
      <c r="GO19" s="812"/>
      <c r="GP19" s="812"/>
      <c r="GQ19" s="812"/>
      <c r="GR19" s="812"/>
      <c r="GS19" s="812"/>
      <c r="GT19" s="812"/>
      <c r="GU19" s="812"/>
      <c r="GV19" s="812"/>
      <c r="GW19" s="812"/>
      <c r="GX19" s="812"/>
      <c r="GY19" s="812"/>
      <c r="GZ19" s="812"/>
      <c r="HA19" s="812"/>
      <c r="HB19" s="812"/>
      <c r="HC19" s="812"/>
      <c r="HD19" s="812"/>
      <c r="HE19" s="812"/>
      <c r="HF19" s="812"/>
      <c r="HG19" s="812"/>
      <c r="HH19" s="812"/>
      <c r="HI19" s="812"/>
      <c r="HJ19" s="812"/>
      <c r="HK19" s="812"/>
      <c r="HL19" s="812"/>
      <c r="HM19" s="812"/>
      <c r="HN19" s="812"/>
      <c r="HO19" s="812"/>
      <c r="HP19" s="812"/>
      <c r="HQ19" s="812"/>
      <c r="HR19" s="812"/>
      <c r="HS19" s="812"/>
      <c r="HT19" s="812"/>
      <c r="HU19" s="812"/>
      <c r="HV19" s="812"/>
      <c r="HW19" s="812"/>
      <c r="HX19" s="812"/>
      <c r="HY19" s="812"/>
      <c r="HZ19" s="812"/>
      <c r="IA19" s="812"/>
      <c r="IB19" s="812"/>
      <c r="IC19" s="812"/>
      <c r="ID19" s="812"/>
      <c r="IE19" s="812"/>
      <c r="IF19" s="812"/>
      <c r="IG19" s="812"/>
      <c r="IH19" s="812"/>
      <c r="II19" s="812"/>
      <c r="IJ19" s="812"/>
      <c r="IK19" s="812"/>
      <c r="IL19" s="812"/>
      <c r="IM19" s="812"/>
      <c r="IN19" s="812"/>
      <c r="IO19" s="812"/>
      <c r="IP19" s="812"/>
      <c r="IQ19" s="812"/>
      <c r="IR19" s="812"/>
      <c r="IS19" s="812"/>
      <c r="IT19" s="812"/>
      <c r="IU19" s="812"/>
    </row>
    <row r="20" spans="1:255" ht="15" customHeight="1" x14ac:dyDescent="0.25">
      <c r="A20" s="792">
        <v>43980</v>
      </c>
      <c r="B20" s="793" t="s">
        <v>4973</v>
      </c>
      <c r="C20" s="794">
        <v>1729534891</v>
      </c>
      <c r="D20" s="765">
        <f>A20+$J$4</f>
        <v>43995</v>
      </c>
      <c r="E20" s="768">
        <f t="shared" si="0"/>
        <v>-2</v>
      </c>
      <c r="F20" s="770">
        <v>1729534891</v>
      </c>
      <c r="G20" s="765">
        <v>43997</v>
      </c>
      <c r="H20" s="770"/>
      <c r="I20" s="773"/>
      <c r="J20" s="770"/>
      <c r="K20" s="776"/>
      <c r="L20" s="778">
        <f t="shared" ref="L20:L40" si="4">C20-F20-H20-J20</f>
        <v>0</v>
      </c>
      <c r="M20" s="783">
        <f t="shared" si="3"/>
        <v>28345155.158055559</v>
      </c>
      <c r="N20" s="739"/>
      <c r="O20" s="785"/>
      <c r="P20" s="739">
        <v>7366377</v>
      </c>
      <c r="Q20" s="787">
        <v>43997</v>
      </c>
      <c r="R20" s="739"/>
      <c r="S20" s="781"/>
      <c r="T20" s="515"/>
      <c r="U20" s="516"/>
      <c r="V20" s="517"/>
      <c r="W20" s="518"/>
      <c r="X20" s="469"/>
    </row>
    <row r="21" spans="1:255" s="795" customFormat="1" x14ac:dyDescent="0.25">
      <c r="A21" s="695">
        <v>43980</v>
      </c>
      <c r="B21" s="696" t="s">
        <v>4973</v>
      </c>
      <c r="C21" s="697">
        <v>1488152563</v>
      </c>
      <c r="D21" s="765">
        <f t="shared" ref="D21:D40" si="5">A21+$J$4</f>
        <v>43995</v>
      </c>
      <c r="E21" s="654">
        <f t="shared" si="0"/>
        <v>1</v>
      </c>
      <c r="F21" s="634">
        <v>1488152563</v>
      </c>
      <c r="G21" s="633">
        <v>43994</v>
      </c>
      <c r="H21" s="634"/>
      <c r="I21" s="635"/>
      <c r="J21" s="634"/>
      <c r="K21" s="636"/>
      <c r="L21" s="780">
        <f t="shared" si="4"/>
        <v>0</v>
      </c>
      <c r="M21" s="783">
        <f t="shared" si="3"/>
        <v>24389167.004722223</v>
      </c>
      <c r="N21" s="637"/>
      <c r="O21" s="638"/>
      <c r="P21" s="637">
        <v>5330893</v>
      </c>
      <c r="Q21" s="664">
        <v>43994</v>
      </c>
      <c r="R21" s="637"/>
      <c r="S21" s="361"/>
    </row>
    <row r="22" spans="1:255" s="796" customFormat="1" x14ac:dyDescent="0.25">
      <c r="A22" s="715">
        <v>43987</v>
      </c>
      <c r="B22" s="716" t="s">
        <v>4973</v>
      </c>
      <c r="C22" s="665">
        <v>527771304</v>
      </c>
      <c r="D22" s="765">
        <f t="shared" si="5"/>
        <v>44002</v>
      </c>
      <c r="E22" s="654">
        <f t="shared" si="0"/>
        <v>-2</v>
      </c>
      <c r="F22" s="655">
        <v>527771304</v>
      </c>
      <c r="G22" s="653">
        <v>44004</v>
      </c>
      <c r="H22" s="655"/>
      <c r="I22" s="656"/>
      <c r="J22" s="655"/>
      <c r="K22" s="657"/>
      <c r="L22" s="780">
        <f t="shared" si="4"/>
        <v>0</v>
      </c>
      <c r="M22" s="783">
        <f t="shared" si="3"/>
        <v>8649585.2599999998</v>
      </c>
      <c r="N22" s="658"/>
      <c r="O22" s="659"/>
      <c r="P22" s="658">
        <v>2247866</v>
      </c>
      <c r="Q22" s="789">
        <v>44004</v>
      </c>
      <c r="R22" s="658"/>
      <c r="S22" s="637"/>
    </row>
    <row r="23" spans="1:255" s="662" customFormat="1" ht="15" customHeight="1" x14ac:dyDescent="0.25">
      <c r="A23" s="759">
        <v>43990</v>
      </c>
      <c r="B23" s="760" t="s">
        <v>4973</v>
      </c>
      <c r="C23" s="763">
        <v>655202563</v>
      </c>
      <c r="D23" s="765">
        <f t="shared" si="5"/>
        <v>44005</v>
      </c>
      <c r="E23" s="768">
        <f t="shared" si="0"/>
        <v>0</v>
      </c>
      <c r="F23" s="771">
        <v>655202563</v>
      </c>
      <c r="G23" s="766">
        <v>44005</v>
      </c>
      <c r="H23" s="771"/>
      <c r="I23" s="774"/>
      <c r="J23" s="771"/>
      <c r="K23" s="777"/>
      <c r="L23" s="778">
        <f t="shared" si="4"/>
        <v>0</v>
      </c>
      <c r="M23" s="783">
        <f t="shared" si="3"/>
        <v>10738042.004722223</v>
      </c>
      <c r="N23" s="783"/>
      <c r="O23" s="786"/>
      <c r="P23" s="783">
        <v>2496868</v>
      </c>
      <c r="Q23" s="790">
        <v>44005</v>
      </c>
      <c r="R23" s="783"/>
      <c r="S23" s="739"/>
      <c r="T23" s="783"/>
      <c r="U23" s="786"/>
      <c r="V23" s="786"/>
      <c r="W23" s="791"/>
      <c r="X23" s="660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  <c r="GD23" s="661"/>
      <c r="GE23" s="661"/>
      <c r="GF23" s="661"/>
      <c r="GG23" s="661"/>
      <c r="GH23" s="661"/>
      <c r="GI23" s="661"/>
      <c r="GJ23" s="661"/>
      <c r="GK23" s="661"/>
      <c r="GL23" s="661"/>
      <c r="GM23" s="661"/>
      <c r="GN23" s="661"/>
      <c r="GO23" s="661"/>
      <c r="GP23" s="661"/>
      <c r="GQ23" s="661"/>
      <c r="GR23" s="661"/>
      <c r="GS23" s="661"/>
      <c r="GT23" s="661"/>
      <c r="GU23" s="661"/>
      <c r="GV23" s="661"/>
      <c r="GW23" s="661"/>
      <c r="GX23" s="661"/>
      <c r="GY23" s="661"/>
      <c r="GZ23" s="661"/>
      <c r="HA23" s="661"/>
      <c r="HB23" s="661"/>
      <c r="HC23" s="661"/>
      <c r="HD23" s="661"/>
      <c r="HE23" s="661"/>
      <c r="HF23" s="661"/>
      <c r="HG23" s="661"/>
      <c r="HH23" s="661"/>
      <c r="HI23" s="661"/>
      <c r="HJ23" s="661"/>
      <c r="HK23" s="661"/>
      <c r="HL23" s="661"/>
      <c r="HM23" s="661"/>
      <c r="HN23" s="661"/>
      <c r="HO23" s="661"/>
      <c r="HP23" s="661"/>
      <c r="HQ23" s="661"/>
      <c r="HR23" s="661"/>
      <c r="HS23" s="661"/>
      <c r="HT23" s="661"/>
      <c r="HU23" s="661"/>
      <c r="HV23" s="661"/>
      <c r="HW23" s="661"/>
      <c r="HX23" s="661"/>
      <c r="HY23" s="661"/>
      <c r="HZ23" s="661"/>
      <c r="IA23" s="661"/>
      <c r="IB23" s="661"/>
      <c r="IC23" s="661"/>
      <c r="ID23" s="661"/>
      <c r="IE23" s="661"/>
      <c r="IF23" s="661"/>
      <c r="IG23" s="661"/>
      <c r="IH23" s="661"/>
      <c r="II23" s="661"/>
      <c r="IJ23" s="661"/>
      <c r="IK23" s="661"/>
      <c r="IL23" s="661"/>
      <c r="IM23" s="661"/>
      <c r="IN23" s="661"/>
      <c r="IO23" s="661"/>
      <c r="IP23" s="661"/>
      <c r="IQ23" s="661"/>
      <c r="IR23" s="661"/>
      <c r="IS23" s="661"/>
      <c r="IT23" s="661"/>
      <c r="IU23" s="661"/>
    </row>
    <row r="24" spans="1:255" s="662" customFormat="1" ht="15" customHeight="1" x14ac:dyDescent="0.25">
      <c r="A24" s="759">
        <v>43994</v>
      </c>
      <c r="B24" s="760" t="s">
        <v>4973</v>
      </c>
      <c r="C24" s="763">
        <v>877728147</v>
      </c>
      <c r="D24" s="765">
        <f t="shared" si="5"/>
        <v>44009</v>
      </c>
      <c r="E24" s="768">
        <f t="shared" si="0"/>
        <v>1</v>
      </c>
      <c r="F24" s="771">
        <v>877728147</v>
      </c>
      <c r="G24" s="766">
        <v>44008</v>
      </c>
      <c r="H24" s="771"/>
      <c r="I24" s="774"/>
      <c r="J24" s="771"/>
      <c r="K24" s="777"/>
      <c r="L24" s="778">
        <f t="shared" si="4"/>
        <v>0</v>
      </c>
      <c r="M24" s="783">
        <f t="shared" si="3"/>
        <v>14384989.075833334</v>
      </c>
      <c r="N24" s="783"/>
      <c r="O24" s="786"/>
      <c r="P24" s="783">
        <v>3144217</v>
      </c>
      <c r="Q24" s="790">
        <v>44008</v>
      </c>
      <c r="R24" s="783"/>
      <c r="S24" s="739"/>
      <c r="T24" s="783"/>
      <c r="U24" s="786"/>
      <c r="V24" s="786"/>
      <c r="W24" s="791"/>
      <c r="X24" s="660"/>
      <c r="Y24" s="661"/>
      <c r="Z24" s="661"/>
      <c r="AA24" s="661"/>
      <c r="AB24" s="661"/>
      <c r="AC24" s="661"/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  <c r="GD24" s="661"/>
      <c r="GE24" s="661"/>
      <c r="GF24" s="661"/>
      <c r="GG24" s="661"/>
      <c r="GH24" s="661"/>
      <c r="GI24" s="661"/>
      <c r="GJ24" s="661"/>
      <c r="GK24" s="661"/>
      <c r="GL24" s="661"/>
      <c r="GM24" s="661"/>
      <c r="GN24" s="661"/>
      <c r="GO24" s="661"/>
      <c r="GP24" s="661"/>
      <c r="GQ24" s="661"/>
      <c r="GR24" s="661"/>
      <c r="GS24" s="661"/>
      <c r="GT24" s="661"/>
      <c r="GU24" s="661"/>
      <c r="GV24" s="661"/>
      <c r="GW24" s="661"/>
      <c r="GX24" s="661"/>
      <c r="GY24" s="661"/>
      <c r="GZ24" s="661"/>
      <c r="HA24" s="661"/>
      <c r="HB24" s="661"/>
      <c r="HC24" s="661"/>
      <c r="HD24" s="661"/>
      <c r="HE24" s="661"/>
      <c r="HF24" s="661"/>
      <c r="HG24" s="661"/>
      <c r="HH24" s="661"/>
      <c r="HI24" s="661"/>
      <c r="HJ24" s="661"/>
      <c r="HK24" s="661"/>
      <c r="HL24" s="661"/>
      <c r="HM24" s="661"/>
      <c r="HN24" s="661"/>
      <c r="HO24" s="661"/>
      <c r="HP24" s="661"/>
      <c r="HQ24" s="661"/>
      <c r="HR24" s="661"/>
      <c r="HS24" s="661"/>
      <c r="HT24" s="661"/>
      <c r="HU24" s="661"/>
      <c r="HV24" s="661"/>
      <c r="HW24" s="661"/>
      <c r="HX24" s="661"/>
      <c r="HY24" s="661"/>
      <c r="HZ24" s="661"/>
      <c r="IA24" s="661"/>
      <c r="IB24" s="661"/>
      <c r="IC24" s="661"/>
      <c r="ID24" s="661"/>
      <c r="IE24" s="661"/>
      <c r="IF24" s="661"/>
      <c r="IG24" s="661"/>
      <c r="IH24" s="661"/>
      <c r="II24" s="661"/>
      <c r="IJ24" s="661"/>
      <c r="IK24" s="661"/>
      <c r="IL24" s="661"/>
      <c r="IM24" s="661"/>
      <c r="IN24" s="661"/>
      <c r="IO24" s="661"/>
      <c r="IP24" s="661"/>
      <c r="IQ24" s="661"/>
      <c r="IR24" s="661"/>
      <c r="IS24" s="661"/>
      <c r="IT24" s="661"/>
      <c r="IU24" s="661"/>
    </row>
    <row r="25" spans="1:255" ht="15" customHeight="1" x14ac:dyDescent="0.25">
      <c r="A25" s="715">
        <v>43997</v>
      </c>
      <c r="B25" s="716" t="s">
        <v>4973</v>
      </c>
      <c r="C25" s="665">
        <v>491821560</v>
      </c>
      <c r="D25" s="765">
        <f t="shared" si="5"/>
        <v>44012</v>
      </c>
      <c r="E25" s="654">
        <f t="shared" si="0"/>
        <v>0</v>
      </c>
      <c r="F25" s="655">
        <v>491821560</v>
      </c>
      <c r="G25" s="653">
        <v>44012</v>
      </c>
      <c r="H25" s="655"/>
      <c r="I25" s="656"/>
      <c r="J25" s="655"/>
      <c r="K25" s="657"/>
      <c r="L25" s="681">
        <f t="shared" si="4"/>
        <v>0</v>
      </c>
      <c r="M25" s="783">
        <f t="shared" si="3"/>
        <v>8060408.9000000004</v>
      </c>
      <c r="N25" s="658"/>
      <c r="O25" s="659"/>
      <c r="P25" s="658">
        <v>1874250</v>
      </c>
      <c r="Q25" s="699">
        <v>44012</v>
      </c>
      <c r="R25" s="658"/>
      <c r="S25" s="709"/>
      <c r="T25" s="520"/>
      <c r="U25" s="521"/>
      <c r="V25" s="522"/>
      <c r="W25" s="523"/>
      <c r="X25" s="469"/>
    </row>
    <row r="26" spans="1:255" ht="15" customHeight="1" x14ac:dyDescent="0.25">
      <c r="A26" s="759">
        <v>43999</v>
      </c>
      <c r="B26" s="760" t="s">
        <v>4973</v>
      </c>
      <c r="C26" s="763">
        <v>821252787</v>
      </c>
      <c r="D26" s="765">
        <f t="shared" si="5"/>
        <v>44014</v>
      </c>
      <c r="E26" s="768">
        <f t="shared" si="0"/>
        <v>1</v>
      </c>
      <c r="F26" s="771">
        <v>821252787</v>
      </c>
      <c r="G26" s="766">
        <v>44013</v>
      </c>
      <c r="H26" s="771"/>
      <c r="I26" s="774"/>
      <c r="J26" s="771"/>
      <c r="K26" s="777"/>
      <c r="L26" s="779">
        <f t="shared" si="4"/>
        <v>0</v>
      </c>
      <c r="M26" s="783">
        <f t="shared" si="3"/>
        <v>13459420.675833333</v>
      </c>
      <c r="N26" s="783"/>
      <c r="O26" s="786"/>
      <c r="P26" s="783">
        <v>2941910</v>
      </c>
      <c r="Q26" s="788">
        <v>44013</v>
      </c>
      <c r="R26" s="783"/>
      <c r="S26" s="717"/>
      <c r="T26" s="515"/>
      <c r="U26" s="516"/>
      <c r="V26" s="517"/>
      <c r="W26" s="518"/>
      <c r="X26" s="469"/>
    </row>
    <row r="27" spans="1:255" ht="15" customHeight="1" x14ac:dyDescent="0.25">
      <c r="A27" s="695">
        <v>44001</v>
      </c>
      <c r="B27" s="696" t="s">
        <v>4973</v>
      </c>
      <c r="C27" s="697">
        <v>774157904</v>
      </c>
      <c r="D27" s="765">
        <f t="shared" si="5"/>
        <v>44016</v>
      </c>
      <c r="E27" s="768">
        <f t="shared" si="0"/>
        <v>3</v>
      </c>
      <c r="F27" s="634">
        <v>774157904</v>
      </c>
      <c r="G27" s="653">
        <v>44013</v>
      </c>
      <c r="H27" s="634"/>
      <c r="I27" s="635"/>
      <c r="J27" s="634"/>
      <c r="K27" s="636"/>
      <c r="L27" s="698">
        <f t="shared" si="4"/>
        <v>0</v>
      </c>
      <c r="M27" s="783">
        <f t="shared" si="3"/>
        <v>12687587.871111112</v>
      </c>
      <c r="N27" s="637"/>
      <c r="O27" s="638"/>
      <c r="P27" s="637">
        <v>2426555</v>
      </c>
      <c r="Q27" s="682">
        <v>44013</v>
      </c>
      <c r="R27" s="637"/>
      <c r="S27" s="637"/>
      <c r="T27" s="520"/>
      <c r="U27" s="521"/>
      <c r="V27" s="522"/>
      <c r="W27" s="523"/>
      <c r="X27" s="469"/>
    </row>
    <row r="28" spans="1:255" ht="15" customHeight="1" x14ac:dyDescent="0.25">
      <c r="A28" s="695">
        <v>44008</v>
      </c>
      <c r="B28" s="696" t="s">
        <v>4973</v>
      </c>
      <c r="C28" s="697">
        <v>1142481630</v>
      </c>
      <c r="D28" s="765">
        <f t="shared" si="5"/>
        <v>44023</v>
      </c>
      <c r="E28" s="768">
        <f t="shared" si="0"/>
        <v>2</v>
      </c>
      <c r="F28" s="634">
        <v>1142481630</v>
      </c>
      <c r="G28" s="633">
        <v>44021</v>
      </c>
      <c r="H28" s="634"/>
      <c r="I28" s="635"/>
      <c r="J28" s="634"/>
      <c r="K28" s="636"/>
      <c r="L28" s="698">
        <f t="shared" si="4"/>
        <v>0</v>
      </c>
      <c r="M28" s="783">
        <f t="shared" si="3"/>
        <v>18724004.491666667</v>
      </c>
      <c r="N28" s="637"/>
      <c r="O28" s="638"/>
      <c r="P28" s="637">
        <v>4550885</v>
      </c>
      <c r="Q28" s="682">
        <v>44021</v>
      </c>
      <c r="R28" s="637"/>
      <c r="S28" s="709"/>
      <c r="T28" s="520"/>
      <c r="U28" s="521"/>
      <c r="V28" s="522"/>
      <c r="W28" s="523"/>
      <c r="X28" s="469"/>
    </row>
    <row r="29" spans="1:255" ht="15" customHeight="1" x14ac:dyDescent="0.25">
      <c r="A29" s="695">
        <v>44011</v>
      </c>
      <c r="B29" s="696" t="s">
        <v>4973</v>
      </c>
      <c r="C29" s="697">
        <v>620224440</v>
      </c>
      <c r="D29" s="765">
        <f t="shared" si="5"/>
        <v>44026</v>
      </c>
      <c r="E29" s="768">
        <f t="shared" si="0"/>
        <v>1</v>
      </c>
      <c r="F29" s="634">
        <v>620224440</v>
      </c>
      <c r="G29" s="633">
        <v>44025</v>
      </c>
      <c r="H29" s="634"/>
      <c r="I29" s="635"/>
      <c r="J29" s="634"/>
      <c r="K29" s="636"/>
      <c r="L29" s="698">
        <f t="shared" si="4"/>
        <v>0</v>
      </c>
      <c r="M29" s="783">
        <f t="shared" si="3"/>
        <v>10164789.433333334</v>
      </c>
      <c r="N29" s="637"/>
      <c r="O29" s="638"/>
      <c r="P29" s="637">
        <v>2632508</v>
      </c>
      <c r="Q29" s="682">
        <v>44025</v>
      </c>
      <c r="R29" s="637"/>
      <c r="S29" s="637"/>
      <c r="T29" s="520"/>
      <c r="U29" s="521"/>
      <c r="V29" s="522"/>
      <c r="W29" s="523"/>
      <c r="X29" s="469"/>
    </row>
    <row r="30" spans="1:255" ht="15" customHeight="1" x14ac:dyDescent="0.25">
      <c r="A30" s="695">
        <v>44013</v>
      </c>
      <c r="B30" s="696" t="s">
        <v>4973</v>
      </c>
      <c r="C30" s="697">
        <v>494632812</v>
      </c>
      <c r="D30" s="765">
        <f t="shared" si="5"/>
        <v>44028</v>
      </c>
      <c r="E30" s="654">
        <f t="shared" si="0"/>
        <v>-4</v>
      </c>
      <c r="F30" s="634">
        <v>494632812</v>
      </c>
      <c r="G30" s="633">
        <v>44032</v>
      </c>
      <c r="H30" s="634"/>
      <c r="I30" s="635"/>
      <c r="J30" s="634"/>
      <c r="K30" s="636"/>
      <c r="L30" s="698">
        <f t="shared" si="4"/>
        <v>0</v>
      </c>
      <c r="M30" s="739">
        <f t="shared" ref="M30:M40" si="6">(E$4/360)*C30*10%</f>
        <v>8106482.1966666672</v>
      </c>
      <c r="N30" s="637"/>
      <c r="O30" s="638"/>
      <c r="P30" s="637">
        <v>2755517</v>
      </c>
      <c r="Q30" s="682">
        <v>44032</v>
      </c>
      <c r="R30" s="637"/>
      <c r="S30" s="709"/>
      <c r="T30" s="520"/>
      <c r="U30" s="521"/>
      <c r="V30" s="522"/>
      <c r="W30" s="523"/>
      <c r="X30" s="469"/>
    </row>
    <row r="31" spans="1:255" s="708" customFormat="1" ht="15" customHeight="1" x14ac:dyDescent="0.25">
      <c r="A31" s="695">
        <v>44015</v>
      </c>
      <c r="B31" s="696" t="s">
        <v>4973</v>
      </c>
      <c r="C31" s="697">
        <v>498598054</v>
      </c>
      <c r="D31" s="765">
        <f t="shared" si="5"/>
        <v>44030</v>
      </c>
      <c r="E31" s="654">
        <f t="shared" si="0"/>
        <v>-2</v>
      </c>
      <c r="F31" s="634">
        <v>498598054</v>
      </c>
      <c r="G31" s="633">
        <v>44032</v>
      </c>
      <c r="H31" s="634"/>
      <c r="I31" s="635"/>
      <c r="J31" s="634"/>
      <c r="K31" s="636"/>
      <c r="L31" s="698">
        <f t="shared" si="4"/>
        <v>0</v>
      </c>
      <c r="M31" s="637">
        <f t="shared" si="6"/>
        <v>8171468.1072222218</v>
      </c>
      <c r="N31" s="637"/>
      <c r="O31" s="638"/>
      <c r="P31" s="637">
        <v>2513073</v>
      </c>
      <c r="Q31" s="682">
        <v>44032</v>
      </c>
      <c r="R31" s="637"/>
      <c r="S31" s="709"/>
      <c r="T31" s="703"/>
      <c r="U31" s="704"/>
      <c r="V31" s="704"/>
      <c r="W31" s="705"/>
      <c r="X31" s="706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  <c r="AN31" s="707"/>
      <c r="AO31" s="707"/>
      <c r="AP31" s="707"/>
      <c r="AQ31" s="707"/>
      <c r="AR31" s="707"/>
      <c r="AS31" s="707"/>
      <c r="AT31" s="707"/>
      <c r="AU31" s="707"/>
      <c r="AV31" s="707"/>
      <c r="AW31" s="707"/>
      <c r="AX31" s="707"/>
      <c r="AY31" s="707"/>
      <c r="AZ31" s="707"/>
      <c r="BA31" s="707"/>
      <c r="BB31" s="707"/>
      <c r="BC31" s="707"/>
      <c r="BD31" s="707"/>
      <c r="BE31" s="707"/>
      <c r="BF31" s="707"/>
      <c r="BG31" s="707"/>
      <c r="BH31" s="707"/>
      <c r="BI31" s="707"/>
      <c r="BJ31" s="707"/>
      <c r="BK31" s="707"/>
      <c r="BL31" s="707"/>
      <c r="BM31" s="707"/>
      <c r="BN31" s="707"/>
      <c r="BO31" s="707"/>
      <c r="BP31" s="707"/>
      <c r="BQ31" s="707"/>
      <c r="BR31" s="707"/>
      <c r="BS31" s="707"/>
      <c r="BT31" s="707"/>
      <c r="BU31" s="707"/>
      <c r="BV31" s="707"/>
      <c r="BW31" s="707"/>
      <c r="BX31" s="707"/>
      <c r="BY31" s="707"/>
      <c r="BZ31" s="707"/>
      <c r="CA31" s="707"/>
      <c r="CB31" s="707"/>
      <c r="CC31" s="707"/>
      <c r="CD31" s="707"/>
      <c r="CE31" s="707"/>
      <c r="CF31" s="707"/>
      <c r="CG31" s="707"/>
      <c r="CH31" s="707"/>
      <c r="CI31" s="707"/>
      <c r="CJ31" s="707"/>
      <c r="CK31" s="707"/>
      <c r="CL31" s="707"/>
      <c r="CM31" s="707"/>
      <c r="CN31" s="707"/>
      <c r="CO31" s="707"/>
      <c r="CP31" s="707"/>
      <c r="CQ31" s="707"/>
      <c r="CR31" s="707"/>
      <c r="CS31" s="707"/>
      <c r="CT31" s="707"/>
      <c r="CU31" s="707"/>
      <c r="CV31" s="707"/>
      <c r="CW31" s="707"/>
      <c r="CX31" s="707"/>
      <c r="CY31" s="707"/>
      <c r="CZ31" s="707"/>
      <c r="DA31" s="707"/>
      <c r="DB31" s="707"/>
      <c r="DC31" s="707"/>
      <c r="DD31" s="707"/>
      <c r="DE31" s="707"/>
      <c r="DF31" s="707"/>
      <c r="DG31" s="707"/>
      <c r="DH31" s="707"/>
      <c r="DI31" s="707"/>
      <c r="DJ31" s="707"/>
      <c r="DK31" s="707"/>
      <c r="DL31" s="707"/>
      <c r="DM31" s="707"/>
      <c r="DN31" s="707"/>
      <c r="DO31" s="707"/>
      <c r="DP31" s="707"/>
      <c r="DQ31" s="707"/>
      <c r="DR31" s="707"/>
      <c r="DS31" s="707"/>
      <c r="DT31" s="707"/>
      <c r="DU31" s="707"/>
      <c r="DV31" s="707"/>
      <c r="DW31" s="707"/>
      <c r="DX31" s="707"/>
      <c r="DY31" s="707"/>
      <c r="DZ31" s="707"/>
      <c r="EA31" s="707"/>
      <c r="EB31" s="707"/>
      <c r="EC31" s="707"/>
      <c r="ED31" s="707"/>
      <c r="EE31" s="707"/>
      <c r="EF31" s="707"/>
      <c r="EG31" s="707"/>
      <c r="EH31" s="707"/>
      <c r="EI31" s="707"/>
      <c r="EJ31" s="707"/>
      <c r="EK31" s="707"/>
      <c r="EL31" s="707"/>
      <c r="EM31" s="707"/>
      <c r="EN31" s="707"/>
      <c r="EO31" s="707"/>
      <c r="EP31" s="707"/>
      <c r="EQ31" s="707"/>
      <c r="ER31" s="707"/>
      <c r="ES31" s="707"/>
      <c r="ET31" s="707"/>
      <c r="EU31" s="707"/>
      <c r="EV31" s="707"/>
      <c r="EW31" s="707"/>
      <c r="EX31" s="707"/>
      <c r="EY31" s="707"/>
      <c r="EZ31" s="707"/>
      <c r="FA31" s="707"/>
      <c r="FB31" s="707"/>
      <c r="FC31" s="707"/>
      <c r="FD31" s="707"/>
      <c r="FE31" s="707"/>
      <c r="FF31" s="707"/>
      <c r="FG31" s="707"/>
      <c r="FH31" s="707"/>
      <c r="FI31" s="707"/>
      <c r="FJ31" s="707"/>
      <c r="FK31" s="707"/>
      <c r="FL31" s="707"/>
      <c r="FM31" s="707"/>
      <c r="FN31" s="707"/>
      <c r="FO31" s="707"/>
      <c r="FP31" s="707"/>
      <c r="FQ31" s="707"/>
      <c r="FR31" s="707"/>
      <c r="FS31" s="707"/>
      <c r="FT31" s="707"/>
      <c r="FU31" s="707"/>
      <c r="FV31" s="707"/>
      <c r="FW31" s="707"/>
      <c r="FX31" s="707"/>
      <c r="FY31" s="707"/>
      <c r="FZ31" s="707"/>
      <c r="GA31" s="707"/>
      <c r="GB31" s="707"/>
      <c r="GC31" s="707"/>
      <c r="GD31" s="707"/>
      <c r="GE31" s="707"/>
      <c r="GF31" s="707"/>
      <c r="GG31" s="707"/>
      <c r="GH31" s="707"/>
      <c r="GI31" s="707"/>
      <c r="GJ31" s="707"/>
      <c r="GK31" s="707"/>
      <c r="GL31" s="707"/>
      <c r="GM31" s="707"/>
      <c r="GN31" s="707"/>
      <c r="GO31" s="707"/>
      <c r="GP31" s="707"/>
      <c r="GQ31" s="707"/>
      <c r="GR31" s="707"/>
      <c r="GS31" s="707"/>
      <c r="GT31" s="707"/>
      <c r="GU31" s="707"/>
      <c r="GV31" s="707"/>
      <c r="GW31" s="707"/>
      <c r="GX31" s="707"/>
      <c r="GY31" s="707"/>
      <c r="GZ31" s="707"/>
      <c r="HA31" s="707"/>
      <c r="HB31" s="707"/>
      <c r="HC31" s="707"/>
      <c r="HD31" s="707"/>
      <c r="HE31" s="707"/>
      <c r="HF31" s="707"/>
      <c r="HG31" s="707"/>
      <c r="HH31" s="707"/>
      <c r="HI31" s="707"/>
      <c r="HJ31" s="707"/>
      <c r="HK31" s="707"/>
      <c r="HL31" s="707"/>
      <c r="HM31" s="707"/>
      <c r="HN31" s="707"/>
      <c r="HO31" s="707"/>
      <c r="HP31" s="707"/>
      <c r="HQ31" s="707"/>
      <c r="HR31" s="707"/>
      <c r="HS31" s="707"/>
      <c r="HT31" s="707"/>
      <c r="HU31" s="707"/>
      <c r="HV31" s="707"/>
      <c r="HW31" s="707"/>
      <c r="HX31" s="707"/>
      <c r="HY31" s="707"/>
      <c r="HZ31" s="707"/>
      <c r="IA31" s="707"/>
      <c r="IB31" s="707"/>
      <c r="IC31" s="707"/>
      <c r="ID31" s="707"/>
      <c r="IE31" s="707"/>
      <c r="IF31" s="707"/>
      <c r="IG31" s="707"/>
      <c r="IH31" s="707"/>
      <c r="II31" s="707"/>
      <c r="IJ31" s="707"/>
      <c r="IK31" s="707"/>
      <c r="IL31" s="707"/>
      <c r="IM31" s="707"/>
      <c r="IN31" s="707"/>
      <c r="IO31" s="707"/>
      <c r="IP31" s="707"/>
      <c r="IQ31" s="707"/>
      <c r="IR31" s="707"/>
      <c r="IS31" s="707"/>
      <c r="IT31" s="707"/>
      <c r="IU31" s="707"/>
    </row>
    <row r="32" spans="1:255" s="3" customFormat="1" ht="15" customHeight="1" x14ac:dyDescent="0.25">
      <c r="A32" s="715">
        <v>44018</v>
      </c>
      <c r="B32" s="725" t="s">
        <v>4973</v>
      </c>
      <c r="C32" s="665">
        <v>391850226</v>
      </c>
      <c r="D32" s="765">
        <f t="shared" si="5"/>
        <v>44033</v>
      </c>
      <c r="E32" s="654">
        <f t="shared" si="0"/>
        <v>-1</v>
      </c>
      <c r="F32" s="634">
        <v>391850226</v>
      </c>
      <c r="G32" s="633">
        <v>44034</v>
      </c>
      <c r="H32" s="634"/>
      <c r="I32" s="635"/>
      <c r="J32" s="634"/>
      <c r="K32" s="636"/>
      <c r="L32" s="698">
        <f t="shared" si="4"/>
        <v>0</v>
      </c>
      <c r="M32" s="739">
        <f t="shared" si="6"/>
        <v>6421989.8150000004</v>
      </c>
      <c r="N32" s="637"/>
      <c r="O32" s="638"/>
      <c r="P32" s="637">
        <v>1871085</v>
      </c>
      <c r="Q32" s="682">
        <v>44034</v>
      </c>
      <c r="R32" s="637"/>
      <c r="S32" s="637"/>
      <c r="T32" s="359"/>
      <c r="U32" s="360"/>
      <c r="V32" s="646"/>
      <c r="W32" s="647"/>
      <c r="X32" s="648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2" customFormat="1" ht="15" customHeight="1" x14ac:dyDescent="0.25">
      <c r="A33" s="715">
        <v>44020</v>
      </c>
      <c r="B33" s="725" t="s">
        <v>4973</v>
      </c>
      <c r="C33" s="665">
        <v>563783721</v>
      </c>
      <c r="D33" s="765">
        <f t="shared" si="5"/>
        <v>44035</v>
      </c>
      <c r="E33" s="654">
        <f t="shared" si="0"/>
        <v>1</v>
      </c>
      <c r="F33" s="634">
        <v>563783721</v>
      </c>
      <c r="G33" s="633">
        <v>44034</v>
      </c>
      <c r="H33" s="634"/>
      <c r="I33" s="635"/>
      <c r="J33" s="634"/>
      <c r="K33" s="636"/>
      <c r="L33" s="698">
        <f t="shared" si="4"/>
        <v>0</v>
      </c>
      <c r="M33" s="739">
        <f t="shared" si="6"/>
        <v>9239788.7608333342</v>
      </c>
      <c r="N33" s="637"/>
      <c r="O33" s="638"/>
      <c r="P33" s="637">
        <v>2392949</v>
      </c>
      <c r="Q33" s="682">
        <v>44034</v>
      </c>
      <c r="R33" s="637"/>
      <c r="S33" s="637"/>
      <c r="T33" s="747"/>
      <c r="U33" s="748"/>
      <c r="V33" s="748"/>
      <c r="W33" s="749"/>
      <c r="X33" s="750"/>
      <c r="Y33" s="751"/>
      <c r="Z33" s="751"/>
      <c r="AA33" s="751"/>
      <c r="AB33" s="751"/>
      <c r="AC33" s="751"/>
      <c r="AD33" s="751"/>
      <c r="AE33" s="751"/>
      <c r="AF33" s="751"/>
      <c r="AG33" s="751"/>
      <c r="AH33" s="751"/>
      <c r="AI33" s="751"/>
      <c r="AJ33" s="751"/>
      <c r="AK33" s="751"/>
      <c r="AL33" s="751"/>
      <c r="AM33" s="751"/>
      <c r="AN33" s="751"/>
      <c r="AO33" s="751"/>
      <c r="AP33" s="751"/>
      <c r="AQ33" s="751"/>
      <c r="AR33" s="751"/>
      <c r="AS33" s="751"/>
      <c r="AT33" s="751"/>
      <c r="AU33" s="751"/>
      <c r="AV33" s="751"/>
      <c r="AW33" s="751"/>
      <c r="AX33" s="751"/>
      <c r="AY33" s="751"/>
      <c r="AZ33" s="751"/>
      <c r="BA33" s="751"/>
      <c r="BB33" s="751"/>
      <c r="BC33" s="751"/>
      <c r="BD33" s="751"/>
      <c r="BE33" s="751"/>
      <c r="BF33" s="751"/>
      <c r="BG33" s="751"/>
      <c r="BH33" s="751"/>
      <c r="BI33" s="751"/>
      <c r="BJ33" s="751"/>
      <c r="BK33" s="751"/>
      <c r="BL33" s="751"/>
      <c r="BM33" s="751"/>
      <c r="BN33" s="751"/>
      <c r="BO33" s="751"/>
      <c r="BP33" s="751"/>
      <c r="BQ33" s="751"/>
      <c r="BR33" s="751"/>
      <c r="BS33" s="751"/>
      <c r="BT33" s="751"/>
      <c r="BU33" s="751"/>
      <c r="BV33" s="751"/>
      <c r="BW33" s="751"/>
      <c r="BX33" s="751"/>
      <c r="BY33" s="751"/>
      <c r="BZ33" s="751"/>
      <c r="CA33" s="751"/>
      <c r="CB33" s="751"/>
      <c r="CC33" s="751"/>
      <c r="CD33" s="751"/>
      <c r="CE33" s="751"/>
      <c r="CF33" s="751"/>
      <c r="CG33" s="751"/>
      <c r="CH33" s="751"/>
      <c r="CI33" s="751"/>
      <c r="CJ33" s="751"/>
      <c r="CK33" s="751"/>
      <c r="CL33" s="751"/>
      <c r="CM33" s="751"/>
      <c r="CN33" s="751"/>
      <c r="CO33" s="751"/>
      <c r="CP33" s="751"/>
      <c r="CQ33" s="751"/>
      <c r="CR33" s="751"/>
      <c r="CS33" s="751"/>
      <c r="CT33" s="751"/>
      <c r="CU33" s="751"/>
      <c r="CV33" s="751"/>
      <c r="CW33" s="751"/>
      <c r="CX33" s="751"/>
      <c r="CY33" s="751"/>
      <c r="CZ33" s="751"/>
      <c r="DA33" s="751"/>
      <c r="DB33" s="751"/>
      <c r="DC33" s="751"/>
      <c r="DD33" s="751"/>
      <c r="DE33" s="751"/>
      <c r="DF33" s="751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751"/>
      <c r="EZ33" s="751"/>
      <c r="FA33" s="751"/>
      <c r="FB33" s="751"/>
      <c r="FC33" s="751"/>
      <c r="FD33" s="751"/>
      <c r="FE33" s="751"/>
      <c r="FF33" s="751"/>
      <c r="FG33" s="751"/>
      <c r="FH33" s="751"/>
      <c r="FI33" s="751"/>
      <c r="FJ33" s="751"/>
      <c r="FK33" s="751"/>
      <c r="FL33" s="751"/>
      <c r="FM33" s="751"/>
      <c r="FN33" s="751"/>
      <c r="FO33" s="751"/>
      <c r="FP33" s="751"/>
      <c r="FQ33" s="751"/>
      <c r="FR33" s="751"/>
      <c r="FS33" s="751"/>
      <c r="FT33" s="751"/>
      <c r="FU33" s="751"/>
      <c r="FV33" s="751"/>
      <c r="FW33" s="751"/>
      <c r="FX33" s="751"/>
      <c r="FY33" s="751"/>
      <c r="FZ33" s="751"/>
      <c r="GA33" s="751"/>
      <c r="GB33" s="751"/>
      <c r="GC33" s="751"/>
      <c r="GD33" s="751"/>
      <c r="GE33" s="751"/>
      <c r="GF33" s="751"/>
      <c r="GG33" s="751"/>
      <c r="GH33" s="751"/>
      <c r="GI33" s="751"/>
      <c r="GJ33" s="751"/>
      <c r="GK33" s="751"/>
      <c r="GL33" s="751"/>
      <c r="GM33" s="751"/>
      <c r="GN33" s="751"/>
      <c r="GO33" s="751"/>
      <c r="GP33" s="751"/>
      <c r="GQ33" s="751"/>
      <c r="GR33" s="751"/>
      <c r="GS33" s="751"/>
      <c r="GT33" s="751"/>
      <c r="GU33" s="751"/>
      <c r="GV33" s="751"/>
      <c r="GW33" s="751"/>
      <c r="GX33" s="751"/>
      <c r="GY33" s="751"/>
      <c r="GZ33" s="751"/>
      <c r="HA33" s="751"/>
      <c r="HB33" s="751"/>
      <c r="HC33" s="751"/>
      <c r="HD33" s="751"/>
      <c r="HE33" s="751"/>
      <c r="HF33" s="751"/>
      <c r="HG33" s="751"/>
      <c r="HH33" s="751"/>
      <c r="HI33" s="751"/>
      <c r="HJ33" s="751"/>
      <c r="HK33" s="751"/>
      <c r="HL33" s="751"/>
      <c r="HM33" s="751"/>
      <c r="HN33" s="751"/>
      <c r="HO33" s="751"/>
      <c r="HP33" s="751"/>
      <c r="HQ33" s="751"/>
      <c r="HR33" s="751"/>
      <c r="HS33" s="751"/>
      <c r="HT33" s="751"/>
      <c r="HU33" s="751"/>
      <c r="HV33" s="751"/>
      <c r="HW33" s="751"/>
      <c r="HX33" s="751"/>
      <c r="HY33" s="751"/>
      <c r="HZ33" s="751"/>
      <c r="IA33" s="751"/>
      <c r="IB33" s="751"/>
      <c r="IC33" s="751"/>
      <c r="ID33" s="751"/>
      <c r="IE33" s="751"/>
      <c r="IF33" s="751"/>
      <c r="IG33" s="751"/>
      <c r="IH33" s="751"/>
      <c r="II33" s="751"/>
      <c r="IJ33" s="751"/>
      <c r="IK33" s="751"/>
      <c r="IL33" s="751"/>
      <c r="IM33" s="751"/>
      <c r="IN33" s="751"/>
      <c r="IO33" s="751"/>
      <c r="IP33" s="751"/>
      <c r="IQ33" s="751"/>
      <c r="IR33" s="751"/>
      <c r="IS33" s="751"/>
      <c r="IT33" s="751"/>
      <c r="IU33" s="751"/>
    </row>
    <row r="34" spans="1:255" s="746" customFormat="1" ht="15" customHeight="1" x14ac:dyDescent="0.25">
      <c r="A34" s="715">
        <v>44022</v>
      </c>
      <c r="B34" s="725" t="s">
        <v>4973</v>
      </c>
      <c r="C34" s="665">
        <v>1134378045</v>
      </c>
      <c r="D34" s="765">
        <f t="shared" si="5"/>
        <v>44037</v>
      </c>
      <c r="E34" s="654">
        <f t="shared" si="0"/>
        <v>1</v>
      </c>
      <c r="F34" s="634">
        <v>1134378045</v>
      </c>
      <c r="G34" s="633">
        <v>44036</v>
      </c>
      <c r="H34" s="634"/>
      <c r="I34" s="635"/>
      <c r="J34" s="634"/>
      <c r="K34" s="636"/>
      <c r="L34" s="698">
        <f t="shared" si="4"/>
        <v>0</v>
      </c>
      <c r="M34" s="637">
        <f t="shared" si="6"/>
        <v>18591195.737500001</v>
      </c>
      <c r="N34" s="637"/>
      <c r="O34" s="638"/>
      <c r="P34" s="637">
        <v>4688763</v>
      </c>
      <c r="Q34" s="682">
        <v>44036</v>
      </c>
      <c r="R34" s="637"/>
      <c r="S34" s="709"/>
      <c r="T34" s="741"/>
      <c r="U34" s="742"/>
      <c r="V34" s="742"/>
      <c r="W34" s="743"/>
      <c r="X34" s="744"/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  <c r="AX34" s="745"/>
      <c r="AY34" s="745"/>
      <c r="AZ34" s="745"/>
      <c r="BA34" s="745"/>
      <c r="BB34" s="745"/>
      <c r="BC34" s="745"/>
      <c r="BD34" s="745"/>
      <c r="BE34" s="745"/>
      <c r="BF34" s="745"/>
      <c r="BG34" s="745"/>
      <c r="BH34" s="745"/>
      <c r="BI34" s="745"/>
      <c r="BJ34" s="745"/>
      <c r="BK34" s="745"/>
      <c r="BL34" s="745"/>
      <c r="BM34" s="745"/>
      <c r="BN34" s="745"/>
      <c r="BO34" s="745"/>
      <c r="BP34" s="745"/>
      <c r="BQ34" s="745"/>
      <c r="BR34" s="745"/>
      <c r="BS34" s="745"/>
      <c r="BT34" s="745"/>
      <c r="BU34" s="745"/>
      <c r="BV34" s="745"/>
      <c r="BW34" s="745"/>
      <c r="BX34" s="745"/>
      <c r="BY34" s="745"/>
      <c r="BZ34" s="745"/>
      <c r="CA34" s="745"/>
      <c r="CB34" s="745"/>
      <c r="CC34" s="745"/>
      <c r="CD34" s="745"/>
      <c r="CE34" s="745"/>
      <c r="CF34" s="745"/>
      <c r="CG34" s="745"/>
      <c r="CH34" s="745"/>
      <c r="CI34" s="745"/>
      <c r="CJ34" s="745"/>
      <c r="CK34" s="745"/>
      <c r="CL34" s="745"/>
      <c r="CM34" s="745"/>
      <c r="CN34" s="745"/>
      <c r="CO34" s="745"/>
      <c r="CP34" s="745"/>
      <c r="CQ34" s="745"/>
      <c r="CR34" s="745"/>
      <c r="CS34" s="745"/>
      <c r="CT34" s="745"/>
      <c r="CU34" s="745"/>
      <c r="CV34" s="745"/>
      <c r="CW34" s="745"/>
      <c r="CX34" s="745"/>
      <c r="CY34" s="745"/>
      <c r="CZ34" s="745"/>
      <c r="DA34" s="745"/>
      <c r="DB34" s="745"/>
      <c r="DC34" s="745"/>
      <c r="DD34" s="745"/>
      <c r="DE34" s="745"/>
      <c r="DF34" s="74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745"/>
      <c r="FF34" s="745"/>
      <c r="FG34" s="745"/>
      <c r="FH34" s="745"/>
      <c r="FI34" s="745"/>
      <c r="FJ34" s="745"/>
      <c r="FK34" s="745"/>
      <c r="FL34" s="745"/>
      <c r="FM34" s="745"/>
      <c r="FN34" s="745"/>
      <c r="FO34" s="745"/>
      <c r="FP34" s="745"/>
      <c r="FQ34" s="745"/>
      <c r="FR34" s="745"/>
      <c r="FS34" s="745"/>
      <c r="FT34" s="745"/>
      <c r="FU34" s="745"/>
      <c r="FV34" s="745"/>
      <c r="FW34" s="745"/>
      <c r="FX34" s="745"/>
      <c r="FY34" s="745"/>
      <c r="FZ34" s="745"/>
      <c r="GA34" s="745"/>
      <c r="GB34" s="745"/>
      <c r="GC34" s="745"/>
      <c r="GD34" s="745"/>
      <c r="GE34" s="745"/>
      <c r="GF34" s="745"/>
      <c r="GG34" s="745"/>
      <c r="GH34" s="745"/>
      <c r="GI34" s="745"/>
      <c r="GJ34" s="745"/>
      <c r="GK34" s="745"/>
      <c r="GL34" s="745"/>
      <c r="GM34" s="745"/>
      <c r="GN34" s="745"/>
      <c r="GO34" s="745"/>
      <c r="GP34" s="745"/>
      <c r="GQ34" s="745"/>
      <c r="GR34" s="745"/>
      <c r="GS34" s="745"/>
      <c r="GT34" s="745"/>
      <c r="GU34" s="745"/>
      <c r="GV34" s="745"/>
      <c r="GW34" s="745"/>
      <c r="GX34" s="745"/>
      <c r="GY34" s="745"/>
      <c r="GZ34" s="745"/>
      <c r="HA34" s="745"/>
      <c r="HB34" s="745"/>
      <c r="HC34" s="745"/>
      <c r="HD34" s="745"/>
      <c r="HE34" s="745"/>
      <c r="HF34" s="745"/>
      <c r="HG34" s="745"/>
      <c r="HH34" s="745"/>
      <c r="HI34" s="745"/>
      <c r="HJ34" s="745"/>
      <c r="HK34" s="745"/>
      <c r="HL34" s="745"/>
      <c r="HM34" s="745"/>
      <c r="HN34" s="745"/>
      <c r="HO34" s="745"/>
      <c r="HP34" s="745"/>
      <c r="HQ34" s="745"/>
      <c r="HR34" s="745"/>
      <c r="HS34" s="745"/>
      <c r="HT34" s="745"/>
      <c r="HU34" s="745"/>
      <c r="HV34" s="745"/>
      <c r="HW34" s="745"/>
      <c r="HX34" s="745"/>
      <c r="HY34" s="745"/>
      <c r="HZ34" s="745"/>
      <c r="IA34" s="745"/>
      <c r="IB34" s="745"/>
      <c r="IC34" s="745"/>
      <c r="ID34" s="745"/>
      <c r="IE34" s="745"/>
      <c r="IF34" s="745"/>
      <c r="IG34" s="745"/>
      <c r="IH34" s="745"/>
      <c r="II34" s="745"/>
      <c r="IJ34" s="745"/>
      <c r="IK34" s="745"/>
      <c r="IL34" s="745"/>
      <c r="IM34" s="745"/>
      <c r="IN34" s="745"/>
      <c r="IO34" s="745"/>
      <c r="IP34" s="745"/>
      <c r="IQ34" s="745"/>
      <c r="IR34" s="745"/>
      <c r="IS34" s="745"/>
      <c r="IT34" s="745"/>
      <c r="IU34" s="745"/>
    </row>
    <row r="35" spans="1:255" s="662" customFormat="1" ht="15" customHeight="1" x14ac:dyDescent="0.25">
      <c r="A35" s="758">
        <v>44025</v>
      </c>
      <c r="B35" s="761" t="s">
        <v>4973</v>
      </c>
      <c r="C35" s="762">
        <v>907288517</v>
      </c>
      <c r="D35" s="765">
        <f t="shared" si="5"/>
        <v>44040</v>
      </c>
      <c r="E35" s="767">
        <f t="shared" si="0"/>
        <v>0</v>
      </c>
      <c r="F35" s="769">
        <v>907288517</v>
      </c>
      <c r="G35" s="764">
        <v>44040</v>
      </c>
      <c r="H35" s="769"/>
      <c r="I35" s="772"/>
      <c r="J35" s="769"/>
      <c r="K35" s="775"/>
      <c r="L35" s="698">
        <f t="shared" si="4"/>
        <v>0</v>
      </c>
      <c r="M35" s="782">
        <f t="shared" si="6"/>
        <v>14869450.695277778</v>
      </c>
      <c r="N35" s="782"/>
      <c r="O35" s="784"/>
      <c r="P35" s="782">
        <v>3984509</v>
      </c>
      <c r="Q35" s="682">
        <v>44040</v>
      </c>
      <c r="R35" s="782"/>
      <c r="S35" s="740"/>
      <c r="T35" s="700"/>
      <c r="U35" s="701"/>
      <c r="V35" s="701"/>
      <c r="W35" s="702"/>
      <c r="X35" s="660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  <c r="IN35" s="661"/>
      <c r="IO35" s="661"/>
      <c r="IP35" s="661"/>
      <c r="IQ35" s="661"/>
      <c r="IR35" s="661"/>
      <c r="IS35" s="661"/>
      <c r="IT35" s="661"/>
      <c r="IU35" s="661"/>
    </row>
    <row r="36" spans="1:255" s="714" customFormat="1" ht="15" customHeight="1" x14ac:dyDescent="0.25">
      <c r="A36" s="715">
        <v>44029</v>
      </c>
      <c r="B36" s="725" t="s">
        <v>4973</v>
      </c>
      <c r="C36" s="665">
        <v>1128800420</v>
      </c>
      <c r="D36" s="765">
        <f t="shared" si="5"/>
        <v>44044</v>
      </c>
      <c r="E36" s="654">
        <f t="shared" si="0"/>
        <v>3</v>
      </c>
      <c r="F36" s="634">
        <v>1128800420</v>
      </c>
      <c r="G36" s="764">
        <v>44041</v>
      </c>
      <c r="H36" s="634"/>
      <c r="I36" s="635"/>
      <c r="J36" s="634"/>
      <c r="K36" s="636"/>
      <c r="L36" s="698">
        <f t="shared" si="4"/>
        <v>0</v>
      </c>
      <c r="M36" s="739">
        <f t="shared" si="6"/>
        <v>18499784.661111113</v>
      </c>
      <c r="N36" s="637"/>
      <c r="O36" s="638"/>
      <c r="P36" s="637">
        <v>4082495</v>
      </c>
      <c r="Q36" s="682">
        <v>44041</v>
      </c>
      <c r="R36" s="637"/>
      <c r="S36" s="709"/>
      <c r="T36" s="709"/>
      <c r="U36" s="710"/>
      <c r="V36" s="710"/>
      <c r="W36" s="711"/>
      <c r="X36" s="712"/>
      <c r="Y36" s="713"/>
      <c r="Z36" s="713"/>
      <c r="AA36" s="713"/>
      <c r="AB36" s="713"/>
      <c r="AC36" s="713"/>
      <c r="AD36" s="713"/>
      <c r="AE36" s="713"/>
      <c r="AF36" s="713"/>
      <c r="AG36" s="713"/>
      <c r="AH36" s="713"/>
      <c r="AI36" s="713"/>
      <c r="AJ36" s="713"/>
      <c r="AK36" s="713"/>
      <c r="AL36" s="713"/>
      <c r="AM36" s="713"/>
      <c r="AN36" s="713"/>
      <c r="AO36" s="713"/>
      <c r="AP36" s="713"/>
      <c r="AQ36" s="713"/>
      <c r="AR36" s="713"/>
      <c r="AS36" s="713"/>
      <c r="AT36" s="713"/>
      <c r="AU36" s="713"/>
      <c r="AV36" s="713"/>
      <c r="AW36" s="713"/>
      <c r="AX36" s="713"/>
      <c r="AY36" s="713"/>
      <c r="AZ36" s="713"/>
      <c r="BA36" s="713"/>
      <c r="BB36" s="713"/>
      <c r="BC36" s="713"/>
      <c r="BD36" s="713"/>
      <c r="BE36" s="713"/>
      <c r="BF36" s="713"/>
      <c r="BG36" s="713"/>
      <c r="BH36" s="713"/>
      <c r="BI36" s="713"/>
      <c r="BJ36" s="713"/>
      <c r="BK36" s="713"/>
      <c r="BL36" s="713"/>
      <c r="BM36" s="713"/>
      <c r="BN36" s="713"/>
      <c r="BO36" s="713"/>
      <c r="BP36" s="713"/>
      <c r="BQ36" s="713"/>
      <c r="BR36" s="713"/>
      <c r="BS36" s="713"/>
      <c r="BT36" s="713"/>
      <c r="BU36" s="713"/>
      <c r="BV36" s="713"/>
      <c r="BW36" s="713"/>
      <c r="BX36" s="713"/>
      <c r="BY36" s="713"/>
      <c r="BZ36" s="713"/>
      <c r="CA36" s="713"/>
      <c r="CB36" s="713"/>
      <c r="CC36" s="713"/>
      <c r="CD36" s="713"/>
      <c r="CE36" s="713"/>
      <c r="CF36" s="713"/>
      <c r="CG36" s="713"/>
      <c r="CH36" s="713"/>
      <c r="CI36" s="713"/>
      <c r="CJ36" s="713"/>
      <c r="CK36" s="713"/>
      <c r="CL36" s="713"/>
      <c r="CM36" s="713"/>
      <c r="CN36" s="713"/>
      <c r="CO36" s="713"/>
      <c r="CP36" s="713"/>
      <c r="CQ36" s="713"/>
      <c r="CR36" s="713"/>
      <c r="CS36" s="713"/>
      <c r="CT36" s="713"/>
      <c r="CU36" s="713"/>
      <c r="CV36" s="713"/>
      <c r="CW36" s="713"/>
      <c r="CX36" s="713"/>
      <c r="CY36" s="713"/>
      <c r="CZ36" s="713"/>
      <c r="DA36" s="713"/>
      <c r="DB36" s="713"/>
      <c r="DC36" s="713"/>
      <c r="DD36" s="713"/>
      <c r="DE36" s="713"/>
      <c r="DF36" s="713"/>
      <c r="DG36" s="713"/>
      <c r="DH36" s="713"/>
      <c r="DI36" s="713"/>
      <c r="DJ36" s="713"/>
      <c r="DK36" s="713"/>
      <c r="DL36" s="713"/>
      <c r="DM36" s="713"/>
      <c r="DN36" s="713"/>
      <c r="DO36" s="713"/>
      <c r="DP36" s="713"/>
      <c r="DQ36" s="713"/>
      <c r="DR36" s="713"/>
      <c r="DS36" s="713"/>
      <c r="DT36" s="713"/>
      <c r="DU36" s="713"/>
      <c r="DV36" s="713"/>
      <c r="DW36" s="713"/>
      <c r="DX36" s="713"/>
      <c r="DY36" s="713"/>
      <c r="DZ36" s="713"/>
      <c r="EA36" s="713"/>
      <c r="EB36" s="713"/>
      <c r="EC36" s="713"/>
      <c r="ED36" s="713"/>
      <c r="EE36" s="713"/>
      <c r="EF36" s="713"/>
      <c r="EG36" s="713"/>
      <c r="EH36" s="713"/>
      <c r="EI36" s="713"/>
      <c r="EJ36" s="713"/>
      <c r="EK36" s="713"/>
      <c r="EL36" s="713"/>
      <c r="EM36" s="713"/>
      <c r="EN36" s="713"/>
      <c r="EO36" s="713"/>
      <c r="EP36" s="713"/>
      <c r="EQ36" s="713"/>
      <c r="ER36" s="713"/>
      <c r="ES36" s="713"/>
      <c r="ET36" s="713"/>
      <c r="EU36" s="713"/>
      <c r="EV36" s="713"/>
      <c r="EW36" s="713"/>
      <c r="EX36" s="713"/>
      <c r="EY36" s="713"/>
      <c r="EZ36" s="713"/>
      <c r="FA36" s="713"/>
      <c r="FB36" s="713"/>
      <c r="FC36" s="713"/>
      <c r="FD36" s="713"/>
      <c r="FE36" s="713"/>
      <c r="FF36" s="713"/>
      <c r="FG36" s="713"/>
      <c r="FH36" s="713"/>
      <c r="FI36" s="713"/>
      <c r="FJ36" s="713"/>
      <c r="FK36" s="713"/>
      <c r="FL36" s="713"/>
      <c r="FM36" s="713"/>
      <c r="FN36" s="713"/>
      <c r="FO36" s="713"/>
      <c r="FP36" s="713"/>
      <c r="FQ36" s="713"/>
      <c r="FR36" s="713"/>
      <c r="FS36" s="713"/>
      <c r="FT36" s="713"/>
      <c r="FU36" s="713"/>
      <c r="FV36" s="713"/>
      <c r="FW36" s="713"/>
      <c r="FX36" s="713"/>
      <c r="FY36" s="713"/>
      <c r="FZ36" s="713"/>
      <c r="GA36" s="713"/>
      <c r="GB36" s="713"/>
      <c r="GC36" s="713"/>
      <c r="GD36" s="713"/>
      <c r="GE36" s="713"/>
      <c r="GF36" s="713"/>
      <c r="GG36" s="713"/>
      <c r="GH36" s="713"/>
      <c r="GI36" s="713"/>
      <c r="GJ36" s="713"/>
      <c r="GK36" s="713"/>
      <c r="GL36" s="713"/>
      <c r="GM36" s="713"/>
      <c r="GN36" s="713"/>
      <c r="GO36" s="713"/>
      <c r="GP36" s="713"/>
      <c r="GQ36" s="713"/>
      <c r="GR36" s="713"/>
      <c r="GS36" s="713"/>
      <c r="GT36" s="713"/>
      <c r="GU36" s="713"/>
      <c r="GV36" s="713"/>
      <c r="GW36" s="713"/>
      <c r="GX36" s="713"/>
      <c r="GY36" s="713"/>
      <c r="GZ36" s="713"/>
      <c r="HA36" s="713"/>
      <c r="HB36" s="713"/>
      <c r="HC36" s="713"/>
      <c r="HD36" s="713"/>
      <c r="HE36" s="713"/>
      <c r="HF36" s="713"/>
      <c r="HG36" s="713"/>
      <c r="HH36" s="713"/>
      <c r="HI36" s="713"/>
      <c r="HJ36" s="713"/>
      <c r="HK36" s="713"/>
      <c r="HL36" s="713"/>
      <c r="HM36" s="713"/>
      <c r="HN36" s="713"/>
      <c r="HO36" s="713"/>
      <c r="HP36" s="713"/>
      <c r="HQ36" s="713"/>
      <c r="HR36" s="713"/>
      <c r="HS36" s="713"/>
      <c r="HT36" s="713"/>
      <c r="HU36" s="713"/>
      <c r="HV36" s="713"/>
      <c r="HW36" s="713"/>
      <c r="HX36" s="713"/>
      <c r="HY36" s="713"/>
      <c r="HZ36" s="713"/>
      <c r="IA36" s="713"/>
      <c r="IB36" s="713"/>
      <c r="IC36" s="713"/>
      <c r="ID36" s="713"/>
      <c r="IE36" s="713"/>
      <c r="IF36" s="713"/>
      <c r="IG36" s="713"/>
      <c r="IH36" s="713"/>
      <c r="II36" s="713"/>
      <c r="IJ36" s="713"/>
      <c r="IK36" s="713"/>
      <c r="IL36" s="713"/>
      <c r="IM36" s="713"/>
      <c r="IN36" s="713"/>
      <c r="IO36" s="713"/>
      <c r="IP36" s="713"/>
      <c r="IQ36" s="713"/>
      <c r="IR36" s="713"/>
      <c r="IS36" s="713"/>
      <c r="IT36" s="713"/>
      <c r="IU36" s="713"/>
    </row>
    <row r="37" spans="1:255" s="642" customFormat="1" ht="15" customHeight="1" x14ac:dyDescent="0.25">
      <c r="A37" s="695">
        <v>44032</v>
      </c>
      <c r="B37" s="696" t="s">
        <v>4973</v>
      </c>
      <c r="C37" s="697">
        <v>1476695100</v>
      </c>
      <c r="D37" s="765">
        <f t="shared" si="5"/>
        <v>44047</v>
      </c>
      <c r="E37" s="654">
        <f t="shared" si="0"/>
        <v>5</v>
      </c>
      <c r="F37" s="634">
        <v>1476695100</v>
      </c>
      <c r="G37" s="764">
        <v>44042</v>
      </c>
      <c r="H37" s="634"/>
      <c r="I37" s="635"/>
      <c r="J37" s="634"/>
      <c r="K37" s="636"/>
      <c r="L37" s="681">
        <f t="shared" si="4"/>
        <v>0</v>
      </c>
      <c r="M37" s="637">
        <f t="shared" si="6"/>
        <v>24201391.916666668</v>
      </c>
      <c r="N37" s="637"/>
      <c r="O37" s="638"/>
      <c r="P37" s="637">
        <v>4959234</v>
      </c>
      <c r="Q37" s="682">
        <v>44042</v>
      </c>
      <c r="R37" s="637"/>
      <c r="S37" s="637"/>
      <c r="T37" s="637"/>
      <c r="U37" s="638"/>
      <c r="V37" s="638"/>
      <c r="W37" s="639"/>
      <c r="X37" s="640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1"/>
      <c r="BC37" s="641"/>
      <c r="BD37" s="641"/>
      <c r="BE37" s="641"/>
      <c r="BF37" s="641"/>
      <c r="BG37" s="641"/>
      <c r="BH37" s="641"/>
      <c r="BI37" s="641"/>
      <c r="BJ37" s="641"/>
      <c r="BK37" s="641"/>
      <c r="BL37" s="641"/>
      <c r="BM37" s="641"/>
      <c r="BN37" s="641"/>
      <c r="BO37" s="641"/>
      <c r="BP37" s="641"/>
      <c r="BQ37" s="641"/>
      <c r="BR37" s="641"/>
      <c r="BS37" s="641"/>
      <c r="BT37" s="641"/>
      <c r="BU37" s="641"/>
      <c r="BV37" s="641"/>
      <c r="BW37" s="641"/>
      <c r="BX37" s="641"/>
      <c r="BY37" s="641"/>
      <c r="BZ37" s="641"/>
      <c r="CA37" s="641"/>
      <c r="CB37" s="641"/>
      <c r="CC37" s="641"/>
      <c r="CD37" s="641"/>
      <c r="CE37" s="641"/>
      <c r="CF37" s="641"/>
      <c r="CG37" s="641"/>
      <c r="CH37" s="641"/>
      <c r="CI37" s="641"/>
      <c r="CJ37" s="641"/>
      <c r="CK37" s="641"/>
      <c r="CL37" s="641"/>
      <c r="CM37" s="641"/>
      <c r="CN37" s="641"/>
      <c r="CO37" s="641"/>
      <c r="CP37" s="641"/>
      <c r="CQ37" s="641"/>
      <c r="CR37" s="641"/>
      <c r="CS37" s="641"/>
      <c r="CT37" s="641"/>
      <c r="CU37" s="641"/>
      <c r="CV37" s="641"/>
      <c r="CW37" s="641"/>
      <c r="CX37" s="641"/>
      <c r="CY37" s="641"/>
      <c r="CZ37" s="641"/>
      <c r="DA37" s="641"/>
      <c r="DB37" s="641"/>
      <c r="DC37" s="641"/>
      <c r="DD37" s="641"/>
      <c r="DE37" s="641"/>
      <c r="DF37" s="641"/>
      <c r="DG37" s="641"/>
      <c r="DH37" s="641"/>
      <c r="DI37" s="641"/>
      <c r="DJ37" s="641"/>
      <c r="DK37" s="641"/>
      <c r="DL37" s="641"/>
      <c r="DM37" s="641"/>
      <c r="DN37" s="641"/>
      <c r="DO37" s="641"/>
      <c r="DP37" s="641"/>
      <c r="DQ37" s="641"/>
      <c r="DR37" s="641"/>
      <c r="DS37" s="641"/>
      <c r="DT37" s="641"/>
      <c r="DU37" s="641"/>
      <c r="DV37" s="641"/>
      <c r="DW37" s="641"/>
      <c r="DX37" s="641"/>
      <c r="DY37" s="641"/>
      <c r="DZ37" s="641"/>
      <c r="EA37" s="641"/>
      <c r="EB37" s="641"/>
      <c r="EC37" s="641"/>
      <c r="ED37" s="641"/>
      <c r="EE37" s="641"/>
      <c r="EF37" s="641"/>
      <c r="EG37" s="641"/>
      <c r="EH37" s="641"/>
      <c r="EI37" s="641"/>
      <c r="EJ37" s="641"/>
      <c r="EK37" s="641"/>
      <c r="EL37" s="641"/>
      <c r="EM37" s="641"/>
      <c r="EN37" s="641"/>
      <c r="EO37" s="641"/>
      <c r="EP37" s="641"/>
      <c r="EQ37" s="641"/>
      <c r="ER37" s="641"/>
      <c r="ES37" s="641"/>
      <c r="ET37" s="641"/>
      <c r="EU37" s="641"/>
      <c r="EV37" s="641"/>
      <c r="EW37" s="641"/>
      <c r="EX37" s="641"/>
      <c r="EY37" s="641"/>
      <c r="EZ37" s="641"/>
      <c r="FA37" s="641"/>
      <c r="FB37" s="641"/>
      <c r="FC37" s="641"/>
      <c r="FD37" s="641"/>
      <c r="FE37" s="641"/>
      <c r="FF37" s="641"/>
      <c r="FG37" s="641"/>
      <c r="FH37" s="641"/>
      <c r="FI37" s="641"/>
      <c r="FJ37" s="641"/>
      <c r="FK37" s="641"/>
      <c r="FL37" s="641"/>
      <c r="FM37" s="641"/>
      <c r="FN37" s="641"/>
      <c r="FO37" s="641"/>
      <c r="FP37" s="641"/>
      <c r="FQ37" s="641"/>
      <c r="FR37" s="641"/>
      <c r="FS37" s="641"/>
      <c r="FT37" s="641"/>
      <c r="FU37" s="641"/>
      <c r="FV37" s="641"/>
      <c r="FW37" s="641"/>
      <c r="FX37" s="641"/>
      <c r="FY37" s="641"/>
      <c r="FZ37" s="641"/>
      <c r="GA37" s="641"/>
      <c r="GB37" s="641"/>
      <c r="GC37" s="641"/>
      <c r="GD37" s="641"/>
      <c r="GE37" s="641"/>
      <c r="GF37" s="641"/>
      <c r="GG37" s="641"/>
      <c r="GH37" s="641"/>
      <c r="GI37" s="641"/>
      <c r="GJ37" s="641"/>
      <c r="GK37" s="641"/>
      <c r="GL37" s="641"/>
      <c r="GM37" s="641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1"/>
      <c r="HY37" s="641"/>
      <c r="HZ37" s="641"/>
      <c r="IA37" s="641"/>
      <c r="IB37" s="641"/>
      <c r="IC37" s="641"/>
      <c r="ID37" s="641"/>
      <c r="IE37" s="641"/>
      <c r="IF37" s="641"/>
      <c r="IG37" s="641"/>
      <c r="IH37" s="641"/>
      <c r="II37" s="641"/>
      <c r="IJ37" s="641"/>
      <c r="IK37" s="641"/>
      <c r="IL37" s="641"/>
      <c r="IM37" s="641"/>
      <c r="IN37" s="641"/>
      <c r="IO37" s="641"/>
      <c r="IP37" s="641"/>
      <c r="IQ37" s="641"/>
      <c r="IR37" s="641"/>
      <c r="IS37" s="641"/>
      <c r="IT37" s="641"/>
      <c r="IU37" s="641"/>
    </row>
    <row r="38" spans="1:255" s="714" customFormat="1" ht="15" customHeight="1" x14ac:dyDescent="0.25">
      <c r="A38" s="695">
        <v>44036</v>
      </c>
      <c r="B38" s="696" t="s">
        <v>5932</v>
      </c>
      <c r="C38" s="697">
        <v>1340666250</v>
      </c>
      <c r="D38" s="765">
        <f t="shared" si="5"/>
        <v>44051</v>
      </c>
      <c r="E38" s="654">
        <f t="shared" si="0"/>
        <v>44051</v>
      </c>
      <c r="F38" s="634"/>
      <c r="G38" s="764"/>
      <c r="H38" s="634"/>
      <c r="I38" s="635"/>
      <c r="J38" s="634"/>
      <c r="K38" s="636"/>
      <c r="L38" s="698">
        <f t="shared" si="4"/>
        <v>1340666250</v>
      </c>
      <c r="M38" s="739">
        <f t="shared" si="6"/>
        <v>21972030.208333336</v>
      </c>
      <c r="N38" s="637"/>
      <c r="O38" s="638"/>
      <c r="P38" s="637"/>
      <c r="Q38" s="682"/>
      <c r="R38" s="637"/>
      <c r="S38" s="709"/>
      <c r="T38" s="709"/>
      <c r="U38" s="710"/>
      <c r="V38" s="710"/>
      <c r="W38" s="711"/>
      <c r="X38" s="712"/>
      <c r="Y38" s="713"/>
      <c r="Z38" s="713"/>
      <c r="AA38" s="713"/>
      <c r="AB38" s="713"/>
      <c r="AC38" s="713"/>
      <c r="AD38" s="713"/>
      <c r="AE38" s="713"/>
      <c r="AF38" s="713"/>
      <c r="AG38" s="713"/>
      <c r="AH38" s="713"/>
      <c r="AI38" s="713"/>
      <c r="AJ38" s="713"/>
      <c r="AK38" s="713"/>
      <c r="AL38" s="713"/>
      <c r="AM38" s="713"/>
      <c r="AN38" s="713"/>
      <c r="AO38" s="713"/>
      <c r="AP38" s="713"/>
      <c r="AQ38" s="713"/>
      <c r="AR38" s="713"/>
      <c r="AS38" s="713"/>
      <c r="AT38" s="713"/>
      <c r="AU38" s="713"/>
      <c r="AV38" s="713"/>
      <c r="AW38" s="713"/>
      <c r="AX38" s="713"/>
      <c r="AY38" s="713"/>
      <c r="AZ38" s="713"/>
      <c r="BA38" s="713"/>
      <c r="BB38" s="713"/>
      <c r="BC38" s="713"/>
      <c r="BD38" s="713"/>
      <c r="BE38" s="713"/>
      <c r="BF38" s="713"/>
      <c r="BG38" s="713"/>
      <c r="BH38" s="713"/>
      <c r="BI38" s="713"/>
      <c r="BJ38" s="713"/>
      <c r="BK38" s="713"/>
      <c r="BL38" s="713"/>
      <c r="BM38" s="713"/>
      <c r="BN38" s="713"/>
      <c r="BO38" s="713"/>
      <c r="BP38" s="713"/>
      <c r="BQ38" s="713"/>
      <c r="BR38" s="713"/>
      <c r="BS38" s="713"/>
      <c r="BT38" s="713"/>
      <c r="BU38" s="713"/>
      <c r="BV38" s="713"/>
      <c r="BW38" s="713"/>
      <c r="BX38" s="713"/>
      <c r="BY38" s="713"/>
      <c r="BZ38" s="713"/>
      <c r="CA38" s="713"/>
      <c r="CB38" s="713"/>
      <c r="CC38" s="713"/>
      <c r="CD38" s="713"/>
      <c r="CE38" s="713"/>
      <c r="CF38" s="713"/>
      <c r="CG38" s="713"/>
      <c r="CH38" s="713"/>
      <c r="CI38" s="713"/>
      <c r="CJ38" s="713"/>
      <c r="CK38" s="713"/>
      <c r="CL38" s="713"/>
      <c r="CM38" s="713"/>
      <c r="CN38" s="713"/>
      <c r="CO38" s="713"/>
      <c r="CP38" s="713"/>
      <c r="CQ38" s="713"/>
      <c r="CR38" s="713"/>
      <c r="CS38" s="713"/>
      <c r="CT38" s="713"/>
      <c r="CU38" s="713"/>
      <c r="CV38" s="713"/>
      <c r="CW38" s="713"/>
      <c r="CX38" s="713"/>
      <c r="CY38" s="713"/>
      <c r="CZ38" s="713"/>
      <c r="DA38" s="713"/>
      <c r="DB38" s="713"/>
      <c r="DC38" s="713"/>
      <c r="DD38" s="713"/>
      <c r="DE38" s="713"/>
      <c r="DF38" s="713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713"/>
      <c r="DW38" s="713"/>
      <c r="DX38" s="713"/>
      <c r="DY38" s="713"/>
      <c r="DZ38" s="713"/>
      <c r="EA38" s="713"/>
      <c r="EB38" s="713"/>
      <c r="EC38" s="713"/>
      <c r="ED38" s="713"/>
      <c r="EE38" s="713"/>
      <c r="EF38" s="713"/>
      <c r="EG38" s="713"/>
      <c r="EH38" s="713"/>
      <c r="EI38" s="713"/>
      <c r="EJ38" s="713"/>
      <c r="EK38" s="713"/>
      <c r="EL38" s="713"/>
      <c r="EM38" s="713"/>
      <c r="EN38" s="713"/>
      <c r="EO38" s="713"/>
      <c r="EP38" s="713"/>
      <c r="EQ38" s="713"/>
      <c r="ER38" s="713"/>
      <c r="ES38" s="713"/>
      <c r="ET38" s="713"/>
      <c r="EU38" s="713"/>
      <c r="EV38" s="713"/>
      <c r="EW38" s="713"/>
      <c r="EX38" s="713"/>
      <c r="EY38" s="713"/>
      <c r="EZ38" s="713"/>
      <c r="FA38" s="713"/>
      <c r="FB38" s="713"/>
      <c r="FC38" s="713"/>
      <c r="FD38" s="713"/>
      <c r="FE38" s="713"/>
      <c r="FF38" s="713"/>
      <c r="FG38" s="713"/>
      <c r="FH38" s="713"/>
      <c r="FI38" s="713"/>
      <c r="FJ38" s="713"/>
      <c r="FK38" s="713"/>
      <c r="FL38" s="713"/>
      <c r="FM38" s="713"/>
      <c r="FN38" s="713"/>
      <c r="FO38" s="713"/>
      <c r="FP38" s="713"/>
      <c r="FQ38" s="713"/>
      <c r="FR38" s="713"/>
      <c r="FS38" s="713"/>
      <c r="FT38" s="713"/>
      <c r="FU38" s="713"/>
      <c r="FV38" s="713"/>
      <c r="FW38" s="713"/>
      <c r="FX38" s="713"/>
      <c r="FY38" s="713"/>
      <c r="FZ38" s="713"/>
      <c r="GA38" s="713"/>
      <c r="GB38" s="713"/>
      <c r="GC38" s="713"/>
      <c r="GD38" s="713"/>
      <c r="GE38" s="713"/>
      <c r="GF38" s="713"/>
      <c r="GG38" s="713"/>
      <c r="GH38" s="713"/>
      <c r="GI38" s="713"/>
      <c r="GJ38" s="713"/>
      <c r="GK38" s="713"/>
      <c r="GL38" s="713"/>
      <c r="GM38" s="713"/>
      <c r="GN38" s="713"/>
      <c r="GO38" s="713"/>
      <c r="GP38" s="713"/>
      <c r="GQ38" s="713"/>
      <c r="GR38" s="713"/>
      <c r="GS38" s="713"/>
      <c r="GT38" s="713"/>
      <c r="GU38" s="713"/>
      <c r="GV38" s="713"/>
      <c r="GW38" s="713"/>
      <c r="GX38" s="713"/>
      <c r="GY38" s="713"/>
      <c r="GZ38" s="713"/>
      <c r="HA38" s="713"/>
      <c r="HB38" s="713"/>
      <c r="HC38" s="713"/>
      <c r="HD38" s="713"/>
      <c r="HE38" s="713"/>
      <c r="HF38" s="713"/>
      <c r="HG38" s="713"/>
      <c r="HH38" s="713"/>
      <c r="HI38" s="713"/>
      <c r="HJ38" s="713"/>
      <c r="HK38" s="713"/>
      <c r="HL38" s="713"/>
      <c r="HM38" s="713"/>
      <c r="HN38" s="713"/>
      <c r="HO38" s="713"/>
      <c r="HP38" s="713"/>
      <c r="HQ38" s="713"/>
      <c r="HR38" s="713"/>
      <c r="HS38" s="713"/>
      <c r="HT38" s="713"/>
      <c r="HU38" s="713"/>
      <c r="HV38" s="713"/>
      <c r="HW38" s="713"/>
      <c r="HX38" s="713"/>
      <c r="HY38" s="713"/>
      <c r="HZ38" s="713"/>
      <c r="IA38" s="713"/>
      <c r="IB38" s="713"/>
      <c r="IC38" s="713"/>
      <c r="ID38" s="713"/>
      <c r="IE38" s="713"/>
      <c r="IF38" s="713"/>
      <c r="IG38" s="713"/>
      <c r="IH38" s="713"/>
      <c r="II38" s="713"/>
      <c r="IJ38" s="713"/>
      <c r="IK38" s="713"/>
      <c r="IL38" s="713"/>
      <c r="IM38" s="713"/>
      <c r="IN38" s="713"/>
      <c r="IO38" s="713"/>
      <c r="IP38" s="713"/>
      <c r="IQ38" s="713"/>
      <c r="IR38" s="713"/>
      <c r="IS38" s="713"/>
      <c r="IT38" s="713"/>
      <c r="IU38" s="713"/>
    </row>
    <row r="39" spans="1:255" s="689" customFormat="1" ht="15" customHeight="1" x14ac:dyDescent="0.25">
      <c r="A39" s="695">
        <v>44039</v>
      </c>
      <c r="B39" s="696" t="s">
        <v>5932</v>
      </c>
      <c r="C39" s="697">
        <v>1625777380</v>
      </c>
      <c r="D39" s="765">
        <f t="shared" si="5"/>
        <v>44054</v>
      </c>
      <c r="E39" s="654">
        <f t="shared" si="0"/>
        <v>44054</v>
      </c>
      <c r="F39" s="634"/>
      <c r="G39" s="633"/>
      <c r="H39" s="634"/>
      <c r="I39" s="635"/>
      <c r="J39" s="634"/>
      <c r="K39" s="636"/>
      <c r="L39" s="681">
        <f t="shared" si="4"/>
        <v>1625777380</v>
      </c>
      <c r="M39" s="637">
        <f t="shared" si="6"/>
        <v>26644684.838888891</v>
      </c>
      <c r="N39" s="637"/>
      <c r="O39" s="638"/>
      <c r="P39" s="637"/>
      <c r="Q39" s="682"/>
      <c r="R39" s="637"/>
      <c r="S39" s="637"/>
      <c r="T39" s="684"/>
      <c r="U39" s="685"/>
      <c r="V39" s="685"/>
      <c r="W39" s="686"/>
      <c r="X39" s="687"/>
      <c r="Y39" s="688"/>
      <c r="Z39" s="688"/>
      <c r="AA39" s="688"/>
      <c r="AB39" s="688"/>
      <c r="AC39" s="688"/>
      <c r="AD39" s="688"/>
      <c r="AE39" s="688"/>
      <c r="AF39" s="688"/>
      <c r="AG39" s="688"/>
      <c r="AH39" s="688"/>
      <c r="AI39" s="688"/>
      <c r="AJ39" s="688"/>
      <c r="AK39" s="688"/>
      <c r="AL39" s="688"/>
      <c r="AM39" s="688"/>
      <c r="AN39" s="688"/>
      <c r="AO39" s="688"/>
      <c r="AP39" s="688"/>
      <c r="AQ39" s="688"/>
      <c r="AR39" s="688"/>
      <c r="AS39" s="688"/>
      <c r="AT39" s="688"/>
      <c r="AU39" s="688"/>
      <c r="AV39" s="688"/>
      <c r="AW39" s="688"/>
      <c r="AX39" s="688"/>
      <c r="AY39" s="688"/>
      <c r="AZ39" s="688"/>
      <c r="BA39" s="688"/>
      <c r="BB39" s="688"/>
      <c r="BC39" s="688"/>
      <c r="BD39" s="688"/>
      <c r="BE39" s="688"/>
      <c r="BF39" s="688"/>
      <c r="BG39" s="688"/>
      <c r="BH39" s="688"/>
      <c r="BI39" s="688"/>
      <c r="BJ39" s="688"/>
      <c r="BK39" s="688"/>
      <c r="BL39" s="688"/>
      <c r="BM39" s="688"/>
      <c r="BN39" s="688"/>
      <c r="BO39" s="688"/>
      <c r="BP39" s="688"/>
      <c r="BQ39" s="688"/>
      <c r="BR39" s="688"/>
      <c r="BS39" s="688"/>
      <c r="BT39" s="688"/>
      <c r="BU39" s="688"/>
      <c r="BV39" s="688"/>
      <c r="BW39" s="688"/>
      <c r="BX39" s="688"/>
      <c r="BY39" s="688"/>
      <c r="BZ39" s="688"/>
      <c r="CA39" s="688"/>
      <c r="CB39" s="688"/>
      <c r="CC39" s="688"/>
      <c r="CD39" s="688"/>
      <c r="CE39" s="688"/>
      <c r="CF39" s="688"/>
      <c r="CG39" s="688"/>
      <c r="CH39" s="688"/>
      <c r="CI39" s="688"/>
      <c r="CJ39" s="688"/>
      <c r="CK39" s="688"/>
      <c r="CL39" s="688"/>
      <c r="CM39" s="688"/>
      <c r="CN39" s="688"/>
      <c r="CO39" s="688"/>
      <c r="CP39" s="688"/>
      <c r="CQ39" s="688"/>
      <c r="CR39" s="688"/>
      <c r="CS39" s="688"/>
      <c r="CT39" s="688"/>
      <c r="CU39" s="688"/>
      <c r="CV39" s="688"/>
      <c r="CW39" s="688"/>
      <c r="CX39" s="688"/>
      <c r="CY39" s="688"/>
      <c r="CZ39" s="688"/>
      <c r="DA39" s="688"/>
      <c r="DB39" s="688"/>
      <c r="DC39" s="688"/>
      <c r="DD39" s="688"/>
      <c r="DE39" s="688"/>
      <c r="DF39" s="688"/>
      <c r="DG39" s="688"/>
      <c r="DH39" s="688"/>
      <c r="DI39" s="688"/>
      <c r="DJ39" s="688"/>
      <c r="DK39" s="688"/>
      <c r="DL39" s="688"/>
      <c r="DM39" s="688"/>
      <c r="DN39" s="688"/>
      <c r="DO39" s="688"/>
      <c r="DP39" s="688"/>
      <c r="DQ39" s="688"/>
      <c r="DR39" s="688"/>
      <c r="DS39" s="688"/>
      <c r="DT39" s="688"/>
      <c r="DU39" s="688"/>
      <c r="DV39" s="688"/>
      <c r="DW39" s="688"/>
      <c r="DX39" s="688"/>
      <c r="DY39" s="688"/>
      <c r="DZ39" s="688"/>
      <c r="EA39" s="688"/>
      <c r="EB39" s="688"/>
      <c r="EC39" s="688"/>
      <c r="ED39" s="688"/>
      <c r="EE39" s="688"/>
      <c r="EF39" s="688"/>
      <c r="EG39" s="688"/>
      <c r="EH39" s="688"/>
      <c r="EI39" s="688"/>
      <c r="EJ39" s="688"/>
      <c r="EK39" s="688"/>
      <c r="EL39" s="688"/>
      <c r="EM39" s="688"/>
      <c r="EN39" s="688"/>
      <c r="EO39" s="688"/>
      <c r="EP39" s="688"/>
      <c r="EQ39" s="688"/>
      <c r="ER39" s="688"/>
      <c r="ES39" s="688"/>
      <c r="ET39" s="688"/>
      <c r="EU39" s="688"/>
      <c r="EV39" s="688"/>
      <c r="EW39" s="688"/>
      <c r="EX39" s="688"/>
      <c r="EY39" s="688"/>
      <c r="EZ39" s="688"/>
      <c r="FA39" s="688"/>
      <c r="FB39" s="688"/>
      <c r="FC39" s="688"/>
      <c r="FD39" s="688"/>
      <c r="FE39" s="688"/>
      <c r="FF39" s="688"/>
      <c r="FG39" s="688"/>
      <c r="FH39" s="688"/>
      <c r="FI39" s="688"/>
      <c r="FJ39" s="688"/>
      <c r="FK39" s="688"/>
      <c r="FL39" s="688"/>
      <c r="FM39" s="688"/>
      <c r="FN39" s="688"/>
      <c r="FO39" s="688"/>
      <c r="FP39" s="688"/>
      <c r="FQ39" s="688"/>
      <c r="FR39" s="688"/>
      <c r="FS39" s="688"/>
      <c r="FT39" s="688"/>
      <c r="FU39" s="688"/>
      <c r="FV39" s="688"/>
      <c r="FW39" s="688"/>
      <c r="FX39" s="688"/>
      <c r="FY39" s="688"/>
      <c r="FZ39" s="688"/>
      <c r="GA39" s="688"/>
      <c r="GB39" s="688"/>
      <c r="GC39" s="688"/>
      <c r="GD39" s="688"/>
      <c r="GE39" s="688"/>
      <c r="GF39" s="688"/>
      <c r="GG39" s="688"/>
      <c r="GH39" s="688"/>
      <c r="GI39" s="688"/>
      <c r="GJ39" s="688"/>
      <c r="GK39" s="688"/>
      <c r="GL39" s="688"/>
      <c r="GM39" s="688"/>
      <c r="GN39" s="688"/>
      <c r="GO39" s="688"/>
      <c r="GP39" s="688"/>
      <c r="GQ39" s="688"/>
      <c r="GR39" s="688"/>
      <c r="GS39" s="688"/>
      <c r="GT39" s="688"/>
      <c r="GU39" s="688"/>
      <c r="GV39" s="688"/>
      <c r="GW39" s="688"/>
      <c r="GX39" s="688"/>
      <c r="GY39" s="688"/>
      <c r="GZ39" s="688"/>
      <c r="HA39" s="688"/>
      <c r="HB39" s="688"/>
      <c r="HC39" s="688"/>
      <c r="HD39" s="688"/>
      <c r="HE39" s="688"/>
      <c r="HF39" s="688"/>
      <c r="HG39" s="688"/>
      <c r="HH39" s="688"/>
      <c r="HI39" s="688"/>
      <c r="HJ39" s="688"/>
      <c r="HK39" s="688"/>
      <c r="HL39" s="688"/>
      <c r="HM39" s="688"/>
      <c r="HN39" s="688"/>
      <c r="HO39" s="688"/>
      <c r="HP39" s="688"/>
      <c r="HQ39" s="688"/>
      <c r="HR39" s="688"/>
      <c r="HS39" s="688"/>
      <c r="HT39" s="688"/>
      <c r="HU39" s="688"/>
      <c r="HV39" s="688"/>
      <c r="HW39" s="688"/>
      <c r="HX39" s="688"/>
      <c r="HY39" s="688"/>
      <c r="HZ39" s="688"/>
      <c r="IA39" s="688"/>
      <c r="IB39" s="688"/>
      <c r="IC39" s="688"/>
      <c r="ID39" s="688"/>
      <c r="IE39" s="688"/>
      <c r="IF39" s="688"/>
      <c r="IG39" s="688"/>
      <c r="IH39" s="688"/>
      <c r="II39" s="688"/>
      <c r="IJ39" s="688"/>
      <c r="IK39" s="688"/>
      <c r="IL39" s="688"/>
      <c r="IM39" s="688"/>
      <c r="IN39" s="688"/>
      <c r="IO39" s="688"/>
      <c r="IP39" s="688"/>
      <c r="IQ39" s="688"/>
      <c r="IR39" s="688"/>
      <c r="IS39" s="688"/>
      <c r="IT39" s="688"/>
      <c r="IU39" s="688"/>
    </row>
    <row r="40" spans="1:255" s="826" customFormat="1" ht="15" customHeight="1" x14ac:dyDescent="0.25">
      <c r="A40" s="840">
        <v>44046</v>
      </c>
      <c r="B40" s="725" t="s">
        <v>4973</v>
      </c>
      <c r="C40" s="665">
        <v>1812378197</v>
      </c>
      <c r="D40" s="765">
        <f t="shared" si="5"/>
        <v>44061</v>
      </c>
      <c r="E40" s="841">
        <f t="shared" si="0"/>
        <v>44061</v>
      </c>
      <c r="F40" s="832"/>
      <c r="G40" s="831"/>
      <c r="H40" s="832"/>
      <c r="I40" s="833"/>
      <c r="J40" s="832"/>
      <c r="K40" s="834"/>
      <c r="L40" s="835">
        <f t="shared" si="4"/>
        <v>1812378197</v>
      </c>
      <c r="M40" s="827">
        <f t="shared" si="6"/>
        <v>29702864.895277783</v>
      </c>
      <c r="N40" s="827"/>
      <c r="O40" s="828"/>
      <c r="P40" s="827"/>
      <c r="Q40" s="836"/>
      <c r="R40" s="827"/>
      <c r="S40" s="827"/>
      <c r="T40" s="827"/>
      <c r="U40" s="828"/>
      <c r="V40" s="828"/>
      <c r="W40" s="829"/>
      <c r="X40" s="830"/>
      <c r="Y40" s="825"/>
      <c r="Z40" s="825"/>
      <c r="AA40" s="825"/>
      <c r="AB40" s="825"/>
      <c r="AC40" s="825"/>
      <c r="AD40" s="825"/>
      <c r="AE40" s="825"/>
      <c r="AF40" s="825"/>
      <c r="AG40" s="825"/>
      <c r="AH40" s="825"/>
      <c r="AI40" s="825"/>
      <c r="AJ40" s="825"/>
      <c r="AK40" s="825"/>
      <c r="AL40" s="825"/>
      <c r="AM40" s="825"/>
      <c r="AN40" s="825"/>
      <c r="AO40" s="825"/>
      <c r="AP40" s="825"/>
      <c r="AQ40" s="825"/>
      <c r="AR40" s="825"/>
      <c r="AS40" s="825"/>
      <c r="AT40" s="825"/>
      <c r="AU40" s="825"/>
      <c r="AV40" s="825"/>
      <c r="AW40" s="825"/>
      <c r="AX40" s="825"/>
      <c r="AY40" s="825"/>
      <c r="AZ40" s="825"/>
      <c r="BA40" s="825"/>
      <c r="BB40" s="825"/>
      <c r="BC40" s="825"/>
      <c r="BD40" s="825"/>
      <c r="BE40" s="825"/>
      <c r="BF40" s="825"/>
      <c r="BG40" s="825"/>
      <c r="BH40" s="825"/>
      <c r="BI40" s="825"/>
      <c r="BJ40" s="825"/>
      <c r="BK40" s="825"/>
      <c r="BL40" s="825"/>
      <c r="BM40" s="825"/>
      <c r="BN40" s="825"/>
      <c r="BO40" s="825"/>
      <c r="BP40" s="825"/>
      <c r="BQ40" s="825"/>
      <c r="BR40" s="825"/>
      <c r="BS40" s="825"/>
      <c r="BT40" s="825"/>
      <c r="BU40" s="825"/>
      <c r="BV40" s="825"/>
      <c r="BW40" s="825"/>
      <c r="BX40" s="825"/>
      <c r="BY40" s="825"/>
      <c r="BZ40" s="825"/>
      <c r="CA40" s="825"/>
      <c r="CB40" s="825"/>
      <c r="CC40" s="825"/>
      <c r="CD40" s="825"/>
      <c r="CE40" s="825"/>
      <c r="CF40" s="825"/>
      <c r="CG40" s="825"/>
      <c r="CH40" s="825"/>
      <c r="CI40" s="825"/>
      <c r="CJ40" s="825"/>
      <c r="CK40" s="825"/>
      <c r="CL40" s="825"/>
      <c r="CM40" s="825"/>
      <c r="CN40" s="825"/>
      <c r="CO40" s="825"/>
      <c r="CP40" s="825"/>
      <c r="CQ40" s="825"/>
      <c r="CR40" s="825"/>
      <c r="CS40" s="825"/>
      <c r="CT40" s="825"/>
      <c r="CU40" s="825"/>
      <c r="CV40" s="825"/>
      <c r="CW40" s="825"/>
      <c r="CX40" s="825"/>
      <c r="CY40" s="825"/>
      <c r="CZ40" s="825"/>
      <c r="DA40" s="825"/>
      <c r="DB40" s="825"/>
      <c r="DC40" s="825"/>
      <c r="DD40" s="825"/>
      <c r="DE40" s="825"/>
      <c r="DF40" s="825"/>
      <c r="DG40" s="825"/>
      <c r="DH40" s="825"/>
      <c r="DI40" s="825"/>
      <c r="DJ40" s="825"/>
      <c r="DK40" s="825"/>
      <c r="DL40" s="825"/>
      <c r="DM40" s="825"/>
      <c r="DN40" s="825"/>
      <c r="DO40" s="825"/>
      <c r="DP40" s="825"/>
      <c r="DQ40" s="825"/>
      <c r="DR40" s="825"/>
      <c r="DS40" s="825"/>
      <c r="DT40" s="825"/>
      <c r="DU40" s="825"/>
      <c r="DV40" s="825"/>
      <c r="DW40" s="825"/>
      <c r="DX40" s="825"/>
      <c r="DY40" s="825"/>
      <c r="DZ40" s="825"/>
      <c r="EA40" s="825"/>
      <c r="EB40" s="825"/>
      <c r="EC40" s="825"/>
      <c r="ED40" s="825"/>
      <c r="EE40" s="825"/>
      <c r="EF40" s="825"/>
      <c r="EG40" s="825"/>
      <c r="EH40" s="825"/>
      <c r="EI40" s="825"/>
      <c r="EJ40" s="825"/>
      <c r="EK40" s="825"/>
      <c r="EL40" s="825"/>
      <c r="EM40" s="825"/>
      <c r="EN40" s="825"/>
      <c r="EO40" s="825"/>
      <c r="EP40" s="825"/>
      <c r="EQ40" s="825"/>
      <c r="ER40" s="825"/>
      <c r="ES40" s="825"/>
      <c r="ET40" s="825"/>
      <c r="EU40" s="825"/>
      <c r="EV40" s="825"/>
      <c r="EW40" s="825"/>
      <c r="EX40" s="825"/>
      <c r="EY40" s="825"/>
      <c r="EZ40" s="825"/>
      <c r="FA40" s="825"/>
      <c r="FB40" s="825"/>
      <c r="FC40" s="825"/>
      <c r="FD40" s="825"/>
      <c r="FE40" s="825"/>
      <c r="FF40" s="825"/>
      <c r="FG40" s="825"/>
      <c r="FH40" s="825"/>
      <c r="FI40" s="825"/>
      <c r="FJ40" s="825"/>
      <c r="FK40" s="825"/>
      <c r="FL40" s="825"/>
      <c r="FM40" s="825"/>
      <c r="FN40" s="825"/>
      <c r="FO40" s="825"/>
      <c r="FP40" s="825"/>
      <c r="FQ40" s="825"/>
      <c r="FR40" s="825"/>
      <c r="FS40" s="825"/>
      <c r="FT40" s="825"/>
      <c r="FU40" s="825"/>
      <c r="FV40" s="825"/>
      <c r="FW40" s="825"/>
      <c r="FX40" s="825"/>
      <c r="FY40" s="825"/>
      <c r="FZ40" s="825"/>
      <c r="GA40" s="825"/>
      <c r="GB40" s="825"/>
      <c r="GC40" s="825"/>
      <c r="GD40" s="825"/>
      <c r="GE40" s="825"/>
      <c r="GF40" s="825"/>
      <c r="GG40" s="825"/>
      <c r="GH40" s="825"/>
      <c r="GI40" s="825"/>
      <c r="GJ40" s="825"/>
      <c r="GK40" s="825"/>
      <c r="GL40" s="825"/>
      <c r="GM40" s="825"/>
      <c r="GN40" s="825"/>
      <c r="GO40" s="825"/>
      <c r="GP40" s="825"/>
      <c r="GQ40" s="825"/>
      <c r="GR40" s="825"/>
      <c r="GS40" s="825"/>
      <c r="GT40" s="825"/>
      <c r="GU40" s="825"/>
      <c r="GV40" s="825"/>
      <c r="GW40" s="825"/>
      <c r="GX40" s="825"/>
      <c r="GY40" s="825"/>
      <c r="GZ40" s="825"/>
      <c r="HA40" s="825"/>
      <c r="HB40" s="825"/>
      <c r="HC40" s="825"/>
      <c r="HD40" s="825"/>
      <c r="HE40" s="825"/>
      <c r="HF40" s="825"/>
      <c r="HG40" s="825"/>
      <c r="HH40" s="825"/>
      <c r="HI40" s="825"/>
      <c r="HJ40" s="825"/>
      <c r="HK40" s="825"/>
      <c r="HL40" s="825"/>
      <c r="HM40" s="825"/>
      <c r="HN40" s="825"/>
      <c r="HO40" s="825"/>
      <c r="HP40" s="825"/>
      <c r="HQ40" s="825"/>
      <c r="HR40" s="825"/>
      <c r="HS40" s="825"/>
      <c r="HT40" s="825"/>
      <c r="HU40" s="825"/>
      <c r="HV40" s="825"/>
      <c r="HW40" s="825"/>
      <c r="HX40" s="825"/>
      <c r="HY40" s="825"/>
      <c r="HZ40" s="825"/>
      <c r="IA40" s="825"/>
      <c r="IB40" s="825"/>
      <c r="IC40" s="825"/>
      <c r="ID40" s="825"/>
      <c r="IE40" s="825"/>
      <c r="IF40" s="825"/>
      <c r="IG40" s="825"/>
      <c r="IH40" s="825"/>
      <c r="II40" s="825"/>
      <c r="IJ40" s="825"/>
      <c r="IK40" s="825"/>
      <c r="IL40" s="825"/>
      <c r="IM40" s="825"/>
      <c r="IN40" s="825"/>
      <c r="IO40" s="825"/>
      <c r="IP40" s="825"/>
      <c r="IQ40" s="825"/>
      <c r="IR40" s="825"/>
      <c r="IS40" s="825"/>
      <c r="IT40" s="825"/>
      <c r="IU40" s="825"/>
    </row>
    <row r="41" spans="1:255" s="3" customFormat="1" ht="15" customHeight="1" x14ac:dyDescent="0.25">
      <c r="A41" s="643"/>
      <c r="B41" s="644"/>
      <c r="C41" s="645"/>
      <c r="D41" s="354"/>
      <c r="E41" s="519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9"/>
      <c r="R41" s="359"/>
      <c r="S41" s="361"/>
      <c r="T41" s="359"/>
      <c r="U41" s="360"/>
      <c r="V41" s="646"/>
      <c r="W41" s="647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4"/>
      <c r="B42" s="505"/>
      <c r="C42" s="506"/>
      <c r="D42" s="466"/>
      <c r="E42" s="467"/>
      <c r="F42" s="507"/>
      <c r="G42" s="466"/>
      <c r="H42" s="507"/>
      <c r="I42" s="508"/>
      <c r="J42" s="507"/>
      <c r="K42" s="509"/>
      <c r="L42" s="510"/>
      <c r="M42" s="468"/>
      <c r="N42" s="468"/>
      <c r="O42" s="512"/>
      <c r="P42" s="468"/>
      <c r="Q42" s="468"/>
      <c r="R42" s="468"/>
      <c r="S42" s="511"/>
      <c r="T42" s="468"/>
      <c r="U42" s="512"/>
      <c r="V42" s="513"/>
      <c r="W42" s="514"/>
      <c r="X42" s="503"/>
    </row>
    <row r="43" spans="1:255" x14ac:dyDescent="0.25">
      <c r="A43" s="1537" t="s">
        <v>24</v>
      </c>
      <c r="B43" s="1538"/>
      <c r="C43" s="753"/>
      <c r="D43" s="498" t="e">
        <f>SUM(#REF!)</f>
        <v>#REF!</v>
      </c>
      <c r="E43" s="524"/>
      <c r="F43" s="498"/>
      <c r="G43" s="498"/>
      <c r="H43" s="498"/>
      <c r="I43" s="499" t="e">
        <f>SUM(#REF!)</f>
        <v>#REF!</v>
      </c>
      <c r="J43" s="498"/>
      <c r="K43" s="525"/>
      <c r="L43" s="498"/>
      <c r="M43" s="498"/>
      <c r="N43" s="498"/>
      <c r="O43" s="499"/>
      <c r="P43" s="498"/>
      <c r="Q43" s="498"/>
      <c r="R43" s="498"/>
      <c r="S43" s="501">
        <f>M43-R43</f>
        <v>0</v>
      </c>
      <c r="T43" s="498"/>
      <c r="U43" s="1539"/>
      <c r="V43" s="1539"/>
      <c r="W43" s="1539"/>
      <c r="X43" s="503" t="e">
        <f>(W43/360)*D186*#REF!</f>
        <v>#REF!</v>
      </c>
    </row>
    <row r="44" spans="1:255" x14ac:dyDescent="0.25">
      <c r="X44" s="500" t="e">
        <f>(W44/360)*D187*#REF!</f>
        <v>#REF!</v>
      </c>
    </row>
    <row r="45" spans="1:255" x14ac:dyDescent="0.25">
      <c r="D45" s="528"/>
      <c r="E45" s="529"/>
      <c r="F45" s="528"/>
      <c r="G45" s="528"/>
      <c r="H45" s="528"/>
      <c r="J45" s="528"/>
      <c r="L45" s="528"/>
      <c r="M45" s="528"/>
      <c r="N45" s="528"/>
      <c r="O45" s="528"/>
      <c r="P45" s="528"/>
      <c r="Q45" s="528"/>
      <c r="R45" s="528"/>
      <c r="S45" s="528"/>
      <c r="T45" s="528"/>
      <c r="X45" s="500" t="e">
        <f>(W45/360)*D188*#REF!</f>
        <v>#REF!</v>
      </c>
    </row>
    <row r="46" spans="1:255" x14ac:dyDescent="0.25">
      <c r="A46" s="1527" t="s">
        <v>121</v>
      </c>
      <c r="B46" s="1528"/>
      <c r="C46" s="1527"/>
      <c r="D46" s="1527"/>
      <c r="E46" s="529"/>
      <c r="F46" s="528" t="e">
        <f>SUM(#REF!)</f>
        <v>#REF!</v>
      </c>
      <c r="G46" s="528"/>
      <c r="H46" s="528"/>
      <c r="J46" s="528"/>
      <c r="L46" s="528"/>
      <c r="M46" s="528"/>
      <c r="N46" s="528"/>
      <c r="O46" s="528"/>
      <c r="P46" s="528"/>
      <c r="Q46" s="528"/>
      <c r="R46" s="528"/>
      <c r="S46" s="528"/>
      <c r="T46" s="528"/>
      <c r="X46" s="530"/>
    </row>
    <row r="47" spans="1:255" x14ac:dyDescent="0.25">
      <c r="A47" s="1527" t="s">
        <v>122</v>
      </c>
      <c r="B47" s="1528"/>
      <c r="C47" s="1527"/>
      <c r="D47" s="1527"/>
      <c r="F47" s="528" t="e">
        <f>SUM(#REF!)</f>
        <v>#REF!</v>
      </c>
      <c r="X47" s="530"/>
    </row>
    <row r="48" spans="1:255" x14ac:dyDescent="0.25">
      <c r="A48" s="472" t="s">
        <v>123</v>
      </c>
      <c r="F48" s="528" t="e">
        <f>I43+'[5]OCBC APRIL 18'!H152+'[5]OUB APRIL 18'!H71</f>
        <v>#REF!</v>
      </c>
      <c r="X48" s="530"/>
    </row>
    <row r="49" spans="3:24" x14ac:dyDescent="0.25">
      <c r="X49" s="530"/>
    </row>
    <row r="50" spans="3:24" x14ac:dyDescent="0.25">
      <c r="C50" s="667" t="e">
        <f>SUM(#REF!,C29:C29,C30:C30,#REF!,C31:C33)</f>
        <v>#REF!</v>
      </c>
      <c r="X50" s="530"/>
    </row>
    <row r="51" spans="3:24" x14ac:dyDescent="0.25">
      <c r="C51" s="667" t="e">
        <f>SUM(#REF!,C29:C29,C30:C31,C30:C30,#REF!,C31:C33)</f>
        <v>#REF!</v>
      </c>
      <c r="W51" s="528"/>
      <c r="X51" s="530"/>
    </row>
    <row r="52" spans="3:24" x14ac:dyDescent="0.25">
      <c r="X52" s="530"/>
    </row>
    <row r="53" spans="3:24" x14ac:dyDescent="0.25">
      <c r="X53" s="530"/>
    </row>
    <row r="54" spans="3:24" x14ac:dyDescent="0.25">
      <c r="X54" s="530"/>
    </row>
    <row r="55" spans="3:24" x14ac:dyDescent="0.25">
      <c r="X55" s="530"/>
    </row>
    <row r="56" spans="3:24" x14ac:dyDescent="0.25">
      <c r="X56" s="530"/>
    </row>
    <row r="57" spans="3:24" x14ac:dyDescent="0.25">
      <c r="X57" s="530"/>
    </row>
    <row r="58" spans="3:24" x14ac:dyDescent="0.25">
      <c r="X58" s="530"/>
    </row>
    <row r="59" spans="3:24" x14ac:dyDescent="0.25">
      <c r="X59" s="530"/>
    </row>
    <row r="60" spans="3:24" x14ac:dyDescent="0.25">
      <c r="X60" s="530"/>
    </row>
    <row r="61" spans="3:24" x14ac:dyDescent="0.25">
      <c r="X61" s="530"/>
    </row>
    <row r="62" spans="3:24" x14ac:dyDescent="0.25">
      <c r="X62" s="530"/>
    </row>
  </sheetData>
  <sortState ref="A8:S79">
    <sortCondition ref="B8:B79"/>
  </sortState>
  <mergeCells count="13">
    <mergeCell ref="U43:W43"/>
    <mergeCell ref="A46:D46"/>
    <mergeCell ref="A5:C5"/>
    <mergeCell ref="D5:D6"/>
    <mergeCell ref="E5:K5"/>
    <mergeCell ref="L5:L6"/>
    <mergeCell ref="M5:M6"/>
    <mergeCell ref="N5:Q5"/>
    <mergeCell ref="A47:D47"/>
    <mergeCell ref="R5:R7"/>
    <mergeCell ref="S5:S7"/>
    <mergeCell ref="N6:Q6"/>
    <mergeCell ref="A43:B43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2022-06-23T10:39:52Z</cp:lastPrinted>
  <dcterms:created xsi:type="dcterms:W3CDTF">2015-07-07T02:35:00Z</dcterms:created>
  <dcterms:modified xsi:type="dcterms:W3CDTF">2022-08-13T11:39:39Z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